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53.xml" ContentType="application/vnd.openxmlformats-officedocument.spreadsheetml.worksheet+xml"/>
  <Override PartName="/xl/worksheets/sheet13.xml" ContentType="application/vnd.openxmlformats-officedocument.spreadsheetml.worksheet+xml"/>
  <Override PartName="/xl/worksheets/sheet42.xml" ContentType="application/vnd.openxmlformats-officedocument.spreadsheetml.worksheet+xml"/>
  <Override PartName="/xl/externalLinks/externalLink9.xml" ContentType="application/vnd.openxmlformats-officedocument.spreadsheetml.externalLink+xml"/>
  <Override PartName="/xl/styles.xml" ContentType="application/vnd.openxmlformats-officedocument.spreadsheetml.styles+xml"/>
  <Override PartName="/xl/drawings/drawing6.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drawings/drawing17.xml" ContentType="application/vnd.openxmlformats-officedocument.drawing+xml"/>
  <Override PartName="/xl/drawings/drawing28.xml" ContentType="application/vnd.openxmlformats-officedocument.drawing+xml"/>
  <Default Extension="xml" ContentType="application/xml"/>
  <Override PartName="/xl/externalLinks/externalLink5.xml" ContentType="application/vnd.openxmlformats-officedocument.spreadsheetml.externalLink+xml"/>
  <Override PartName="/xl/drawings/drawing2.xml" ContentType="application/vnd.openxmlformats-officedocument.drawing+xml"/>
  <Override PartName="/xl/worksheets/sheet3.xml" ContentType="application/vnd.openxmlformats-officedocument.spreadsheetml.worksheet+xml"/>
  <Override PartName="/xl/externalLinks/externalLink3.xml" ContentType="application/vnd.openxmlformats-officedocument.spreadsheetml.externalLink+xml"/>
  <Override PartName="/xl/drawings/drawing13.xml" ContentType="application/vnd.openxmlformats-officedocument.drawing+xml"/>
  <Override PartName="/xl/drawings/drawing22.xml" ContentType="application/vnd.openxmlformats-officedocument.drawing+xml"/>
  <Override PartName="/xl/drawings/drawing24.xml" ContentType="application/vnd.openxmlformats-officedocument.drawing+xml"/>
  <Override PartName="/xl/drawings/drawing33.xml" ContentType="application/vnd.openxmlformats-officedocument.drawing+xml"/>
  <Override PartName="/xl/worksheets/sheet1.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externalLinks/externalLink12.xml" ContentType="application/vnd.openxmlformats-officedocument.spreadsheetml.externalLink+xml"/>
  <Override PartName="/xl/drawings/drawing11.xml" ContentType="application/vnd.openxmlformats-officedocument.drawing+xml"/>
  <Override PartName="/xl/drawings/drawing20.xml" ContentType="application/vnd.openxmlformats-officedocument.drawing+xml"/>
  <Override PartName="/xl/drawings/drawing31.xml" ContentType="application/vnd.openxmlformats-officedocument.drawing+xml"/>
  <Override PartName="/xl/worksheets/sheet29.xml" ContentType="application/vnd.openxmlformats-officedocument.spreadsheetml.worksheet+xml"/>
  <Override PartName="/xl/worksheets/sheet38.xml" ContentType="application/vnd.openxmlformats-officedocument.spreadsheetml.worksheet+xml"/>
  <Override PartName="/xl/worksheets/sheet47.xml" ContentType="application/vnd.openxmlformats-officedocument.spreadsheetml.worksheet+xml"/>
  <Override PartName="/xl/externalLinks/externalLink10.xml" ContentType="application/vnd.openxmlformats-officedocument.spreadsheetml.externalLink+xml"/>
  <Override PartName="/xl/sharedStrings.xml" ContentType="application/vnd.openxmlformats-officedocument.spreadsheetml.sharedStrings+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45.xml" ContentType="application/vnd.openxmlformats-officedocument.spreadsheetml.worksheet+xml"/>
  <Override PartName="/xl/worksheets/sheet54.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externalLinks/externalLink8.xml" ContentType="application/vnd.openxmlformats-officedocument.spreadsheetml.externalLink+xml"/>
  <Override PartName="/xl/drawings/drawing7.xml" ContentType="application/vnd.openxmlformats-officedocument.drawing+xml"/>
  <Override PartName="/xl/drawings/drawing29.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externalLinks/externalLink6.xml" ContentType="application/vnd.openxmlformats-officedocument.spreadsheetml.externalLink+xml"/>
  <Override PartName="/xl/drawings/drawing5.xml" ContentType="application/vnd.openxmlformats-officedocument.drawing+xml"/>
  <Default Extension="emf" ContentType="image/x-emf"/>
  <Override PartName="/xl/drawings/drawing18.xml" ContentType="application/vnd.openxmlformats-officedocument.drawing+xml"/>
  <Override PartName="/xl/drawings/drawing27.xml" ContentType="application/vnd.openxmlformats-officedocument.drawing+xml"/>
  <Override PartName="/xl/charts/chart3.xml" ContentType="application/vnd.openxmlformats-officedocument.drawingml.chart+xml"/>
  <Default Extension="jpeg" ContentType="image/jpeg"/>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drawings/drawing3.xml" ContentType="application/vnd.openxmlformats-officedocument.drawing+xml"/>
  <Override PartName="/xl/embeddings/oleObject1.bin" ContentType="application/vnd.openxmlformats-officedocument.oleObject"/>
  <Override PartName="/xl/drawings/drawing16.xml" ContentType="application/vnd.openxmlformats-officedocument.drawing+xml"/>
  <Override PartName="/xl/charts/chart1.xml" ContentType="application/vnd.openxmlformats-officedocument.drawingml.chart+xml"/>
  <Override PartName="/xl/drawings/drawing2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13.xml" ContentType="application/vnd.openxmlformats-officedocument.spreadsheetml.externalLink+xml"/>
  <Override PartName="/xl/drawings/drawing1.xml" ContentType="application/vnd.openxmlformats-officedocument.drawing+xml"/>
  <Override PartName="/xl/drawings/drawing14.xml" ContentType="application/vnd.openxmlformats-officedocument.drawing+xml"/>
  <Override PartName="/xl/drawings/drawing23.xml" ContentType="application/vnd.openxmlformats-officedocument.drawing+xml"/>
  <Override PartName="/xl/drawings/drawing32.xml" ContentType="application/vnd.openxmlformats-officedocument.drawing+xml"/>
  <Override PartName="/xl/externalLinks/externalLink11.xml" ContentType="application/vnd.openxmlformats-officedocument.spreadsheetml.externalLink+xml"/>
  <Default Extension="vml" ContentType="application/vnd.openxmlformats-officedocument.vmlDrawing"/>
  <Override PartName="/xl/drawings/drawing12.xml" ContentType="application/vnd.openxmlformats-officedocument.drawing+xml"/>
  <Override PartName="/xl/drawings/drawing21.xml" ContentType="application/vnd.openxmlformats-officedocument.drawing+xml"/>
  <Override PartName="/xl/drawings/drawing30.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drawings/drawing10.xml" ContentType="application/vnd.openxmlformats-officedocument.drawing+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46.xml" ContentType="application/vnd.openxmlformats-officedocument.spreadsheetml.worksheet+xml"/>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worksheets/sheet40.xml" ContentType="application/vnd.openxmlformats-officedocument.spreadsheetml.worksheet+xml"/>
  <Override PartName="/xl/externalLinks/externalLink7.xml" ContentType="application/vnd.openxmlformats-officedocument.spreadsheetml.externalLink+xml"/>
  <Override PartName="/xl/drawings/drawing4.xml" ContentType="application/vnd.openxmlformats-officedocument.drawing+xml"/>
  <Override PartName="/xl/charts/chart2.xml" ContentType="application/vnd.openxmlformats-officedocument.drawingml.chart+xml"/>
  <Default Extension="rels" ContentType="application/vnd.openxmlformats-package.relationships+xml"/>
  <Override PartName="/xl/worksheets/sheet5.xml" ContentType="application/vnd.openxmlformats-officedocument.spreadsheetml.worksheet+xml"/>
  <Override PartName="/xl/embeddings/oleObject2.bin" ContentType="application/vnd.openxmlformats-officedocument.oleObject"/>
  <Override PartName="/xl/drawings/drawing15.xml" ContentType="application/vnd.openxmlformats-officedocument.drawing+xml"/>
  <Override PartName="/xl/drawings/drawing26.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codeName="ThisWorkbook"/>
  <bookViews>
    <workbookView xWindow="0" yWindow="0" windowWidth="19320" windowHeight="9885" tabRatio="927" firstSheet="2" activeTab="5"/>
  </bookViews>
  <sheets>
    <sheet name="Sheet5" sheetId="8" state="hidden" r:id="rId1"/>
    <sheet name="Sheet2" sheetId="238" r:id="rId2"/>
    <sheet name="GEN" sheetId="2" r:id="rId3"/>
    <sheet name="Creep_2" sheetId="181" state="hidden" r:id="rId4"/>
    <sheet name="creep_3" sheetId="182" state="hidden" r:id="rId5"/>
    <sheet name="SUP" sheetId="71" r:id="rId6"/>
    <sheet name="SI" sheetId="10" r:id="rId7"/>
    <sheet name="LL" sheetId="213" r:id="rId8"/>
    <sheet name="LLH" sheetId="11" r:id="rId9"/>
    <sheet name="SEIS" sheetId="15" r:id="rId10"/>
    <sheet name="SUP_SEIS" sheetId="24" r:id="rId11"/>
    <sheet name="LL_SEIS" sheetId="26" r:id="rId12"/>
    <sheet name="SUB_SEIS" sheetId="28" r:id="rId13"/>
    <sheet name="Hydro" sheetId="168" r:id="rId14"/>
    <sheet name="Hydro dynamic" sheetId="169" r:id="rId15"/>
    <sheet name="SF" sheetId="29" state="hidden" r:id="rId16"/>
    <sheet name="3.4" sheetId="63" state="hidden" r:id="rId17"/>
    <sheet name="3.4_LC" sheetId="59" r:id="rId18"/>
    <sheet name="3.4_LC_sum" sheetId="60" r:id="rId19"/>
    <sheet name="HC_P" sheetId="161" r:id="rId20"/>
    <sheet name="3.4D" sheetId="64" state="hidden" r:id="rId21"/>
    <sheet name="3.4D_LC" sheetId="65" r:id="rId22"/>
    <sheet name="3.4D_LC_sum" sheetId="66" r:id="rId23"/>
    <sheet name="U_DF_PC" sheetId="160" r:id="rId24"/>
    <sheet name="D_PC_L" sheetId="70" r:id="rId25"/>
    <sheet name="D_PC_T" sheetId="183" r:id="rId26"/>
    <sheet name="D_PC_2" sheetId="167" r:id="rId27"/>
    <sheet name="U_PILE" sheetId="159" r:id="rId28"/>
    <sheet name="PILE_SH" sheetId="239" r:id="rId29"/>
    <sheet name="CONF PI" sheetId="209" state="hidden" r:id="rId30"/>
    <sheet name="3.3S" sheetId="80" state="hidden" r:id="rId31"/>
    <sheet name="3.3S_LC" sheetId="81" r:id="rId32"/>
    <sheet name="3.3S_LC_SUM" sheetId="82" r:id="rId33"/>
    <sheet name="SL_PC" sheetId="163" r:id="rId34"/>
    <sheet name="SLS_P" sheetId="164" state="hidden" r:id="rId35"/>
    <sheet name="p" sheetId="162" r:id="rId36"/>
    <sheet name="SHAFT" sheetId="184" r:id="rId37"/>
    <sheet name="SHF" sheetId="185" state="hidden" r:id="rId38"/>
    <sheet name="U_3.4_SH" sheetId="186" state="hidden" r:id="rId39"/>
    <sheet name="U_3.4_SH_LC" sheetId="187" r:id="rId40"/>
    <sheet name="U_3.4_SH_SUM" sheetId="251" r:id="rId41"/>
    <sheet name="SLEN" sheetId="253" r:id="rId42"/>
    <sheet name="CD" sheetId="255" r:id="rId43"/>
    <sheet name="S_3.3_SH" sheetId="192" state="hidden" r:id="rId44"/>
    <sheet name="S_3.3_SH_LC" sheetId="189" r:id="rId45"/>
    <sheet name="S_3.3_SH_SUM" sheetId="190" r:id="rId46"/>
    <sheet name="SS_NA" sheetId="250" r:id="rId47"/>
    <sheet name="Piercap" sheetId="178" r:id="rId48"/>
    <sheet name="Piercap_2" sheetId="179" r:id="rId49"/>
    <sheet name="&lt;NP&gt;" sheetId="222" state="hidden" r:id="rId50"/>
    <sheet name="NP" sheetId="197" state="hidden" r:id="rId51"/>
    <sheet name="Mprop" sheetId="74" state="hidden" r:id="rId52"/>
    <sheet name="LC_DEF_2" sheetId="119" state="hidden" r:id="rId53"/>
    <sheet name="TEMP" sheetId="44" state="hidden" r:id="rId54"/>
  </sheets>
  <externalReferences>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s>
  <definedNames>
    <definedName name="_xlnm._FilterDatabase" localSheetId="2" hidden="1">GEN!$H$78:$I$81</definedName>
    <definedName name="bhisti">[1]Labour!$D$3</definedName>
    <definedName name="BRIDGE">[2]Material!$D$115</definedName>
    <definedName name="BRIDGE10">[3]Material!$D$50</definedName>
    <definedName name="BRIDGE11">[3]Material!$D$18</definedName>
    <definedName name="DFDFDFDEF">[4]Material!$D$109</definedName>
    <definedName name="dia">[5]Intro!$L$151</definedName>
    <definedName name="FGFGFG">[4]Material!$D$110</definedName>
    <definedName name="FRT" localSheetId="42">[6]horizontal!#REF!</definedName>
    <definedName name="FRT">[6]horizontal!#REF!</definedName>
    <definedName name="L">[7]Sheet1!$G$31</definedName>
    <definedName name="L_Bhisti">[8]Labour!$D$3</definedName>
    <definedName name="L_BitumenSprayer">[9]Labour!$D$4</definedName>
    <definedName name="L_Blacksmith">[8]Labour!$D$5</definedName>
    <definedName name="L_Carpenter_1stClass">[10]Labour!$D$7</definedName>
    <definedName name="L_Dresser_Skilled">[9]Labour!$D$10</definedName>
    <definedName name="L_Mason_1stClass">[8]Labour!$D$14</definedName>
    <definedName name="L_Mason_2ndClass">[8]Labour!$D$15</definedName>
    <definedName name="L_Mate">[8]Labour!$D$16</definedName>
    <definedName name="L_Mazdoor">[8]Labour!$D$17</definedName>
    <definedName name="L_Mazdoor_Semi">[8]Labour!$D$18</definedName>
    <definedName name="L_Mazdoor_Skilled">[8]Labour!$D$19</definedName>
    <definedName name="L_Surveyor">[8]Labour!$D$22</definedName>
    <definedName name="len">[5]Intro!$L$153</definedName>
    <definedName name="M_ACPipe_100">[8]Material!$D$3</definedName>
    <definedName name="M_Aggregate_10">[8]Material!$D$17</definedName>
    <definedName name="M_Aggregate_20">[8]Material!$D$18</definedName>
    <definedName name="M_Aggregate_224_236m_WMM">[9]Material!$D$26</definedName>
    <definedName name="M_Aggregate_375mmMaximum_224_56mm">[8]Material!$D$4</definedName>
    <definedName name="M_Aggregate_40">[8]Material!$D$19</definedName>
    <definedName name="M_Aggregate_45_224m_WMM">[9]Material!$D$27</definedName>
    <definedName name="M_Aggregate_Crushable_GradeII">[9]Material!$D$21</definedName>
    <definedName name="M_Aggregate_Crushable_GradeIII">[9]Material!$D$22</definedName>
    <definedName name="M_Aggregate_GradeII_19mmNominal_10_5mm">[9]Material!$D$14</definedName>
    <definedName name="M_Aggregate_GradeII_19mmNominal_25_10mm">[9]Material!$D$15</definedName>
    <definedName name="M_Aggregate_GradeII_19mmNominal_5mm_below">[9]Material!$D$16</definedName>
    <definedName name="M_Aggregate_GradeII_63_45mm">[8]Material!$D$24</definedName>
    <definedName name="M_Aggregate_GradeIII_53_224mm">[8]Material!$D$25</definedName>
    <definedName name="M_AluminiumSheeting_15mm">[11]Material!$D$28</definedName>
    <definedName name="M_BindingMaterial">[8]Material!$D$37</definedName>
    <definedName name="M_BindingWire">[8]Material!$D$38</definedName>
    <definedName name="M_Bitumen_CRM">[11]Material!$D$42</definedName>
    <definedName name="M_Bitumen_NRM">[11]Material!$D$40</definedName>
    <definedName name="M_Bitumen_PM">[11]Material!$D$41</definedName>
    <definedName name="M_Bitumen_S65">[9]Material!$D$42</definedName>
    <definedName name="M_Bitumen_S90">[8]Material!$D$43</definedName>
    <definedName name="M_BitumenEmulsion_RS1">[8]Material!$D$44</definedName>
    <definedName name="M_BitumenEmulsion_SS1">[8]Material!$D$45</definedName>
    <definedName name="M_BitumenSealant">[8]Material!$D$46</definedName>
    <definedName name="M_BondStone_400_150_150mm">[12]Material!$D$49</definedName>
    <definedName name="M_Brick_1stClass">[8]Material!$D$50</definedName>
    <definedName name="M_Cement">[8]Material!$D$51</definedName>
    <definedName name="M_CompensationForEarthTakenFromPrivateLand">[8]Material!$D$54</definedName>
    <definedName name="M_CorrosionResistantStructuralSteelGrating">[8]Material!$D$58</definedName>
    <definedName name="M_CrowBars_40mm">[9]Material!$D$60</definedName>
    <definedName name="M_CrushedSand_OR_Grit">[8]Material!$D$61</definedName>
    <definedName name="M_CrushedStoneChipping_132">[8]Material!$D$64</definedName>
    <definedName name="M_CrushedStoneChipping_67mm_100Passing_112mm">[9]Material!$D$65</definedName>
    <definedName name="M_CrushedStoneChipping_95">[11]Material!$D$67</definedName>
    <definedName name="M_CuringCompound">[8]Material!$D$69</definedName>
    <definedName name="M_DebondingStrips">[8]Material!$D$70</definedName>
    <definedName name="M_FarmyardManure">[8]Material!$D$77</definedName>
    <definedName name="M_FilterMedia">[8]Material!$D$79</definedName>
    <definedName name="M_FineAggregate_CrushedSand">[9]Material!$D$80</definedName>
    <definedName name="M_GIPipe_100mm">[8]Material!$D$84</definedName>
    <definedName name="M_GradedStoneAggregate">[8]Material!$D$87</definedName>
    <definedName name="M_GranularMaterial">[8]Material!$D$88</definedName>
    <definedName name="M_JointFillerBoard">[8]Material!$D$93</definedName>
    <definedName name="M_JuteRope_12mm">[8]Material!$D$95</definedName>
    <definedName name="M_MS_Sheet_15mm">[8]Material!$D$105</definedName>
    <definedName name="M_MS_Sheet_2mm">[8]Material!$D$106</definedName>
    <definedName name="M_MSClamps">[8]Material!$D$102</definedName>
    <definedName name="M_MSFlat_StructuralSteel">[8]Material!$D$103</definedName>
    <definedName name="M_MSSheetTube_47_47mm_12_SWG">[8]Material!$D$104</definedName>
    <definedName name="M_Plasticizer">[8]Material!$D$109</definedName>
    <definedName name="M_PolytheneSheet_125">[8]Material!$D$110</definedName>
    <definedName name="M_PolytheneSheething">[8]Material!$D$111</definedName>
    <definedName name="M_RCCPipeNP3_1000mm">[11]Material!$D$114</definedName>
    <definedName name="M_RCCPipeNP3_1200mm">[11]Material!$D$113</definedName>
    <definedName name="M_RCCPipeNP3_750mm">[11]Material!$D$115</definedName>
    <definedName name="M_Sand_Coarse">[8]Material!$D$125</definedName>
    <definedName name="M_Sand_Fine">[9]Material!$D$126</definedName>
    <definedName name="M_SteelReinforcement_HYSDBars">[8]Material!$D$129</definedName>
    <definedName name="M_SteelReinforcement_MSRoundBars">[8]Material!$D$130</definedName>
    <definedName name="M_StoneBoulder_150mm_below">[8]Material!$D$132</definedName>
    <definedName name="M_StoneForCoarseRubbleMasonry_2ndSort">[10]Material!$D$137</definedName>
    <definedName name="M_StoneForRandomRubbleMasonry">[12]Material!$D$138</definedName>
    <definedName name="M_StoneScreening_TypeB_112mm_Grade2">[8]Material!$D$142</definedName>
    <definedName name="M_StoneScreening_TypeB_112mm_Grade3">[8]Material!$D$143</definedName>
    <definedName name="M_StoneSpalls">[8]Material!$D$144</definedName>
    <definedName name="M_Water">[8]Material!$D$146</definedName>
    <definedName name="M_WellGradedGranularBaseMaterial_GradeA_236mm">[9]Material!$D$147</definedName>
    <definedName name="M_WellGradedGranularBaseMaterial_GradeA_265_475mm">[9]Material!$D$148</definedName>
    <definedName name="M_WellGradedGranularBaseMaterial_GradeA_53_265mm">[9]Material!$D$149</definedName>
    <definedName name="M_WellGradedGranularBaseMaterial_GradeC_236mm_below">[9]Material!$D$152</definedName>
    <definedName name="M_WellGradedGranularBaseMaterial_GradeC_95_475mm">[9]Material!$D$153</definedName>
    <definedName name="M_WellGradedMateralForSubbase_GradeI_236mm_below">[11]Material!$D$154</definedName>
    <definedName name="M_WellGradedMateralForSubbase_GradeI_53_95mm">[11]Material!$D$155</definedName>
    <definedName name="M_WellGradedMateralForSubbase_GradeI_95_236mm">[11]Material!$D$156</definedName>
    <definedName name="M_WellGradedMateralForSubbase_GradeII_236mm_below">[9]Material!$D$157</definedName>
    <definedName name="M_WellGradedMateralForSubbase_GradeII_265_95mm">[9]Material!$D$158</definedName>
    <definedName name="M_WellGradedMateralForSubbase_GradeII_95_236mm">[9]Material!$D$159</definedName>
    <definedName name="M_WellGradedMateralForSubbase_GradeIII_236mm_below">[9]Material!$D$160</definedName>
    <definedName name="M_WellGradedMateralForSubbase_GradeIII_475_236mm">[9]Material!$D$161</definedName>
    <definedName name="M_WellGradedMateralForSubbase_GradeIII_95_475mm">[9]Material!$D$162</definedName>
    <definedName name="M_WoodenSleepers">[9]Material!$D$163</definedName>
    <definedName name="plcath">[5]Intro!$L$149</definedName>
    <definedName name="PM_AirCompressor_210cfm">'[8]Plant &amp;  Machinery'!$G$4</definedName>
    <definedName name="PM_BatchMixHMP_46_60THP">'[9]Plant &amp;  Machinery'!$G$5</definedName>
    <definedName name="PM_BitumenBoilerOilFired_1000">'[8]Plant &amp;  Machinery'!$G$9</definedName>
    <definedName name="PM_BitumenBoilerOilFired_200">'[9]Plant &amp;  Machinery'!$G$8</definedName>
    <definedName name="PM_BitumenEmulsionPressureDistributor">'[8]Plant &amp;  Machinery'!$G$10</definedName>
    <definedName name="PM_ConcreteMixer">'[8]Plant &amp;  Machinery'!$G$11</definedName>
    <definedName name="PM_Crane">'[9]Plant &amp;  Machinery'!$G$12</definedName>
    <definedName name="PM_Dozer_D50">'[8]Plant &amp;  Machinery'!$G$13</definedName>
    <definedName name="PM_ElectricGeneratorSet_125">'[9]Plant &amp;  Machinery'!$G$15</definedName>
    <definedName name="PM_FrontEndLoader_1cum">'[8]Plant &amp;  Machinery'!$G$17</definedName>
    <definedName name="PM_HydraulicBroom">'[8]Plant &amp;  Machinery'!$G$19</definedName>
    <definedName name="PM_HydraulicExcavator_09cum">'[8]Plant &amp;  Machinery'!$G$20</definedName>
    <definedName name="PM_JointCuttingMachine">'[8]Plant &amp;  Machinery'!$G$23</definedName>
    <definedName name="PM_Mixall_6_10t">'[8]Plant &amp;  Machinery'!$G$24</definedName>
    <definedName name="PM_MotorGrader">'[8]Plant &amp;  Machinery'!$G$25</definedName>
    <definedName name="PM_NeedleVibrator">'[8]Plant &amp;  Machinery'!$G$27</definedName>
    <definedName name="PM_PaverFinisher">'[9]Plant &amp;  Machinery'!$G$28</definedName>
    <definedName name="PM_PlateVibrator">'[8]Plant &amp;  Machinery'!$G$30</definedName>
    <definedName name="PM_ScreedVibrator">'[8]Plant &amp;  Machinery'!$G$31</definedName>
    <definedName name="PM_ThreeWheeled_80_100kN_StaticRoller">'[8]Plant &amp;  Machinery'!$G$34</definedName>
    <definedName name="PM_Tipper_55">'[8]Plant &amp;  Machinery'!$G$45</definedName>
    <definedName name="PM_Tractor_Ripper">'[8]Plant &amp;  Machinery'!$G$47</definedName>
    <definedName name="PM_Tractor_Rotavator">'[9]Plant &amp;  Machinery'!$G$49</definedName>
    <definedName name="PM_Tractor_Trolley">'[8]Plant &amp;  Machinery'!$G$48</definedName>
    <definedName name="PM_Truck">'[10]Plant &amp;  Machinery'!$G$50</definedName>
    <definedName name="PM_VibratoryRoller_80_100kN">'[9]Plant &amp;  Machinery'!$G$51</definedName>
    <definedName name="PM_WaterTanker_6kl">'[8]Plant &amp;  Machinery'!$G$53</definedName>
    <definedName name="PM_WetMixPlant_or_PugMill">'[9]Plant &amp;  Machinery'!$G$54</definedName>
    <definedName name="_xlnm.Print_Area" localSheetId="30">'3.3S'!$E$6</definedName>
    <definedName name="_xlnm.Print_Area" localSheetId="31">'3.3S_LC'!$A$1:$K$146</definedName>
    <definedName name="_xlnm.Print_Area" localSheetId="32">'3.3S_LC_SUM'!$A$1:$R$34</definedName>
    <definedName name="_xlnm.Print_Area" localSheetId="16">'3.4'!$E$7</definedName>
    <definedName name="_xlnm.Print_Area" localSheetId="18">'3.4_LC_sum'!$A$1:$S$94</definedName>
    <definedName name="_xlnm.Print_Area" localSheetId="20">'3.4D'!$E$5</definedName>
    <definedName name="_xlnm.Print_Area" localSheetId="21">'3.4D_LC'!$A$1:$K$1592</definedName>
    <definedName name="_xlnm.Print_Area" localSheetId="22">'3.4D_LC_sum'!$A$1:$Q$89</definedName>
    <definedName name="_xlnm.Print_Area" localSheetId="42">CD!$A$1:$Q$292</definedName>
    <definedName name="_xlnm.Print_Area" localSheetId="24">D_PC_L!$A$1:$M$207</definedName>
    <definedName name="_xlnm.Print_Area" localSheetId="25">D_PC_T!$A$1:$M$207</definedName>
    <definedName name="_xlnm.Print_Area" localSheetId="2">GEN!$A$1:$L$280</definedName>
    <definedName name="_xlnm.Print_Area" localSheetId="19">HC_P!$A$1:$N$52</definedName>
    <definedName name="_xlnm.Print_Area" localSheetId="14">'Hydro dynamic'!$A$1:$K$118</definedName>
    <definedName name="_xlnm.Print_Area" localSheetId="52">LC_DEF_2!$A$1:$F$102</definedName>
    <definedName name="_xlnm.Print_Area" localSheetId="7">LL!$A$1:$K$151</definedName>
    <definedName name="_xlnm.Print_Area" localSheetId="8">LLH!$A$1:$M$78</definedName>
    <definedName name="_xlnm.Print_Area" localSheetId="51">Mprop!$A$1:$L$138</definedName>
    <definedName name="_xlnm.Print_Area" localSheetId="35">p!$A$1:$N$82</definedName>
    <definedName name="_xlnm.Print_Area" localSheetId="47">Piercap!$A$1:$R$154</definedName>
    <definedName name="_xlnm.Print_Area" localSheetId="48">Piercap_2!$A$1:$Y$247</definedName>
    <definedName name="_xlnm.Print_Area" localSheetId="28">PILE_SH!$A$1:$L$51</definedName>
    <definedName name="_xlnm.Print_Area" localSheetId="43">S_3.3_SH!$E$6</definedName>
    <definedName name="_xlnm.Print_Area" localSheetId="45">S_3.3_SH_SUM!$A$1:$K$33</definedName>
    <definedName name="_xlnm.Print_Area" localSheetId="9">SEIS!$A$1:$K$54</definedName>
    <definedName name="_xlnm.Print_Area" localSheetId="15">SF!$B$3</definedName>
    <definedName name="_xlnm.Print_Area" localSheetId="37">SHF!$D$6</definedName>
    <definedName name="_xlnm.Print_Area" localSheetId="6">SI!$A$1:$M$55</definedName>
    <definedName name="_xlnm.Print_Area" localSheetId="41">SLEN!$A$1:$U$159</definedName>
    <definedName name="_xlnm.Print_Area" localSheetId="34">SLS_P!$A$1:$N$70</definedName>
    <definedName name="_xlnm.Print_Area" localSheetId="46">SS_NA!$A$1:$M$183</definedName>
    <definedName name="_xlnm.Print_Area" localSheetId="12">SUB_SEIS!$A$1:$L$62</definedName>
    <definedName name="_xlnm.Print_Area" localSheetId="5">SUP!$A$1:$L$143</definedName>
    <definedName name="_xlnm.Print_Area" localSheetId="10">SUP_SEIS!$A$1:$K$78</definedName>
    <definedName name="_xlnm.Print_Area" localSheetId="38">U_3.4_SH!$E$7</definedName>
    <definedName name="_xlnm.Print_Area" localSheetId="40">U_3.4_SH_SUM!$A$1:$J$79</definedName>
    <definedName name="_xlnm.Print_Area" localSheetId="27">U_PILE!$A$1:$P$108</definedName>
    <definedName name="qnetlat" localSheetId="42">[6]horizontal!#REF!</definedName>
    <definedName name="qnetlat">[6]horizontal!#REF!</definedName>
    <definedName name="qnetseis" localSheetId="42">[6]horizontal!#REF!</definedName>
    <definedName name="qnetseis">[6]horizontal!#REF!</definedName>
    <definedName name="RUPESH">[4]Labour!$D$19</definedName>
    <definedName name="RW" localSheetId="42">[13]Sheet1!#REF!</definedName>
    <definedName name="RW">[13]Sheet1!#REF!</definedName>
  </definedNames>
  <calcPr calcId="124519" iterate="1"/>
</workbook>
</file>

<file path=xl/calcChain.xml><?xml version="1.0" encoding="utf-8"?>
<calcChain xmlns="http://schemas.openxmlformats.org/spreadsheetml/2006/main">
  <c r="F92" i="2"/>
  <c r="F89"/>
  <c r="D79" i="71" l="1"/>
  <c r="I88" i="250" l="1"/>
  <c r="C33"/>
  <c r="C37"/>
  <c r="B38"/>
  <c r="B40"/>
  <c r="B37"/>
  <c r="B34"/>
  <c r="B36"/>
  <c r="B33"/>
  <c r="E224" i="255"/>
  <c r="E288"/>
  <c r="F167"/>
  <c r="F168"/>
  <c r="V210" s="1"/>
  <c r="B211"/>
  <c r="E211"/>
  <c r="F207" l="1"/>
  <c r="I180"/>
  <c r="F178"/>
  <c r="A54" l="1"/>
  <c r="A55" s="1"/>
  <c r="A56" s="1"/>
  <c r="A57" s="1"/>
  <c r="A58" s="1"/>
  <c r="A59" s="1"/>
  <c r="A60" s="1"/>
  <c r="A61" s="1"/>
  <c r="A62" s="1"/>
  <c r="A63" s="1"/>
  <c r="A37"/>
  <c r="A38" s="1"/>
  <c r="A39" s="1"/>
  <c r="A40" s="1"/>
  <c r="A41" s="1"/>
  <c r="A42" s="1"/>
  <c r="A43" s="1"/>
  <c r="A44" s="1"/>
  <c r="A45" s="1"/>
  <c r="A46" s="1"/>
  <c r="C30"/>
  <c r="C29"/>
  <c r="K20"/>
  <c r="D40" i="250" s="1"/>
  <c r="K19" i="255"/>
  <c r="D39" i="250" s="1"/>
  <c r="I19" i="255"/>
  <c r="B39" i="250" s="1"/>
  <c r="X28" i="255"/>
  <c r="K18"/>
  <c r="D38" i="250" s="1"/>
  <c r="J18" i="255"/>
  <c r="L17"/>
  <c r="K17"/>
  <c r="D37" i="250" s="1"/>
  <c r="K15" i="255"/>
  <c r="D36" i="250" s="1"/>
  <c r="K14" i="255"/>
  <c r="D35" i="250" s="1"/>
  <c r="I14" i="255"/>
  <c r="B35" i="250" s="1"/>
  <c r="K13" i="255"/>
  <c r="D34" i="250" s="1"/>
  <c r="J13" i="255"/>
  <c r="L12"/>
  <c r="K12"/>
  <c r="D33" i="250" s="1"/>
  <c r="C8" i="186"/>
  <c r="J14" i="255" l="1"/>
  <c r="C34" i="250"/>
  <c r="J20" i="255"/>
  <c r="C40" i="250" s="1"/>
  <c r="C38"/>
  <c r="L14" i="255"/>
  <c r="I35" i="250" s="1"/>
  <c r="I33"/>
  <c r="L18" i="255"/>
  <c r="J37" i="250"/>
  <c r="L13" i="255"/>
  <c r="J19"/>
  <c r="C39" i="250" s="1"/>
  <c r="L19" i="255" l="1"/>
  <c r="J38" i="250"/>
  <c r="L15" i="255"/>
  <c r="I36" i="250" s="1"/>
  <c r="I34"/>
  <c r="J15" i="255"/>
  <c r="C36" i="250" s="1"/>
  <c r="C35"/>
  <c r="K246" i="179"/>
  <c r="K243"/>
  <c r="K240"/>
  <c r="F210"/>
  <c r="F207"/>
  <c r="L204"/>
  <c r="K204"/>
  <c r="F204"/>
  <c r="H192"/>
  <c r="J228" s="1"/>
  <c r="F246" s="1"/>
  <c r="N189"/>
  <c r="L207" s="1"/>
  <c r="L189"/>
  <c r="O189" s="1"/>
  <c r="H189"/>
  <c r="J225" s="1"/>
  <c r="F243" s="1"/>
  <c r="S186"/>
  <c r="O186"/>
  <c r="H186"/>
  <c r="J222" s="1"/>
  <c r="F240" s="1"/>
  <c r="D104"/>
  <c r="C104"/>
  <c r="F104" s="1"/>
  <c r="D101"/>
  <c r="D98"/>
  <c r="C98"/>
  <c r="C101" s="1"/>
  <c r="N61"/>
  <c r="N66" s="1"/>
  <c r="N71" s="1"/>
  <c r="N59"/>
  <c r="N64" s="1"/>
  <c r="N69" s="1"/>
  <c r="G38"/>
  <c r="G34"/>
  <c r="H33"/>
  <c r="H37" s="1"/>
  <c r="H32"/>
  <c r="H36" s="1"/>
  <c r="G32"/>
  <c r="H29"/>
  <c r="H30" s="1"/>
  <c r="H34" s="1"/>
  <c r="H38" s="1"/>
  <c r="G33"/>
  <c r="G37" s="1"/>
  <c r="G4"/>
  <c r="G83" s="1"/>
  <c r="G3"/>
  <c r="F225" s="1"/>
  <c r="C95" i="178"/>
  <c r="E90"/>
  <c r="E107" s="1"/>
  <c r="I67"/>
  <c r="K67" s="1"/>
  <c r="G62"/>
  <c r="F39"/>
  <c r="B36"/>
  <c r="M36" s="1"/>
  <c r="B34"/>
  <c r="D157" i="250"/>
  <c r="D140"/>
  <c r="G183" s="1"/>
  <c r="K91"/>
  <c r="K92" s="1"/>
  <c r="K94" s="1"/>
  <c r="K95" s="1"/>
  <c r="K96" s="1"/>
  <c r="K97" s="1"/>
  <c r="C49"/>
  <c r="C48"/>
  <c r="F88" s="1"/>
  <c r="B46"/>
  <c r="C45"/>
  <c r="B45"/>
  <c r="B49" s="1"/>
  <c r="D146"/>
  <c r="L25"/>
  <c r="G91" s="1"/>
  <c r="G92" s="1"/>
  <c r="L9"/>
  <c r="D134" s="1"/>
  <c r="L8"/>
  <c r="L24" s="1"/>
  <c r="G94" s="1"/>
  <c r="G95" s="1"/>
  <c r="G96" s="1"/>
  <c r="G97" s="1"/>
  <c r="B121" i="189"/>
  <c r="B142" s="1"/>
  <c r="B31" i="190" s="1"/>
  <c r="A121" i="189"/>
  <c r="A142" s="1"/>
  <c r="A31" i="190" s="1"/>
  <c r="A96" i="189"/>
  <c r="B96" s="1"/>
  <c r="B117" s="1"/>
  <c r="B30" i="190" s="1"/>
  <c r="H92" i="189"/>
  <c r="H29" i="190" s="1"/>
  <c r="A73" i="189"/>
  <c r="B73" s="1"/>
  <c r="B92" s="1"/>
  <c r="B29" i="190" s="1"/>
  <c r="H69" i="189"/>
  <c r="H28" i="190" s="1"/>
  <c r="B69" i="189"/>
  <c r="B28" i="190" s="1"/>
  <c r="B50" i="189"/>
  <c r="A50"/>
  <c r="A69" s="1"/>
  <c r="A28" i="190" s="1"/>
  <c r="H46" i="189"/>
  <c r="H26" i="190" s="1"/>
  <c r="A46" i="189"/>
  <c r="A26" i="190" s="1"/>
  <c r="A28" i="189"/>
  <c r="B28" s="1"/>
  <c r="B46" s="1"/>
  <c r="B26" i="190" s="1"/>
  <c r="H24" i="189"/>
  <c r="H25" i="190" s="1"/>
  <c r="A7" i="189"/>
  <c r="B7" s="1"/>
  <c r="B24" s="1"/>
  <c r="B25" i="190" s="1"/>
  <c r="A101" i="192"/>
  <c r="A104" s="1"/>
  <c r="A10"/>
  <c r="B10" s="1"/>
  <c r="B101" s="1"/>
  <c r="B104" s="1"/>
  <c r="C8"/>
  <c r="C7"/>
  <c r="C6"/>
  <c r="C5"/>
  <c r="F102" i="253"/>
  <c r="A1287" i="187"/>
  <c r="A1325" s="1"/>
  <c r="A77" i="251" s="1"/>
  <c r="A1283" i="187"/>
  <c r="A76" i="251" s="1"/>
  <c r="B1245" i="187"/>
  <c r="B1283" s="1"/>
  <c r="B76" i="251" s="1"/>
  <c r="A1245" i="187"/>
  <c r="A1203"/>
  <c r="A1161"/>
  <c r="A1199" s="1"/>
  <c r="A74" i="251" s="1"/>
  <c r="A1119" i="187"/>
  <c r="A1157" s="1"/>
  <c r="A72" i="251" s="1"/>
  <c r="A1115" i="187"/>
  <c r="A71" i="251" s="1"/>
  <c r="B1077" i="187"/>
  <c r="B1115" s="1"/>
  <c r="B71" i="251" s="1"/>
  <c r="A1077" i="187"/>
  <c r="A1035"/>
  <c r="A993"/>
  <c r="A1031" s="1"/>
  <c r="A69" i="251" s="1"/>
  <c r="B989" i="187"/>
  <c r="B67" i="251" s="1"/>
  <c r="B957" i="187"/>
  <c r="A957"/>
  <c r="A989" s="1"/>
  <c r="A67" i="251" s="1"/>
  <c r="A921" i="187"/>
  <c r="B921" s="1"/>
  <c r="B953" s="1"/>
  <c r="B66" i="251" s="1"/>
  <c r="B885" i="187"/>
  <c r="B917" s="1"/>
  <c r="B65" i="251" s="1"/>
  <c r="A885" i="187"/>
  <c r="A917" s="1"/>
  <c r="A65" i="251" s="1"/>
  <c r="A849" i="187"/>
  <c r="B849" s="1"/>
  <c r="B881" s="1"/>
  <c r="B64" i="251" s="1"/>
  <c r="B818" i="187"/>
  <c r="B845" s="1"/>
  <c r="B62" i="251" s="1"/>
  <c r="A818" i="187"/>
  <c r="A845" s="1"/>
  <c r="A62" i="251" s="1"/>
  <c r="A787" i="187"/>
  <c r="B787" s="1"/>
  <c r="B814" s="1"/>
  <c r="B61" i="251" s="1"/>
  <c r="B756" i="187"/>
  <c r="B783" s="1"/>
  <c r="B60" i="251" s="1"/>
  <c r="A756" i="187"/>
  <c r="A783" s="1"/>
  <c r="A60" i="251" s="1"/>
  <c r="A725" i="187"/>
  <c r="B725" s="1"/>
  <c r="B752" s="1"/>
  <c r="B59" i="251" s="1"/>
  <c r="B700" i="187"/>
  <c r="B721" s="1"/>
  <c r="B57" i="251" s="1"/>
  <c r="A700" i="187"/>
  <c r="A721" s="1"/>
  <c r="A57" i="251" s="1"/>
  <c r="A675" i="187"/>
  <c r="B675" s="1"/>
  <c r="B696" s="1"/>
  <c r="B56" i="251" s="1"/>
  <c r="B671" i="187"/>
  <c r="B55" i="251" s="1"/>
  <c r="B652" i="187"/>
  <c r="A652"/>
  <c r="A671" s="1"/>
  <c r="A55" i="251" s="1"/>
  <c r="A648" i="187"/>
  <c r="A54" i="251" s="1"/>
  <c r="A632" i="187"/>
  <c r="B632" s="1"/>
  <c r="B648" s="1"/>
  <c r="B54" i="251" s="1"/>
  <c r="A594" i="187"/>
  <c r="A628" s="1"/>
  <c r="A52" i="251" s="1"/>
  <c r="A590" i="187"/>
  <c r="A51" i="251" s="1"/>
  <c r="B556" i="187"/>
  <c r="B590" s="1"/>
  <c r="B51" i="251" s="1"/>
  <c r="A556" i="187"/>
  <c r="A518"/>
  <c r="A552" s="1"/>
  <c r="A50" i="251" s="1"/>
  <c r="A480" i="187"/>
  <c r="A514" s="1"/>
  <c r="A49" i="251" s="1"/>
  <c r="A476" i="187"/>
  <c r="A47" i="251" s="1"/>
  <c r="B442" i="187"/>
  <c r="B476" s="1"/>
  <c r="B47" i="251" s="1"/>
  <c r="A442" i="187"/>
  <c r="A404"/>
  <c r="A438" s="1"/>
  <c r="A46" i="251" s="1"/>
  <c r="A366" i="187"/>
  <c r="A400" s="1"/>
  <c r="A45" i="251" s="1"/>
  <c r="A328" i="187"/>
  <c r="A362" s="1"/>
  <c r="A44" i="251" s="1"/>
  <c r="A296" i="187"/>
  <c r="B296" s="1"/>
  <c r="B324" s="1"/>
  <c r="B42" i="251" s="1"/>
  <c r="A264" i="187"/>
  <c r="B264" s="1"/>
  <c r="B292" s="1"/>
  <c r="B41" i="251" s="1"/>
  <c r="A232" i="187"/>
  <c r="B232" s="1"/>
  <c r="B260" s="1"/>
  <c r="B40" i="251" s="1"/>
  <c r="A200" i="187"/>
  <c r="B200" s="1"/>
  <c r="B228" s="1"/>
  <c r="B39" i="251" s="1"/>
  <c r="A173" i="187"/>
  <c r="B173" s="1"/>
  <c r="B196" s="1"/>
  <c r="B37" i="251" s="1"/>
  <c r="A146" i="187"/>
  <c r="B146" s="1"/>
  <c r="B169" s="1"/>
  <c r="B36" i="251" s="1"/>
  <c r="A119" i="187"/>
  <c r="B119" s="1"/>
  <c r="B142" s="1"/>
  <c r="B35" i="251" s="1"/>
  <c r="A92" i="187"/>
  <c r="B92" s="1"/>
  <c r="B115" s="1"/>
  <c r="B34" i="251" s="1"/>
  <c r="H88" i="187"/>
  <c r="H32" i="251" s="1"/>
  <c r="B69" i="187"/>
  <c r="B88" s="1"/>
  <c r="B32" i="251" s="1"/>
  <c r="A69" i="187"/>
  <c r="A88" s="1"/>
  <c r="A32" i="251" s="1"/>
  <c r="H65" i="187"/>
  <c r="H31" i="251" s="1"/>
  <c r="B46" i="187"/>
  <c r="B65" s="1"/>
  <c r="B31" i="251" s="1"/>
  <c r="A46" i="187"/>
  <c r="A65" s="1"/>
  <c r="A31" i="251" s="1"/>
  <c r="H42" i="187"/>
  <c r="H30" i="251" s="1"/>
  <c r="A25" i="187"/>
  <c r="A42" s="1"/>
  <c r="A30" i="251" s="1"/>
  <c r="H21" i="187"/>
  <c r="H29" i="251" s="1"/>
  <c r="H115" i="255" s="1"/>
  <c r="A7" i="187"/>
  <c r="B7" s="1"/>
  <c r="B21" s="1"/>
  <c r="B29" i="251" s="1"/>
  <c r="BI91" i="186"/>
  <c r="BH91"/>
  <c r="BG91"/>
  <c r="BF91"/>
  <c r="BD91"/>
  <c r="BC91"/>
  <c r="BB91"/>
  <c r="BA91"/>
  <c r="AY91"/>
  <c r="AX91"/>
  <c r="AW91"/>
  <c r="AV91"/>
  <c r="AT91"/>
  <c r="AS91"/>
  <c r="AR91"/>
  <c r="AQ91"/>
  <c r="AJ91"/>
  <c r="AI91"/>
  <c r="AH91"/>
  <c r="AG91"/>
  <c r="AE91"/>
  <c r="AD91"/>
  <c r="AC91"/>
  <c r="AB91"/>
  <c r="Z91"/>
  <c r="Y91"/>
  <c r="X91"/>
  <c r="W91"/>
  <c r="U91"/>
  <c r="T91"/>
  <c r="S91"/>
  <c r="R91"/>
  <c r="BI89"/>
  <c r="BH89"/>
  <c r="BG89"/>
  <c r="BF89"/>
  <c r="AJ89"/>
  <c r="AI89"/>
  <c r="AH89"/>
  <c r="AG89"/>
  <c r="BI88"/>
  <c r="BH88"/>
  <c r="BG88"/>
  <c r="BF88"/>
  <c r="AJ88"/>
  <c r="AI88"/>
  <c r="AH88"/>
  <c r="AG88"/>
  <c r="BD86"/>
  <c r="BC86"/>
  <c r="BB86"/>
  <c r="BA86"/>
  <c r="AE86"/>
  <c r="AD86"/>
  <c r="AC86"/>
  <c r="AB86"/>
  <c r="BD85"/>
  <c r="BC85"/>
  <c r="BB85"/>
  <c r="BA85"/>
  <c r="AE85"/>
  <c r="AD85"/>
  <c r="AC85"/>
  <c r="AB85"/>
  <c r="BI81"/>
  <c r="BH81"/>
  <c r="BG81"/>
  <c r="BF81"/>
  <c r="BD81"/>
  <c r="BC81"/>
  <c r="BB81"/>
  <c r="BA81"/>
  <c r="AY81"/>
  <c r="AX81"/>
  <c r="AW81"/>
  <c r="AV81"/>
  <c r="AT81"/>
  <c r="AS81"/>
  <c r="AR81"/>
  <c r="AQ81"/>
  <c r="AJ81"/>
  <c r="AI81"/>
  <c r="AH81"/>
  <c r="AG81"/>
  <c r="AE81"/>
  <c r="AD81"/>
  <c r="AC81"/>
  <c r="AB81"/>
  <c r="Z81"/>
  <c r="Y81"/>
  <c r="X81"/>
  <c r="W81"/>
  <c r="U81"/>
  <c r="T81"/>
  <c r="S81"/>
  <c r="R81"/>
  <c r="BI80"/>
  <c r="BH80"/>
  <c r="BG80"/>
  <c r="BF80"/>
  <c r="BD80"/>
  <c r="BC80"/>
  <c r="BB80"/>
  <c r="BA80"/>
  <c r="AY80"/>
  <c r="AX80"/>
  <c r="AW80"/>
  <c r="AV80"/>
  <c r="AJ80"/>
  <c r="AI80"/>
  <c r="AH80"/>
  <c r="AG80"/>
  <c r="AE80"/>
  <c r="AD80"/>
  <c r="AC80"/>
  <c r="AB80"/>
  <c r="Z80"/>
  <c r="Y80"/>
  <c r="X80"/>
  <c r="W80"/>
  <c r="BI78"/>
  <c r="BH78"/>
  <c r="BG78"/>
  <c r="BF78"/>
  <c r="BD78"/>
  <c r="BC78"/>
  <c r="BB78"/>
  <c r="BA78"/>
  <c r="AY78"/>
  <c r="AX78"/>
  <c r="AW78"/>
  <c r="AV78"/>
  <c r="AT78"/>
  <c r="AS78"/>
  <c r="AR78"/>
  <c r="AQ78"/>
  <c r="AO78"/>
  <c r="AN78"/>
  <c r="AM78"/>
  <c r="AL78"/>
  <c r="AJ78"/>
  <c r="AI78"/>
  <c r="AH78"/>
  <c r="AG78"/>
  <c r="AE78"/>
  <c r="AD78"/>
  <c r="AC78"/>
  <c r="AB78"/>
  <c r="Z78"/>
  <c r="Y78"/>
  <c r="X78"/>
  <c r="W78"/>
  <c r="U78"/>
  <c r="T78"/>
  <c r="S78"/>
  <c r="R78"/>
  <c r="P78"/>
  <c r="O78"/>
  <c r="N78"/>
  <c r="M78"/>
  <c r="AX76"/>
  <c r="AV76"/>
  <c r="AT76"/>
  <c r="AS76"/>
  <c r="AR76"/>
  <c r="AQ76"/>
  <c r="BI73"/>
  <c r="BH73"/>
  <c r="BF73"/>
  <c r="BD73"/>
  <c r="BC73"/>
  <c r="BA73"/>
  <c r="AX73"/>
  <c r="AV73"/>
  <c r="AT73"/>
  <c r="AS73"/>
  <c r="AR73"/>
  <c r="AQ73"/>
  <c r="AI73"/>
  <c r="AG73"/>
  <c r="AD73"/>
  <c r="AB73"/>
  <c r="Y73"/>
  <c r="W73"/>
  <c r="U73"/>
  <c r="T73"/>
  <c r="S73"/>
  <c r="R73"/>
  <c r="BI71"/>
  <c r="BH71"/>
  <c r="BG71"/>
  <c r="BF71"/>
  <c r="AJ71"/>
  <c r="AI71"/>
  <c r="AH71"/>
  <c r="AG71"/>
  <c r="BI70"/>
  <c r="BH70"/>
  <c r="BG70"/>
  <c r="BF70"/>
  <c r="AJ70"/>
  <c r="AI70"/>
  <c r="AH70"/>
  <c r="AG70"/>
  <c r="BD68"/>
  <c r="BC68"/>
  <c r="BB68"/>
  <c r="BA68"/>
  <c r="AE68"/>
  <c r="AD68"/>
  <c r="AC68"/>
  <c r="AB68"/>
  <c r="BD67"/>
  <c r="BC67"/>
  <c r="BB67"/>
  <c r="BA67"/>
  <c r="AE67"/>
  <c r="AD67"/>
  <c r="AC67"/>
  <c r="AB67"/>
  <c r="BH63"/>
  <c r="BF63"/>
  <c r="BC63"/>
  <c r="BA63"/>
  <c r="AX63"/>
  <c r="AV63"/>
  <c r="AT63"/>
  <c r="AS63"/>
  <c r="AR63"/>
  <c r="AR60" s="1"/>
  <c r="AQ63"/>
  <c r="AQ60" s="1"/>
  <c r="AI63"/>
  <c r="AG63"/>
  <c r="AD63"/>
  <c r="AB63"/>
  <c r="Y63"/>
  <c r="W63"/>
  <c r="U63"/>
  <c r="T63"/>
  <c r="S63"/>
  <c r="R63"/>
  <c r="BH62"/>
  <c r="BF62"/>
  <c r="BF60" s="1"/>
  <c r="BC62"/>
  <c r="BA62"/>
  <c r="AX62"/>
  <c r="AV62"/>
  <c r="AV60" s="1"/>
  <c r="AI62"/>
  <c r="AG62"/>
  <c r="AD62"/>
  <c r="AB62"/>
  <c r="AB60" s="1"/>
  <c r="Y62"/>
  <c r="W62"/>
  <c r="BI60"/>
  <c r="BH60"/>
  <c r="BG60"/>
  <c r="BD60"/>
  <c r="BC60"/>
  <c r="BB60"/>
  <c r="BA60"/>
  <c r="AY60"/>
  <c r="AX60"/>
  <c r="AW60"/>
  <c r="AT60"/>
  <c r="AS60"/>
  <c r="AO60"/>
  <c r="AN60"/>
  <c r="AM60"/>
  <c r="AL60"/>
  <c r="AJ60"/>
  <c r="AI60"/>
  <c r="AH60"/>
  <c r="AG60"/>
  <c r="AE60"/>
  <c r="AD60"/>
  <c r="AC60"/>
  <c r="Z60"/>
  <c r="Y60"/>
  <c r="X60"/>
  <c r="W60"/>
  <c r="U60"/>
  <c r="T60"/>
  <c r="S60"/>
  <c r="R60"/>
  <c r="P60"/>
  <c r="O60"/>
  <c r="N60"/>
  <c r="M60"/>
  <c r="BI58"/>
  <c r="BG58"/>
  <c r="BD58"/>
  <c r="BB58"/>
  <c r="AY58"/>
  <c r="AW58"/>
  <c r="AT58"/>
  <c r="AR58"/>
  <c r="BI55"/>
  <c r="BG55"/>
  <c r="BD55"/>
  <c r="BB55"/>
  <c r="AY55"/>
  <c r="AW55"/>
  <c r="AT55"/>
  <c r="AR55"/>
  <c r="AJ55"/>
  <c r="AH55"/>
  <c r="AE55"/>
  <c r="AC55"/>
  <c r="Z55"/>
  <c r="Y55"/>
  <c r="X55"/>
  <c r="W55"/>
  <c r="U55"/>
  <c r="S55"/>
  <c r="BI49"/>
  <c r="BI46" s="1"/>
  <c r="BH49"/>
  <c r="BG49"/>
  <c r="BF49"/>
  <c r="BF46" s="1"/>
  <c r="BD49"/>
  <c r="BD46" s="1"/>
  <c r="BC49"/>
  <c r="BB49"/>
  <c r="BA49"/>
  <c r="BA46" s="1"/>
  <c r="AY49"/>
  <c r="AY46" s="1"/>
  <c r="AW49"/>
  <c r="AT49"/>
  <c r="AR49"/>
  <c r="AJ49"/>
  <c r="AJ46" s="1"/>
  <c r="AH49"/>
  <c r="AE49"/>
  <c r="AC49"/>
  <c r="Z49"/>
  <c r="Z46" s="1"/>
  <c r="Y49"/>
  <c r="X49"/>
  <c r="W49"/>
  <c r="W46" s="1"/>
  <c r="U49"/>
  <c r="U46" s="1"/>
  <c r="S49"/>
  <c r="BH46"/>
  <c r="BG46"/>
  <c r="BC46"/>
  <c r="BB46"/>
  <c r="AX46"/>
  <c r="AW46"/>
  <c r="AV46"/>
  <c r="AT46"/>
  <c r="AS46"/>
  <c r="AR46"/>
  <c r="AQ46"/>
  <c r="AO46"/>
  <c r="AN46"/>
  <c r="AM46"/>
  <c r="AL46"/>
  <c r="AI46"/>
  <c r="AH46"/>
  <c r="AG46"/>
  <c r="AE46"/>
  <c r="AD46"/>
  <c r="AC46"/>
  <c r="AB46"/>
  <c r="Y46"/>
  <c r="X46"/>
  <c r="T46"/>
  <c r="S46"/>
  <c r="R46"/>
  <c r="P46"/>
  <c r="O46"/>
  <c r="N46"/>
  <c r="M46"/>
  <c r="B10"/>
  <c r="B102" s="1"/>
  <c r="B105" s="1"/>
  <c r="A10"/>
  <c r="A102" s="1"/>
  <c r="A105" s="1"/>
  <c r="C7"/>
  <c r="C6"/>
  <c r="C5"/>
  <c r="H66" i="184"/>
  <c r="F66"/>
  <c r="N66" s="1"/>
  <c r="H15"/>
  <c r="C57" i="162"/>
  <c r="C56"/>
  <c r="D54"/>
  <c r="D74" i="164"/>
  <c r="M68"/>
  <c r="J68"/>
  <c r="I68"/>
  <c r="M67"/>
  <c r="J67"/>
  <c r="I67"/>
  <c r="M66"/>
  <c r="J66"/>
  <c r="I66"/>
  <c r="M65"/>
  <c r="J65"/>
  <c r="I65"/>
  <c r="M63"/>
  <c r="J63"/>
  <c r="I63"/>
  <c r="M62"/>
  <c r="J62"/>
  <c r="I62"/>
  <c r="M59"/>
  <c r="J59"/>
  <c r="I59"/>
  <c r="M58"/>
  <c r="J58"/>
  <c r="I58"/>
  <c r="M57"/>
  <c r="J57"/>
  <c r="I57"/>
  <c r="M56"/>
  <c r="J56"/>
  <c r="I56"/>
  <c r="M54"/>
  <c r="J54"/>
  <c r="I54"/>
  <c r="M53"/>
  <c r="J53"/>
  <c r="D98" s="1"/>
  <c r="I53"/>
  <c r="F30"/>
  <c r="G21"/>
  <c r="G16"/>
  <c r="G14"/>
  <c r="G111" s="1"/>
  <c r="G11"/>
  <c r="I5"/>
  <c r="E13" i="162" s="1"/>
  <c r="C5" i="164"/>
  <c r="I2" s="1"/>
  <c r="E3" i="162" s="1"/>
  <c r="I4" i="164"/>
  <c r="E11" i="162" s="1"/>
  <c r="P23" i="163"/>
  <c r="P21"/>
  <c r="P20"/>
  <c r="P19"/>
  <c r="J82" s="1"/>
  <c r="C18"/>
  <c r="J5" i="82"/>
  <c r="A124" i="81"/>
  <c r="B124" s="1"/>
  <c r="B145" s="1"/>
  <c r="B34" i="82" s="1"/>
  <c r="A99" i="81"/>
  <c r="B99" s="1"/>
  <c r="B120" s="1"/>
  <c r="B33" i="82" s="1"/>
  <c r="H95" i="81"/>
  <c r="H32" i="82" s="1"/>
  <c r="B75" i="81"/>
  <c r="B95" s="1"/>
  <c r="B32" i="82" s="1"/>
  <c r="A75" i="81"/>
  <c r="A95" s="1"/>
  <c r="A32" i="82" s="1"/>
  <c r="A10" i="163" s="1"/>
  <c r="A57" i="164" s="1"/>
  <c r="A66" s="1"/>
  <c r="H71" i="81"/>
  <c r="H31" i="82" s="1"/>
  <c r="A51" i="81"/>
  <c r="B51" s="1"/>
  <c r="B71" s="1"/>
  <c r="B31" i="82" s="1"/>
  <c r="H47" i="81"/>
  <c r="H29" i="82" s="1"/>
  <c r="B29" i="81"/>
  <c r="B47" s="1"/>
  <c r="B29" i="82" s="1"/>
  <c r="A29" i="81"/>
  <c r="A47" s="1"/>
  <c r="A29" i="82" s="1"/>
  <c r="A7" i="163" s="1"/>
  <c r="A54" i="164" s="1"/>
  <c r="A63" s="1"/>
  <c r="H25" i="81"/>
  <c r="H28" i="82" s="1"/>
  <c r="A7" i="81"/>
  <c r="A25" s="1"/>
  <c r="A28" i="82" s="1"/>
  <c r="A6" i="163" s="1"/>
  <c r="A53" i="164" s="1"/>
  <c r="A62" s="1"/>
  <c r="A108" i="80"/>
  <c r="A111" s="1"/>
  <c r="B10"/>
  <c r="B108" s="1"/>
  <c r="B111" s="1"/>
  <c r="A10"/>
  <c r="C8"/>
  <c r="C7"/>
  <c r="C6"/>
  <c r="C5"/>
  <c r="F66" i="209"/>
  <c r="D7"/>
  <c r="E50" i="239"/>
  <c r="B50"/>
  <c r="F33"/>
  <c r="F8"/>
  <c r="F5"/>
  <c r="F7" s="1"/>
  <c r="F22" s="1"/>
  <c r="F36" s="1"/>
  <c r="F3"/>
  <c r="D66" s="1"/>
  <c r="F2"/>
  <c r="F12" s="1"/>
  <c r="A24" i="159"/>
  <c r="A25" s="1"/>
  <c r="A26" s="1"/>
  <c r="A27" s="1"/>
  <c r="A28" s="1"/>
  <c r="A29" s="1"/>
  <c r="A30" s="1"/>
  <c r="A31" s="1"/>
  <c r="A32" s="1"/>
  <c r="A23"/>
  <c r="C12"/>
  <c r="K11"/>
  <c r="C10"/>
  <c r="K8"/>
  <c r="K5"/>
  <c r="C5"/>
  <c r="D2" i="209" s="1"/>
  <c r="L9" i="167"/>
  <c r="J7"/>
  <c r="E64" s="1"/>
  <c r="E7"/>
  <c r="H50" s="1"/>
  <c r="E4"/>
  <c r="E3"/>
  <c r="E29" s="1"/>
  <c r="E230" i="183"/>
  <c r="B230"/>
  <c r="D226"/>
  <c r="D227" s="1"/>
  <c r="D180"/>
  <c r="D135"/>
  <c r="D124"/>
  <c r="D121"/>
  <c r="D120"/>
  <c r="D118"/>
  <c r="G161" s="1"/>
  <c r="J88"/>
  <c r="F88"/>
  <c r="J78"/>
  <c r="F51"/>
  <c r="E38"/>
  <c r="E17"/>
  <c r="D113" s="1"/>
  <c r="E16"/>
  <c r="D178" s="1"/>
  <c r="G11"/>
  <c r="E12" s="1"/>
  <c r="M7"/>
  <c r="C5" s="1"/>
  <c r="D178" i="70"/>
  <c r="D134"/>
  <c r="D123"/>
  <c r="D120"/>
  <c r="D119"/>
  <c r="D117"/>
  <c r="G160" s="1"/>
  <c r="J87"/>
  <c r="F87"/>
  <c r="J77"/>
  <c r="F50"/>
  <c r="E38"/>
  <c r="E17"/>
  <c r="D112" s="1"/>
  <c r="E16"/>
  <c r="K18" s="1"/>
  <c r="K19" s="1"/>
  <c r="G11"/>
  <c r="E12" s="1"/>
  <c r="M7"/>
  <c r="C5"/>
  <c r="F75" s="1"/>
  <c r="J75" s="1"/>
  <c r="N84" i="160"/>
  <c r="F76" s="1"/>
  <c r="N82"/>
  <c r="N80"/>
  <c r="K106" s="1"/>
  <c r="K108" s="1"/>
  <c r="N79"/>
  <c r="Q106" s="1"/>
  <c r="Q108" s="1"/>
  <c r="N78"/>
  <c r="N138" s="1"/>
  <c r="B71"/>
  <c r="G52"/>
  <c r="F52"/>
  <c r="E11" i="66"/>
  <c r="E8" i="82" s="1"/>
  <c r="E8" i="66"/>
  <c r="E5" i="82" s="1"/>
  <c r="B20" i="163" s="1"/>
  <c r="J7" i="66"/>
  <c r="C6"/>
  <c r="C3" i="82" s="1"/>
  <c r="D18" i="163" s="1"/>
  <c r="B6" i="66"/>
  <c r="B3" i="82" s="1"/>
  <c r="A1549" i="65"/>
  <c r="A1591" s="1"/>
  <c r="A89" i="66" s="1"/>
  <c r="A66" i="160" s="1"/>
  <c r="A104" i="159" s="1"/>
  <c r="A1503" i="65"/>
  <c r="B1503" s="1"/>
  <c r="B1545" s="1"/>
  <c r="B88" i="66" s="1"/>
  <c r="A1499" i="65"/>
  <c r="A87" i="66" s="1"/>
  <c r="A64" i="160" s="1"/>
  <c r="A102" i="159" s="1"/>
  <c r="A1457" i="65"/>
  <c r="B1457" s="1"/>
  <c r="B1499" s="1"/>
  <c r="B87" i="66" s="1"/>
  <c r="A1411" i="65"/>
  <c r="A1453" s="1"/>
  <c r="A86" i="66" s="1"/>
  <c r="A63" i="160" s="1"/>
  <c r="A101" i="159" s="1"/>
  <c r="A1365" i="65"/>
  <c r="A1407" s="1"/>
  <c r="A84" i="66" s="1"/>
  <c r="A61" i="160" s="1"/>
  <c r="A99" i="159" s="1"/>
  <c r="B1319" i="65"/>
  <c r="B1361" s="1"/>
  <c r="B83" i="66" s="1"/>
  <c r="A1319" i="65"/>
  <c r="A1361" s="1"/>
  <c r="A83" i="66" s="1"/>
  <c r="A60" i="160" s="1"/>
  <c r="A98" i="159" s="1"/>
  <c r="A1273" i="65"/>
  <c r="A1315" s="1"/>
  <c r="A82" i="66" s="1"/>
  <c r="A59" i="160" s="1"/>
  <c r="A97" i="159" s="1"/>
  <c r="A1227" i="65"/>
  <c r="B1227" s="1"/>
  <c r="B1269" s="1"/>
  <c r="B81" i="66" s="1"/>
  <c r="A1187" i="65"/>
  <c r="B1187" s="1"/>
  <c r="B1223" s="1"/>
  <c r="B79" i="66" s="1"/>
  <c r="A1147" i="65"/>
  <c r="B1147" s="1"/>
  <c r="B1183" s="1"/>
  <c r="B78" i="66" s="1"/>
  <c r="B1107" i="65"/>
  <c r="B1143" s="1"/>
  <c r="B77" i="66" s="1"/>
  <c r="A1107" i="65"/>
  <c r="A1143" s="1"/>
  <c r="A77" i="66" s="1"/>
  <c r="A54" i="160" s="1"/>
  <c r="A92" i="159" s="1"/>
  <c r="A1067" i="65"/>
  <c r="B1067" s="1"/>
  <c r="B1103" s="1"/>
  <c r="B76" i="66" s="1"/>
  <c r="A1032" i="65"/>
  <c r="B1032" s="1"/>
  <c r="B1063" s="1"/>
  <c r="B74" i="66" s="1"/>
  <c r="A997" i="65"/>
  <c r="A1028" s="1"/>
  <c r="A73" i="66" s="1"/>
  <c r="A50" i="160" s="1"/>
  <c r="A88" i="159" s="1"/>
  <c r="A962" i="65"/>
  <c r="B962" s="1"/>
  <c r="B993" s="1"/>
  <c r="B72" i="66" s="1"/>
  <c r="A927" i="65"/>
  <c r="A958" s="1"/>
  <c r="A71" i="66" s="1"/>
  <c r="A48" i="160" s="1"/>
  <c r="A86" i="159" s="1"/>
  <c r="A902" i="65"/>
  <c r="A923" s="1"/>
  <c r="A69" i="66" s="1"/>
  <c r="A46" i="160" s="1"/>
  <c r="A84" i="159" s="1"/>
  <c r="A877" i="65"/>
  <c r="A898" s="1"/>
  <c r="A68" i="66" s="1"/>
  <c r="A45" i="160" s="1"/>
  <c r="A83" i="159" s="1"/>
  <c r="A854" i="65"/>
  <c r="A873" s="1"/>
  <c r="A67" i="66" s="1"/>
  <c r="A44" i="160" s="1"/>
  <c r="A82" i="159" s="1"/>
  <c r="A834" i="65"/>
  <c r="A850" s="1"/>
  <c r="A66" i="66" s="1"/>
  <c r="A43" i="160" s="1"/>
  <c r="A81" i="159" s="1"/>
  <c r="A809" i="65"/>
  <c r="A830" s="1"/>
  <c r="A64" i="66" s="1"/>
  <c r="A41" i="160" s="1"/>
  <c r="A79" i="159" s="1"/>
  <c r="A784" i="65"/>
  <c r="B784" s="1"/>
  <c r="B805" s="1"/>
  <c r="B63" i="66" s="1"/>
  <c r="A761" i="65"/>
  <c r="B761" s="1"/>
  <c r="B780" s="1"/>
  <c r="B62" i="66" s="1"/>
  <c r="A741" i="65"/>
  <c r="A757" s="1"/>
  <c r="A61" i="66" s="1"/>
  <c r="A38" i="160" s="1"/>
  <c r="A76" i="159" s="1"/>
  <c r="B702" i="65"/>
  <c r="B737" s="1"/>
  <c r="B59" i="66" s="1"/>
  <c r="A702" i="65"/>
  <c r="A737" s="1"/>
  <c r="A59" i="66" s="1"/>
  <c r="A36" i="160" s="1"/>
  <c r="A74" i="159" s="1"/>
  <c r="A663" i="65"/>
  <c r="A698" s="1"/>
  <c r="A58" i="66" s="1"/>
  <c r="A35" i="160" s="1"/>
  <c r="A73" i="159" s="1"/>
  <c r="A624" i="65"/>
  <c r="B624" s="1"/>
  <c r="B659" s="1"/>
  <c r="B57" i="66" s="1"/>
  <c r="A585" i="65"/>
  <c r="A620" s="1"/>
  <c r="A56" i="66" s="1"/>
  <c r="A33" i="160" s="1"/>
  <c r="A71" i="159" s="1"/>
  <c r="A546" i="65"/>
  <c r="A581" s="1"/>
  <c r="A54" i="66" s="1"/>
  <c r="A31" i="160" s="1"/>
  <c r="A69" i="159" s="1"/>
  <c r="A507" i="65"/>
  <c r="B507" s="1"/>
  <c r="B542" s="1"/>
  <c r="B53" i="66" s="1"/>
  <c r="A468" i="65"/>
  <c r="A503" s="1"/>
  <c r="A52" i="66" s="1"/>
  <c r="A29" i="160" s="1"/>
  <c r="A67" i="159" s="1"/>
  <c r="A429" i="65"/>
  <c r="A464" s="1"/>
  <c r="A51" i="66" s="1"/>
  <c r="A28" i="160" s="1"/>
  <c r="A66" i="159" s="1"/>
  <c r="A396" i="65"/>
  <c r="B396" s="1"/>
  <c r="B425" s="1"/>
  <c r="B49" i="66" s="1"/>
  <c r="A363" i="65"/>
  <c r="A392" s="1"/>
  <c r="A48" i="66" s="1"/>
  <c r="A25" i="160" s="1"/>
  <c r="A63" i="159" s="1"/>
  <c r="A330" i="65"/>
  <c r="A359" s="1"/>
  <c r="A47" i="66" s="1"/>
  <c r="A24" i="160" s="1"/>
  <c r="A62" i="159" s="1"/>
  <c r="A326" i="65"/>
  <c r="A46" i="66" s="1"/>
  <c r="A23" i="160" s="1"/>
  <c r="A61" i="159" s="1"/>
  <c r="A297" i="65"/>
  <c r="B297" s="1"/>
  <c r="B326" s="1"/>
  <c r="B46" i="66" s="1"/>
  <c r="A269" i="65"/>
  <c r="A293" s="1"/>
  <c r="A44" i="66" s="1"/>
  <c r="A21" i="160" s="1"/>
  <c r="A59" i="159" s="1"/>
  <c r="A241" i="65"/>
  <c r="B241" s="1"/>
  <c r="B265" s="1"/>
  <c r="B43" i="66" s="1"/>
  <c r="B213" i="65"/>
  <c r="B237" s="1"/>
  <c r="B42" i="66" s="1"/>
  <c r="A213" i="65"/>
  <c r="A237" s="1"/>
  <c r="A42" i="66" s="1"/>
  <c r="A19" i="160" s="1"/>
  <c r="A57" i="159" s="1"/>
  <c r="B185" i="65"/>
  <c r="B209" s="1"/>
  <c r="B41" i="66" s="1"/>
  <c r="A185" i="65"/>
  <c r="A209" s="1"/>
  <c r="A41" i="66" s="1"/>
  <c r="A18" i="160" s="1"/>
  <c r="A56" i="159" s="1"/>
  <c r="H181" i="65"/>
  <c r="H39" i="66" s="1"/>
  <c r="A181" i="65"/>
  <c r="A39" i="66" s="1"/>
  <c r="A16" i="160" s="1"/>
  <c r="A54" i="159" s="1"/>
  <c r="B161" i="65"/>
  <c r="B181" s="1"/>
  <c r="B39" i="66" s="1"/>
  <c r="A161" i="65"/>
  <c r="H157"/>
  <c r="H38" i="66" s="1"/>
  <c r="A137" i="65"/>
  <c r="B137" s="1"/>
  <c r="B157" s="1"/>
  <c r="B38" i="66" s="1"/>
  <c r="H133" i="65"/>
  <c r="H37" i="66" s="1"/>
  <c r="A115" i="65"/>
  <c r="A133" s="1"/>
  <c r="A37" i="66" s="1"/>
  <c r="A14" i="160" s="1"/>
  <c r="A52" i="159" s="1"/>
  <c r="H111" i="65"/>
  <c r="H36" i="66" s="1"/>
  <c r="A96" i="65"/>
  <c r="A111" s="1"/>
  <c r="A36" i="66" s="1"/>
  <c r="A13" i="160" s="1"/>
  <c r="A51" i="159" s="1"/>
  <c r="H92" i="65"/>
  <c r="H34" i="66" s="1"/>
  <c r="A72" i="65"/>
  <c r="A92" s="1"/>
  <c r="A34" i="66" s="1"/>
  <c r="A11" i="160" s="1"/>
  <c r="A49" i="159" s="1"/>
  <c r="H68" i="65"/>
  <c r="H33" i="66" s="1"/>
  <c r="A68" i="65"/>
  <c r="A33" i="66" s="1"/>
  <c r="A10" i="160" s="1"/>
  <c r="A48" i="159" s="1"/>
  <c r="A48" i="65"/>
  <c r="B48" s="1"/>
  <c r="B68" s="1"/>
  <c r="B33" i="66" s="1"/>
  <c r="H44" i="65"/>
  <c r="H32" i="66" s="1"/>
  <c r="A44" i="65"/>
  <c r="A32" i="66" s="1"/>
  <c r="A9" i="160" s="1"/>
  <c r="A47" i="159" s="1"/>
  <c r="A26" i="65"/>
  <c r="B26" s="1"/>
  <c r="B44" s="1"/>
  <c r="B32" i="66" s="1"/>
  <c r="H22" i="65"/>
  <c r="H31" i="66" s="1"/>
  <c r="A7" i="65"/>
  <c r="A22" s="1"/>
  <c r="A31" i="66" s="1"/>
  <c r="A8" i="160" s="1"/>
  <c r="A46" i="159" s="1"/>
  <c r="BS100" i="64"/>
  <c r="BR100"/>
  <c r="BQ100"/>
  <c r="BP100"/>
  <c r="BN100"/>
  <c r="BM100"/>
  <c r="BL100"/>
  <c r="BK100"/>
  <c r="BI100"/>
  <c r="BH100"/>
  <c r="BG100"/>
  <c r="BF100"/>
  <c r="BD100"/>
  <c r="BC100"/>
  <c r="BB100"/>
  <c r="BA100"/>
  <c r="BS97"/>
  <c r="BR97"/>
  <c r="BQ97"/>
  <c r="BP97"/>
  <c r="BN97"/>
  <c r="BM97"/>
  <c r="BL97"/>
  <c r="BK97"/>
  <c r="BI97"/>
  <c r="BH97"/>
  <c r="BG97"/>
  <c r="BF97"/>
  <c r="BD97"/>
  <c r="BC97"/>
  <c r="BB97"/>
  <c r="BA97"/>
  <c r="AO97"/>
  <c r="AN97"/>
  <c r="AM97"/>
  <c r="AL97"/>
  <c r="AJ97"/>
  <c r="AI97"/>
  <c r="AH97"/>
  <c r="AG97"/>
  <c r="AE97"/>
  <c r="AD97"/>
  <c r="AC97"/>
  <c r="AB97"/>
  <c r="Z97"/>
  <c r="Y97"/>
  <c r="X97"/>
  <c r="W97"/>
  <c r="BS95"/>
  <c r="BR95"/>
  <c r="BQ95"/>
  <c r="BP95"/>
  <c r="AO95"/>
  <c r="AN95"/>
  <c r="AM95"/>
  <c r="AL95"/>
  <c r="BS94"/>
  <c r="BR94"/>
  <c r="BQ94"/>
  <c r="BP94"/>
  <c r="AO94"/>
  <c r="AN94"/>
  <c r="AM94"/>
  <c r="AL94"/>
  <c r="BN92"/>
  <c r="BM92"/>
  <c r="BL92"/>
  <c r="BK92"/>
  <c r="AJ92"/>
  <c r="AI92"/>
  <c r="AH92"/>
  <c r="AG92"/>
  <c r="BN91"/>
  <c r="BM91"/>
  <c r="BL91"/>
  <c r="BK91"/>
  <c r="AJ91"/>
  <c r="AI91"/>
  <c r="AH91"/>
  <c r="AG91"/>
  <c r="BS87"/>
  <c r="BR87"/>
  <c r="BQ87"/>
  <c r="BP87"/>
  <c r="BN87"/>
  <c r="BM87"/>
  <c r="BL87"/>
  <c r="BK87"/>
  <c r="BI87"/>
  <c r="BH87"/>
  <c r="BG87"/>
  <c r="BF87"/>
  <c r="BD87"/>
  <c r="BC87"/>
  <c r="BB87"/>
  <c r="BA87"/>
  <c r="AO87"/>
  <c r="AN87"/>
  <c r="AM87"/>
  <c r="AL87"/>
  <c r="AJ87"/>
  <c r="AI87"/>
  <c r="AH87"/>
  <c r="AG87"/>
  <c r="AE87"/>
  <c r="AD87"/>
  <c r="AC87"/>
  <c r="AB87"/>
  <c r="Z87"/>
  <c r="Y87"/>
  <c r="X87"/>
  <c r="W87"/>
  <c r="BS86"/>
  <c r="BR86"/>
  <c r="BQ86"/>
  <c r="BP86"/>
  <c r="BN86"/>
  <c r="BM86"/>
  <c r="BL86"/>
  <c r="BK86"/>
  <c r="BI86"/>
  <c r="BH86"/>
  <c r="BG86"/>
  <c r="BF86"/>
  <c r="AO86"/>
  <c r="AN86"/>
  <c r="AM86"/>
  <c r="AL86"/>
  <c r="AJ86"/>
  <c r="AI86"/>
  <c r="AH86"/>
  <c r="AG86"/>
  <c r="AE86"/>
  <c r="AD86"/>
  <c r="AC86"/>
  <c r="AB86"/>
  <c r="BS84"/>
  <c r="BR84"/>
  <c r="BQ84"/>
  <c r="BP84"/>
  <c r="BN84"/>
  <c r="BM84"/>
  <c r="BL84"/>
  <c r="BK84"/>
  <c r="BI84"/>
  <c r="BH84"/>
  <c r="BG84"/>
  <c r="BF84"/>
  <c r="BD84"/>
  <c r="BC84"/>
  <c r="BB84"/>
  <c r="BA84"/>
  <c r="AY84"/>
  <c r="AX84"/>
  <c r="AW84"/>
  <c r="AV84"/>
  <c r="AT84"/>
  <c r="AS84"/>
  <c r="AR84"/>
  <c r="AQ84"/>
  <c r="AO84"/>
  <c r="AN84"/>
  <c r="AM84"/>
  <c r="AL84"/>
  <c r="AJ84"/>
  <c r="AI84"/>
  <c r="AH84"/>
  <c r="AG84"/>
  <c r="AE84"/>
  <c r="AD84"/>
  <c r="AC84"/>
  <c r="AB84"/>
  <c r="Z84"/>
  <c r="Y84"/>
  <c r="X84"/>
  <c r="W84"/>
  <c r="U84"/>
  <c r="T84"/>
  <c r="S84"/>
  <c r="R84"/>
  <c r="P84"/>
  <c r="O84"/>
  <c r="N84"/>
  <c r="M84"/>
  <c r="BH82"/>
  <c r="BF82"/>
  <c r="BD82"/>
  <c r="BC82"/>
  <c r="BB82"/>
  <c r="BA82"/>
  <c r="BS80"/>
  <c r="BR80"/>
  <c r="BP80"/>
  <c r="BN80"/>
  <c r="BM80"/>
  <c r="BK80"/>
  <c r="BH80"/>
  <c r="BF80"/>
  <c r="BD80"/>
  <c r="BC80"/>
  <c r="BB80"/>
  <c r="BA80"/>
  <c r="BS77"/>
  <c r="BS64" s="1"/>
  <c r="BR77"/>
  <c r="BP77"/>
  <c r="BP64" s="1"/>
  <c r="BN77"/>
  <c r="BM77"/>
  <c r="BK77"/>
  <c r="BH77"/>
  <c r="BF77"/>
  <c r="BD77"/>
  <c r="BC77"/>
  <c r="BB77"/>
  <c r="BA77"/>
  <c r="AN77"/>
  <c r="AL77"/>
  <c r="AI77"/>
  <c r="AG77"/>
  <c r="AD77"/>
  <c r="AB77"/>
  <c r="Z77"/>
  <c r="Y77"/>
  <c r="X77"/>
  <c r="W77"/>
  <c r="BS75"/>
  <c r="BR75"/>
  <c r="BQ75"/>
  <c r="BP75"/>
  <c r="AO75"/>
  <c r="AN75"/>
  <c r="AM75"/>
  <c r="AL75"/>
  <c r="BS74"/>
  <c r="BR74"/>
  <c r="BQ74"/>
  <c r="BP74"/>
  <c r="AO74"/>
  <c r="AN74"/>
  <c r="AM74"/>
  <c r="AL74"/>
  <c r="BN72"/>
  <c r="BM72"/>
  <c r="BL72"/>
  <c r="BK72"/>
  <c r="AJ72"/>
  <c r="AI72"/>
  <c r="AH72"/>
  <c r="AG72"/>
  <c r="BN71"/>
  <c r="BM71"/>
  <c r="BL71"/>
  <c r="BK71"/>
  <c r="AJ71"/>
  <c r="AI71"/>
  <c r="AH71"/>
  <c r="AG71"/>
  <c r="BR67"/>
  <c r="BP67"/>
  <c r="BM67"/>
  <c r="BK67"/>
  <c r="BH67"/>
  <c r="BF67"/>
  <c r="BD67"/>
  <c r="BD64" s="1"/>
  <c r="BC67"/>
  <c r="BB67"/>
  <c r="BA67"/>
  <c r="AN67"/>
  <c r="AL67"/>
  <c r="AI67"/>
  <c r="AG67"/>
  <c r="AD67"/>
  <c r="AB67"/>
  <c r="Z67"/>
  <c r="Y67"/>
  <c r="X67"/>
  <c r="W67"/>
  <c r="BR66"/>
  <c r="BR64" s="1"/>
  <c r="BP66"/>
  <c r="BM66"/>
  <c r="BM64" s="1"/>
  <c r="BK66"/>
  <c r="BH66"/>
  <c r="BH64" s="1"/>
  <c r="BF66"/>
  <c r="AN66"/>
  <c r="AN64" s="1"/>
  <c r="AL66"/>
  <c r="AI66"/>
  <c r="AI64" s="1"/>
  <c r="AG66"/>
  <c r="AD66"/>
  <c r="AD64" s="1"/>
  <c r="AB66"/>
  <c r="BQ64"/>
  <c r="BN64"/>
  <c r="BL64"/>
  <c r="BK64"/>
  <c r="BI64"/>
  <c r="BG64"/>
  <c r="BF64"/>
  <c r="BC64"/>
  <c r="BB64"/>
  <c r="BA64"/>
  <c r="AY64"/>
  <c r="AX64"/>
  <c r="AW64"/>
  <c r="AV64"/>
  <c r="AT64"/>
  <c r="AS64"/>
  <c r="AR64"/>
  <c r="AQ64"/>
  <c r="AO64"/>
  <c r="AM64"/>
  <c r="AL64"/>
  <c r="AJ64"/>
  <c r="AH64"/>
  <c r="AG64"/>
  <c r="AE64"/>
  <c r="AC64"/>
  <c r="AB64"/>
  <c r="Z64"/>
  <c r="Y64"/>
  <c r="X64"/>
  <c r="W64"/>
  <c r="U64"/>
  <c r="T64"/>
  <c r="S64"/>
  <c r="R64"/>
  <c r="P64"/>
  <c r="O64"/>
  <c r="N64"/>
  <c r="M64"/>
  <c r="BS62"/>
  <c r="BQ62"/>
  <c r="BN62"/>
  <c r="BL62"/>
  <c r="BI62"/>
  <c r="BG62"/>
  <c r="BD62"/>
  <c r="BB62"/>
  <c r="BS60"/>
  <c r="BQ60"/>
  <c r="BN60"/>
  <c r="BL60"/>
  <c r="BI60"/>
  <c r="BG60"/>
  <c r="BD60"/>
  <c r="BB60"/>
  <c r="BS57"/>
  <c r="BS48" s="1"/>
  <c r="BQ57"/>
  <c r="BN57"/>
  <c r="BN48" s="1"/>
  <c r="BL57"/>
  <c r="BI57"/>
  <c r="BI48" s="1"/>
  <c r="BG57"/>
  <c r="BD57"/>
  <c r="BB57"/>
  <c r="AO57"/>
  <c r="AO48" s="1"/>
  <c r="AM57"/>
  <c r="AJ57"/>
  <c r="AJ48" s="1"/>
  <c r="AH57"/>
  <c r="AE57"/>
  <c r="AE48" s="1"/>
  <c r="AD57"/>
  <c r="AC57"/>
  <c r="AC48" s="1"/>
  <c r="AB57"/>
  <c r="Z57"/>
  <c r="Z48" s="1"/>
  <c r="X57"/>
  <c r="BS51"/>
  <c r="BR51"/>
  <c r="BQ51"/>
  <c r="BP51"/>
  <c r="BN51"/>
  <c r="BM51"/>
  <c r="BL51"/>
  <c r="BK51"/>
  <c r="BI51"/>
  <c r="BG51"/>
  <c r="BG48" s="1"/>
  <c r="BD51"/>
  <c r="BD48" s="1"/>
  <c r="BB51"/>
  <c r="BB48" s="1"/>
  <c r="AO51"/>
  <c r="AM51"/>
  <c r="AM48" s="1"/>
  <c r="AJ51"/>
  <c r="AH51"/>
  <c r="AH48" s="1"/>
  <c r="AE51"/>
  <c r="AD51"/>
  <c r="AC51"/>
  <c r="AB51"/>
  <c r="Z51"/>
  <c r="X51"/>
  <c r="X48" s="1"/>
  <c r="BR48"/>
  <c r="BQ48"/>
  <c r="BP48"/>
  <c r="BM48"/>
  <c r="BL48"/>
  <c r="BK48"/>
  <c r="BH48"/>
  <c r="BF48"/>
  <c r="BC48"/>
  <c r="BA48"/>
  <c r="AY48"/>
  <c r="AX48"/>
  <c r="AW48"/>
  <c r="AV48"/>
  <c r="AT48"/>
  <c r="AS48"/>
  <c r="AR48"/>
  <c r="AQ48"/>
  <c r="AN48"/>
  <c r="AL48"/>
  <c r="AI48"/>
  <c r="AG48"/>
  <c r="AD48"/>
  <c r="AB48"/>
  <c r="Y48"/>
  <c r="W48"/>
  <c r="U48"/>
  <c r="T48"/>
  <c r="S48"/>
  <c r="R48"/>
  <c r="P48"/>
  <c r="O48"/>
  <c r="N48"/>
  <c r="M48"/>
  <c r="B10"/>
  <c r="B109" s="1"/>
  <c r="B112" s="1"/>
  <c r="A10"/>
  <c r="A109" s="1"/>
  <c r="A112" s="1"/>
  <c r="C8"/>
  <c r="C7"/>
  <c r="C6"/>
  <c r="C5"/>
  <c r="C75" i="161"/>
  <c r="E72"/>
  <c r="C65"/>
  <c r="R19"/>
  <c r="C8"/>
  <c r="C12" s="1"/>
  <c r="H6"/>
  <c r="C5"/>
  <c r="L26" i="60"/>
  <c r="L35" s="1"/>
  <c r="D23"/>
  <c r="C21" i="66" s="1"/>
  <c r="C18" i="82" s="1"/>
  <c r="F20" i="60"/>
  <c r="G15"/>
  <c r="L12"/>
  <c r="F12"/>
  <c r="L11"/>
  <c r="L10"/>
  <c r="K9"/>
  <c r="L8"/>
  <c r="K8"/>
  <c r="K11" s="1"/>
  <c r="A1364" i="59"/>
  <c r="B1364" s="1"/>
  <c r="B1405" s="1"/>
  <c r="B94" i="60" s="1"/>
  <c r="A1319" i="59"/>
  <c r="B1319" s="1"/>
  <c r="B1360" s="1"/>
  <c r="B93" i="60" s="1"/>
  <c r="A1274" i="59"/>
  <c r="A1315" s="1"/>
  <c r="A92" i="60" s="1"/>
  <c r="A1229" i="59"/>
  <c r="B1229" s="1"/>
  <c r="B1270" s="1"/>
  <c r="B91" i="60" s="1"/>
  <c r="A1183" i="59"/>
  <c r="A1225" s="1"/>
  <c r="A89" i="60" s="1"/>
  <c r="A1137" i="59"/>
  <c r="A1179" s="1"/>
  <c r="A88" i="60" s="1"/>
  <c r="A1091" i="59"/>
  <c r="B1091" s="1"/>
  <c r="B1133" s="1"/>
  <c r="B87" i="60" s="1"/>
  <c r="A1045" i="59"/>
  <c r="A1087" s="1"/>
  <c r="A86" i="60" s="1"/>
  <c r="A1005" i="59"/>
  <c r="A1041" s="1"/>
  <c r="A84" i="60" s="1"/>
  <c r="A965" i="59"/>
  <c r="A1001" s="1"/>
  <c r="A83" i="60" s="1"/>
  <c r="B925" i="59"/>
  <c r="B961" s="1"/>
  <c r="B82" i="60" s="1"/>
  <c r="A925" i="59"/>
  <c r="A961" s="1"/>
  <c r="A82" i="60" s="1"/>
  <c r="A885" i="59"/>
  <c r="A921" s="1"/>
  <c r="A81" i="60" s="1"/>
  <c r="A850" i="59"/>
  <c r="B850" s="1"/>
  <c r="B881" s="1"/>
  <c r="B79" i="60" s="1"/>
  <c r="A815" i="59"/>
  <c r="A846" s="1"/>
  <c r="A78" i="60" s="1"/>
  <c r="A780" i="59"/>
  <c r="B780" s="1"/>
  <c r="B811" s="1"/>
  <c r="B77" i="60" s="1"/>
  <c r="A745" i="59"/>
  <c r="A776" s="1"/>
  <c r="A76" i="60" s="1"/>
  <c r="A720" i="59"/>
  <c r="B720" s="1"/>
  <c r="B741" s="1"/>
  <c r="B74" i="60" s="1"/>
  <c r="A716" i="59"/>
  <c r="A73" i="60" s="1"/>
  <c r="A695" i="59"/>
  <c r="B695" s="1"/>
  <c r="B716" s="1"/>
  <c r="B73" i="60" s="1"/>
  <c r="A672" i="59"/>
  <c r="B672" s="1"/>
  <c r="B691" s="1"/>
  <c r="B72" i="60" s="1"/>
  <c r="A652" i="59"/>
  <c r="A668" s="1"/>
  <c r="A71" i="60" s="1"/>
  <c r="B613" i="59"/>
  <c r="B648" s="1"/>
  <c r="B69" i="60" s="1"/>
  <c r="A613" i="59"/>
  <c r="A648" s="1"/>
  <c r="A69" i="60" s="1"/>
  <c r="A574" i="59"/>
  <c r="A609" s="1"/>
  <c r="A68" i="60" s="1"/>
  <c r="A535" i="59"/>
  <c r="A570" s="1"/>
  <c r="A67" i="60" s="1"/>
  <c r="A496" i="59"/>
  <c r="B496" s="1"/>
  <c r="B531" s="1"/>
  <c r="B66" i="60" s="1"/>
  <c r="A457" i="59"/>
  <c r="B457" s="1"/>
  <c r="B492" s="1"/>
  <c r="B64" i="60" s="1"/>
  <c r="A418" i="59"/>
  <c r="A453" s="1"/>
  <c r="A63" i="60" s="1"/>
  <c r="A379" i="59"/>
  <c r="B379" s="1"/>
  <c r="B414" s="1"/>
  <c r="B62" i="60" s="1"/>
  <c r="A340" i="59"/>
  <c r="A375" s="1"/>
  <c r="A61" i="60" s="1"/>
  <c r="A307" i="59"/>
  <c r="B307" s="1"/>
  <c r="B336" s="1"/>
  <c r="B59" i="60" s="1"/>
  <c r="A274" i="59"/>
  <c r="B274" s="1"/>
  <c r="B303" s="1"/>
  <c r="B58" i="60" s="1"/>
  <c r="A241" i="59"/>
  <c r="B241" s="1"/>
  <c r="B270" s="1"/>
  <c r="B57" i="60" s="1"/>
  <c r="A208" i="59"/>
  <c r="A237" s="1"/>
  <c r="A56" i="60" s="1"/>
  <c r="A180" i="59"/>
  <c r="B180" s="1"/>
  <c r="B204" s="1"/>
  <c r="B54" i="60" s="1"/>
  <c r="A152" i="59"/>
  <c r="A176" s="1"/>
  <c r="A53" i="60" s="1"/>
  <c r="A124" i="59"/>
  <c r="A148" s="1"/>
  <c r="A52" i="60" s="1"/>
  <c r="A96" i="59"/>
  <c r="A120" s="1"/>
  <c r="A51" i="60" s="1"/>
  <c r="H92" i="59"/>
  <c r="H49" i="60" s="1"/>
  <c r="A72" i="59"/>
  <c r="A92" s="1"/>
  <c r="A49" i="60" s="1"/>
  <c r="H68" i="59"/>
  <c r="H48" i="60" s="1"/>
  <c r="B48" i="59"/>
  <c r="B68" s="1"/>
  <c r="B48" i="60" s="1"/>
  <c r="A48" i="59"/>
  <c r="A68" s="1"/>
  <c r="A48" i="60" s="1"/>
  <c r="H44" i="59"/>
  <c r="H47" i="60" s="1"/>
  <c r="A44" i="59"/>
  <c r="A47" i="60" s="1"/>
  <c r="B26" i="59"/>
  <c r="B44" s="1"/>
  <c r="B47" i="60" s="1"/>
  <c r="A26" i="59"/>
  <c r="H22"/>
  <c r="H46" i="60" s="1"/>
  <c r="A7" i="59"/>
  <c r="B7" s="1"/>
  <c r="B22" s="1"/>
  <c r="B46" i="60" s="1"/>
  <c r="AY101" i="63"/>
  <c r="AX101"/>
  <c r="AW101"/>
  <c r="AV101"/>
  <c r="AT101"/>
  <c r="AS101"/>
  <c r="AR101"/>
  <c r="AQ101"/>
  <c r="AY98"/>
  <c r="AX98"/>
  <c r="AW98"/>
  <c r="AV98"/>
  <c r="AT98"/>
  <c r="AS98"/>
  <c r="AR98"/>
  <c r="AQ98"/>
  <c r="Z98"/>
  <c r="Y98"/>
  <c r="X98"/>
  <c r="W98"/>
  <c r="U98"/>
  <c r="T98"/>
  <c r="S98"/>
  <c r="R98"/>
  <c r="BI96"/>
  <c r="BH96"/>
  <c r="BG96"/>
  <c r="BF96"/>
  <c r="AJ96"/>
  <c r="AI96"/>
  <c r="AH96"/>
  <c r="AG96"/>
  <c r="BI95"/>
  <c r="BH95"/>
  <c r="BG95"/>
  <c r="BF95"/>
  <c r="AJ95"/>
  <c r="AI95"/>
  <c r="AH95"/>
  <c r="AG95"/>
  <c r="BD93"/>
  <c r="BC93"/>
  <c r="BB93"/>
  <c r="BA93"/>
  <c r="AE93"/>
  <c r="AD93"/>
  <c r="AC93"/>
  <c r="AB93"/>
  <c r="BD92"/>
  <c r="BC92"/>
  <c r="BB92"/>
  <c r="BA92"/>
  <c r="AE92"/>
  <c r="AD92"/>
  <c r="AC92"/>
  <c r="AB92"/>
  <c r="AY88"/>
  <c r="AX88"/>
  <c r="AW88"/>
  <c r="AV88"/>
  <c r="AT88"/>
  <c r="AS88"/>
  <c r="AR88"/>
  <c r="AQ88"/>
  <c r="Z88"/>
  <c r="Y88"/>
  <c r="X88"/>
  <c r="W88"/>
  <c r="U88"/>
  <c r="T88"/>
  <c r="S88"/>
  <c r="R88"/>
  <c r="AY87"/>
  <c r="AX87"/>
  <c r="AW87"/>
  <c r="AV87"/>
  <c r="Z87"/>
  <c r="Y87"/>
  <c r="X87"/>
  <c r="W87"/>
  <c r="BI85"/>
  <c r="BH85"/>
  <c r="BG85"/>
  <c r="BF85"/>
  <c r="BD85"/>
  <c r="BC85"/>
  <c r="BB85"/>
  <c r="BA85"/>
  <c r="AY85"/>
  <c r="AX85"/>
  <c r="AW85"/>
  <c r="AV85"/>
  <c r="AT85"/>
  <c r="AS85"/>
  <c r="AR85"/>
  <c r="AQ85"/>
  <c r="AO85"/>
  <c r="AN85"/>
  <c r="AM85"/>
  <c r="AL85"/>
  <c r="AJ85"/>
  <c r="AI85"/>
  <c r="AH85"/>
  <c r="AG85"/>
  <c r="AE85"/>
  <c r="AD85"/>
  <c r="AC85"/>
  <c r="AB85"/>
  <c r="Z85"/>
  <c r="Y85"/>
  <c r="X85"/>
  <c r="W85"/>
  <c r="U85"/>
  <c r="T85"/>
  <c r="S85"/>
  <c r="R85"/>
  <c r="P85"/>
  <c r="O85"/>
  <c r="N85"/>
  <c r="M85"/>
  <c r="AX83"/>
  <c r="AV83"/>
  <c r="AT83"/>
  <c r="AS83"/>
  <c r="AR83"/>
  <c r="AQ83"/>
  <c r="AX81"/>
  <c r="AV81"/>
  <c r="AT81"/>
  <c r="AS81"/>
  <c r="AR81"/>
  <c r="AQ81"/>
  <c r="AX78"/>
  <c r="AV78"/>
  <c r="AT78"/>
  <c r="AS78"/>
  <c r="AR78"/>
  <c r="AQ78"/>
  <c r="Y78"/>
  <c r="W78"/>
  <c r="U78"/>
  <c r="T78"/>
  <c r="S78"/>
  <c r="R78"/>
  <c r="BH76"/>
  <c r="BF76"/>
  <c r="AI76"/>
  <c r="AG76"/>
  <c r="BH75"/>
  <c r="BF75"/>
  <c r="BF65" s="1"/>
  <c r="AI75"/>
  <c r="AG75"/>
  <c r="BC73"/>
  <c r="BA73"/>
  <c r="AD73"/>
  <c r="AB73"/>
  <c r="BC72"/>
  <c r="BA72"/>
  <c r="BA65" s="1"/>
  <c r="AD72"/>
  <c r="AB72"/>
  <c r="AX68"/>
  <c r="AV68"/>
  <c r="AT68"/>
  <c r="AS68"/>
  <c r="AR68"/>
  <c r="AQ68"/>
  <c r="AQ65" s="1"/>
  <c r="Y68"/>
  <c r="W68"/>
  <c r="U68"/>
  <c r="T68"/>
  <c r="S68"/>
  <c r="R68"/>
  <c r="AX67"/>
  <c r="AV67"/>
  <c r="AV65" s="1"/>
  <c r="Y67"/>
  <c r="W67"/>
  <c r="BI65"/>
  <c r="BH65"/>
  <c r="BG65"/>
  <c r="BD65"/>
  <c r="BC65"/>
  <c r="BB65"/>
  <c r="AY65"/>
  <c r="AX65"/>
  <c r="AW65"/>
  <c r="AT65"/>
  <c r="AS65"/>
  <c r="AR65"/>
  <c r="AO65"/>
  <c r="AN65"/>
  <c r="AM65"/>
  <c r="AL65"/>
  <c r="AJ65"/>
  <c r="AI65"/>
  <c r="AH65"/>
  <c r="AG65"/>
  <c r="AE65"/>
  <c r="AD65"/>
  <c r="AC65"/>
  <c r="AB65"/>
  <c r="Z65"/>
  <c r="Y65"/>
  <c r="X65"/>
  <c r="W65"/>
  <c r="U65"/>
  <c r="T65"/>
  <c r="S65"/>
  <c r="R65"/>
  <c r="P65"/>
  <c r="O65"/>
  <c r="N65"/>
  <c r="M65"/>
  <c r="AY63"/>
  <c r="AW63"/>
  <c r="AT63"/>
  <c r="AR63"/>
  <c r="AY61"/>
  <c r="AW61"/>
  <c r="AT61"/>
  <c r="AR61"/>
  <c r="AY58"/>
  <c r="AW58"/>
  <c r="AW49" s="1"/>
  <c r="AT58"/>
  <c r="AR58"/>
  <c r="Z58"/>
  <c r="X58"/>
  <c r="X49" s="1"/>
  <c r="U58"/>
  <c r="S58"/>
  <c r="AY52"/>
  <c r="AW52"/>
  <c r="AT52"/>
  <c r="AR52"/>
  <c r="Z52"/>
  <c r="X52"/>
  <c r="U52"/>
  <c r="S52"/>
  <c r="BI49"/>
  <c r="BH49"/>
  <c r="BG49"/>
  <c r="BF49"/>
  <c r="BD49"/>
  <c r="BC49"/>
  <c r="BB49"/>
  <c r="BA49"/>
  <c r="AY49"/>
  <c r="AX49"/>
  <c r="AV49"/>
  <c r="AT49"/>
  <c r="AS49"/>
  <c r="AR49"/>
  <c r="AQ49"/>
  <c r="AO49"/>
  <c r="AN49"/>
  <c r="AM49"/>
  <c r="AL49"/>
  <c r="AJ49"/>
  <c r="AI49"/>
  <c r="AH49"/>
  <c r="AG49"/>
  <c r="AE49"/>
  <c r="AD49"/>
  <c r="AC49"/>
  <c r="AB49"/>
  <c r="Z49"/>
  <c r="Y49"/>
  <c r="W49"/>
  <c r="U49"/>
  <c r="T49"/>
  <c r="S49"/>
  <c r="R49"/>
  <c r="P49"/>
  <c r="O49"/>
  <c r="N49"/>
  <c r="M49"/>
  <c r="A10"/>
  <c r="C8"/>
  <c r="C7"/>
  <c r="C6"/>
  <c r="C5"/>
  <c r="I55" i="29"/>
  <c r="G55"/>
  <c r="J25"/>
  <c r="J25" i="63" s="1"/>
  <c r="J24" i="29"/>
  <c r="J23"/>
  <c r="J21"/>
  <c r="J20"/>
  <c r="J20" i="63" s="1"/>
  <c r="J19" i="29"/>
  <c r="J1369" i="59" s="1"/>
  <c r="R10" i="169"/>
  <c r="S9"/>
  <c r="S8"/>
  <c r="S7"/>
  <c r="J78" i="168"/>
  <c r="F16"/>
  <c r="F17" s="1"/>
  <c r="E19" s="1"/>
  <c r="H42" s="1"/>
  <c r="G12"/>
  <c r="F13" s="1"/>
  <c r="G8"/>
  <c r="F8"/>
  <c r="G7"/>
  <c r="F7"/>
  <c r="G6"/>
  <c r="F6"/>
  <c r="H61" i="24"/>
  <c r="I51" i="29" s="1"/>
  <c r="G61" i="24"/>
  <c r="H62" i="184" s="1"/>
  <c r="P62" s="1"/>
  <c r="T62" s="1"/>
  <c r="E61" i="24"/>
  <c r="K47"/>
  <c r="K45"/>
  <c r="H45"/>
  <c r="K44"/>
  <c r="H44"/>
  <c r="K43"/>
  <c r="H43"/>
  <c r="I44" i="15"/>
  <c r="I43"/>
  <c r="I42"/>
  <c r="I36"/>
  <c r="I34"/>
  <c r="I33"/>
  <c r="G37" i="11"/>
  <c r="G36"/>
  <c r="D23" i="26" s="1"/>
  <c r="D24" s="1"/>
  <c r="F195" i="213"/>
  <c r="D195"/>
  <c r="C195"/>
  <c r="B195"/>
  <c r="G187"/>
  <c r="F187"/>
  <c r="C187"/>
  <c r="B187"/>
  <c r="E179"/>
  <c r="C179"/>
  <c r="B179"/>
  <c r="D179" s="1"/>
  <c r="C178"/>
  <c r="G171"/>
  <c r="F171"/>
  <c r="D171"/>
  <c r="B171"/>
  <c r="G170"/>
  <c r="E170"/>
  <c r="C170"/>
  <c r="D163"/>
  <c r="C163"/>
  <c r="B163"/>
  <c r="G162"/>
  <c r="E162"/>
  <c r="C162"/>
  <c r="E155"/>
  <c r="C155"/>
  <c r="B155"/>
  <c r="D155" s="1"/>
  <c r="D154"/>
  <c r="C154"/>
  <c r="E154" s="1"/>
  <c r="D147"/>
  <c r="C147"/>
  <c r="B147"/>
  <c r="E146"/>
  <c r="C146"/>
  <c r="E139"/>
  <c r="D139"/>
  <c r="C139"/>
  <c r="B139"/>
  <c r="E138"/>
  <c r="C138"/>
  <c r="B138"/>
  <c r="D131"/>
  <c r="C131"/>
  <c r="B131"/>
  <c r="E130"/>
  <c r="C130"/>
  <c r="E123"/>
  <c r="D123"/>
  <c r="C123"/>
  <c r="B123"/>
  <c r="E122"/>
  <c r="C122"/>
  <c r="B122"/>
  <c r="G114"/>
  <c r="F114"/>
  <c r="D114"/>
  <c r="C114"/>
  <c r="B114"/>
  <c r="C113"/>
  <c r="E113" s="1"/>
  <c r="G113" s="1"/>
  <c r="B113"/>
  <c r="D113" s="1"/>
  <c r="F113" s="1"/>
  <c r="C106"/>
  <c r="B106"/>
  <c r="C105"/>
  <c r="C98"/>
  <c r="B98"/>
  <c r="C97"/>
  <c r="D90"/>
  <c r="C90"/>
  <c r="B90"/>
  <c r="E89"/>
  <c r="D89"/>
  <c r="C89"/>
  <c r="B89"/>
  <c r="A85"/>
  <c r="A117" s="1"/>
  <c r="C82"/>
  <c r="B82"/>
  <c r="B81"/>
  <c r="C81" s="1"/>
  <c r="A54"/>
  <c r="A41"/>
  <c r="H8"/>
  <c r="G6"/>
  <c r="C6"/>
  <c r="D8" s="1"/>
  <c r="E46" i="10"/>
  <c r="H44"/>
  <c r="D44"/>
  <c r="H43"/>
  <c r="D43"/>
  <c r="H42"/>
  <c r="D42"/>
  <c r="H41"/>
  <c r="D41"/>
  <c r="H40"/>
  <c r="F91" i="178" s="1"/>
  <c r="I108" s="1"/>
  <c r="I127" s="1"/>
  <c r="I146" s="1"/>
  <c r="D40" i="10"/>
  <c r="E91" i="178" s="1"/>
  <c r="E108" s="1"/>
  <c r="E36" i="10"/>
  <c r="H28"/>
  <c r="F11" i="24" s="1"/>
  <c r="D23" i="10"/>
  <c r="D22"/>
  <c r="D21"/>
  <c r="D20"/>
  <c r="D19"/>
  <c r="F90" i="178" s="1"/>
  <c r="I107" s="1"/>
  <c r="I126" s="1"/>
  <c r="I145" s="1"/>
  <c r="I4" i="10"/>
  <c r="B4" s="1"/>
  <c r="C4"/>
  <c r="A4"/>
  <c r="J4" s="1"/>
  <c r="F124" i="71"/>
  <c r="D110"/>
  <c r="F117" s="1"/>
  <c r="C99"/>
  <c r="D90"/>
  <c r="D89"/>
  <c r="C89"/>
  <c r="F89" s="1"/>
  <c r="C88"/>
  <c r="D87"/>
  <c r="D86"/>
  <c r="G87" s="1"/>
  <c r="C86"/>
  <c r="C87" s="1"/>
  <c r="F87" s="1"/>
  <c r="K74"/>
  <c r="A74"/>
  <c r="C69"/>
  <c r="C110" s="1"/>
  <c r="K56"/>
  <c r="D98" s="1"/>
  <c r="K55"/>
  <c r="D97" s="1"/>
  <c r="G98" s="1"/>
  <c r="I53"/>
  <c r="C97" s="1"/>
  <c r="D48"/>
  <c r="I43"/>
  <c r="K40"/>
  <c r="I134" s="1"/>
  <c r="F36"/>
  <c r="F28"/>
  <c r="F38" s="1"/>
  <c r="F27"/>
  <c r="B79" s="1"/>
  <c r="B110" s="1"/>
  <c r="F26"/>
  <c r="G80" s="1"/>
  <c r="B257" i="2"/>
  <c r="F256"/>
  <c r="D256"/>
  <c r="I236"/>
  <c r="E236"/>
  <c r="B227"/>
  <c r="F226"/>
  <c r="E220"/>
  <c r="E219"/>
  <c r="E218"/>
  <c r="E217"/>
  <c r="F204"/>
  <c r="E7" i="168" s="1"/>
  <c r="F203" i="2"/>
  <c r="I192"/>
  <c r="D7" i="168" s="1"/>
  <c r="J186" i="2"/>
  <c r="P170"/>
  <c r="D149"/>
  <c r="C143" s="1"/>
  <c r="E203" s="1"/>
  <c r="K144"/>
  <c r="F131"/>
  <c r="G130"/>
  <c r="F129"/>
  <c r="K125"/>
  <c r="C125"/>
  <c r="E125"/>
  <c r="D125"/>
  <c r="D25" i="178" s="1"/>
  <c r="K31" s="1"/>
  <c r="D118" i="2"/>
  <c r="G20" i="178" s="1"/>
  <c r="J116" i="2"/>
  <c r="Q112" s="1"/>
  <c r="Q108"/>
  <c r="I108"/>
  <c r="Q111" s="1"/>
  <c r="H107"/>
  <c r="Q107" s="1"/>
  <c r="E106"/>
  <c r="E6" i="10" s="1"/>
  <c r="L105" i="2"/>
  <c r="J105"/>
  <c r="B105"/>
  <c r="E103"/>
  <c r="D85" i="213" s="1"/>
  <c r="F100" i="2"/>
  <c r="F95"/>
  <c r="C31" i="168" s="1"/>
  <c r="C17" i="169" s="1"/>
  <c r="C19" i="168"/>
  <c r="C5" i="169" s="1"/>
  <c r="F90" i="2"/>
  <c r="I80"/>
  <c r="I35" i="15" s="1"/>
  <c r="I72" i="2"/>
  <c r="I71"/>
  <c r="A64"/>
  <c r="G63"/>
  <c r="A54"/>
  <c r="G53"/>
  <c r="G50"/>
  <c r="G49"/>
  <c r="G51" s="1"/>
  <c r="H30"/>
  <c r="H28"/>
  <c r="H29" s="1"/>
  <c r="H24"/>
  <c r="H21"/>
  <c r="H22" s="1"/>
  <c r="G8"/>
  <c r="F30" i="71" s="1"/>
  <c r="I6" i="2"/>
  <c r="G3" i="213" s="1"/>
  <c r="G8" s="1"/>
  <c r="I8" s="1"/>
  <c r="G6" i="2"/>
  <c r="F25" i="71" s="1"/>
  <c r="P4" i="2"/>
  <c r="P5" s="1"/>
  <c r="P6" s="1"/>
  <c r="P7" s="1"/>
  <c r="P8" s="1"/>
  <c r="P9" s="1"/>
  <c r="P10" s="1"/>
  <c r="A71" i="81" l="1"/>
  <c r="A31" i="82" s="1"/>
  <c r="A9" i="163" s="1"/>
  <c r="A56" i="164" s="1"/>
  <c r="A65" s="1"/>
  <c r="A145" i="81"/>
  <c r="A34" i="82" s="1"/>
  <c r="A12" i="163" s="1"/>
  <c r="A59" i="164" s="1"/>
  <c r="A68" s="1"/>
  <c r="A120" i="81"/>
  <c r="A33" i="82" s="1"/>
  <c r="A11" i="163" s="1"/>
  <c r="A58" i="164" s="1"/>
  <c r="A67" s="1"/>
  <c r="B72" i="65"/>
  <c r="B92" s="1"/>
  <c r="B34" i="66" s="1"/>
  <c r="B363" i="65"/>
  <c r="B392" s="1"/>
  <c r="B48" i="66" s="1"/>
  <c r="B468" i="65"/>
  <c r="B503" s="1"/>
  <c r="B52" i="66" s="1"/>
  <c r="B585" i="65"/>
  <c r="B620" s="1"/>
  <c r="B56" i="66" s="1"/>
  <c r="B854" i="65"/>
  <c r="B873" s="1"/>
  <c r="B67" i="66" s="1"/>
  <c r="B902" i="65"/>
  <c r="B923" s="1"/>
  <c r="B69" i="66" s="1"/>
  <c r="A1223" i="65"/>
  <c r="A79" i="66" s="1"/>
  <c r="A56" i="160" s="1"/>
  <c r="A94" i="159" s="1"/>
  <c r="B1273" i="65"/>
  <c r="B1315" s="1"/>
  <c r="B82" i="66" s="1"/>
  <c r="A1103" i="65"/>
  <c r="A76" i="66" s="1"/>
  <c r="A53" i="160" s="1"/>
  <c r="A91" i="159" s="1"/>
  <c r="A1545" i="65"/>
  <c r="A88" i="66" s="1"/>
  <c r="A65" i="160" s="1"/>
  <c r="A103" i="159" s="1"/>
  <c r="B7" i="65"/>
  <c r="B22" s="1"/>
  <c r="B31" i="66" s="1"/>
  <c r="A659" i="65"/>
  <c r="A57" i="66" s="1"/>
  <c r="A34" i="160" s="1"/>
  <c r="A72" i="159" s="1"/>
  <c r="B877" i="65"/>
  <c r="B898" s="1"/>
  <c r="B68" i="66" s="1"/>
  <c r="A1269" i="65"/>
  <c r="A81" i="66" s="1"/>
  <c r="A58" i="160" s="1"/>
  <c r="A96" i="159" s="1"/>
  <c r="B1411" i="65"/>
  <c r="B1453" s="1"/>
  <c r="B86" i="66" s="1"/>
  <c r="B1549" i="65"/>
  <c r="B1591" s="1"/>
  <c r="B89" i="66" s="1"/>
  <c r="A1133" i="59"/>
  <c r="A87" i="60" s="1"/>
  <c r="A1270" i="59"/>
  <c r="A91" i="60" s="1"/>
  <c r="B152" i="59"/>
  <c r="B176" s="1"/>
  <c r="B53" i="60" s="1"/>
  <c r="A204" i="59"/>
  <c r="A54" i="60" s="1"/>
  <c r="A270" i="59"/>
  <c r="A57" i="60" s="1"/>
  <c r="A336" i="59"/>
  <c r="A59" i="60" s="1"/>
  <c r="B418" i="59"/>
  <c r="B453" s="1"/>
  <c r="B63" i="60" s="1"/>
  <c r="A691" i="59"/>
  <c r="A72" i="60" s="1"/>
  <c r="A741" i="59"/>
  <c r="A74" i="60" s="1"/>
  <c r="B815" i="59"/>
  <c r="B846" s="1"/>
  <c r="B78" i="60" s="1"/>
  <c r="B1137" i="59"/>
  <c r="B1179" s="1"/>
  <c r="B88" i="60" s="1"/>
  <c r="B124" i="59"/>
  <c r="B148" s="1"/>
  <c r="B52" i="60" s="1"/>
  <c r="A492" i="59"/>
  <c r="A64" i="60" s="1"/>
  <c r="B574" i="59"/>
  <c r="B609" s="1"/>
  <c r="B68" i="60" s="1"/>
  <c r="B885" i="59"/>
  <c r="B921" s="1"/>
  <c r="B81" i="60" s="1"/>
  <c r="B1274" i="59"/>
  <c r="B1315" s="1"/>
  <c r="B92" i="60" s="1"/>
  <c r="P66" i="184"/>
  <c r="T66" s="1"/>
  <c r="K16" i="183"/>
  <c r="K17" s="1"/>
  <c r="K18" s="1"/>
  <c r="C17" i="161"/>
  <c r="C19" s="1"/>
  <c r="B48" i="71"/>
  <c r="C90"/>
  <c r="F90" s="1"/>
  <c r="C6" i="70"/>
  <c r="E167" s="1"/>
  <c r="J91" i="163"/>
  <c r="J93" s="1"/>
  <c r="G5" i="179"/>
  <c r="K138" i="160"/>
  <c r="N106"/>
  <c r="N108" s="1"/>
  <c r="K98"/>
  <c r="Q138"/>
  <c r="K19" i="183"/>
  <c r="K20" s="1"/>
  <c r="K21" s="1"/>
  <c r="E22" s="1"/>
  <c r="G86" i="179"/>
  <c r="D179" i="70"/>
  <c r="K13" i="159"/>
  <c r="M14" s="1"/>
  <c r="K60" i="239"/>
  <c r="P158" i="2"/>
  <c r="P164" s="1"/>
  <c r="P167" s="1"/>
  <c r="F23" i="169"/>
  <c r="C98" i="71"/>
  <c r="F98" s="1"/>
  <c r="F97"/>
  <c r="L78" i="26"/>
  <c r="L66"/>
  <c r="C35" i="163"/>
  <c r="C12" i="184"/>
  <c r="B88" i="160"/>
  <c r="E8" i="168"/>
  <c r="F16" i="169" s="1"/>
  <c r="F12"/>
  <c r="A150" i="213"/>
  <c r="A158" s="1"/>
  <c r="A166" s="1"/>
  <c r="A174" s="1"/>
  <c r="A182" s="1"/>
  <c r="A190" s="1"/>
  <c r="A198" s="1"/>
  <c r="A134"/>
  <c r="I50" i="80"/>
  <c r="I50" i="64"/>
  <c r="I51" i="63"/>
  <c r="L43" i="71"/>
  <c r="K43" s="1"/>
  <c r="F59" s="1"/>
  <c r="F32"/>
  <c r="D117" i="213"/>
  <c r="D101"/>
  <c r="K98" s="1"/>
  <c r="H34" s="1"/>
  <c r="H47" s="1"/>
  <c r="D126"/>
  <c r="K123" s="1"/>
  <c r="D109"/>
  <c r="K106" s="1"/>
  <c r="H35" s="1"/>
  <c r="H48" s="1"/>
  <c r="D93"/>
  <c r="K82"/>
  <c r="H33" s="1"/>
  <c r="H46" s="1"/>
  <c r="E12" i="169"/>
  <c r="G12" s="1"/>
  <c r="D8" i="168"/>
  <c r="E16" i="169" s="1"/>
  <c r="G16" s="1"/>
  <c r="F116" i="71"/>
  <c r="I8" i="2"/>
  <c r="H23"/>
  <c r="C31" i="255"/>
  <c r="F63" i="250"/>
  <c r="G7" i="179"/>
  <c r="L10" i="250"/>
  <c r="D168"/>
  <c r="F33" i="164"/>
  <c r="D145" i="70"/>
  <c r="C15" i="159"/>
  <c r="F54" i="183"/>
  <c r="D146"/>
  <c r="F53" i="70"/>
  <c r="G19" i="164"/>
  <c r="J85" i="183"/>
  <c r="J84" i="70"/>
  <c r="G105" i="2"/>
  <c r="Q109"/>
  <c r="Q114" s="1"/>
  <c r="M116" s="1"/>
  <c r="K128" s="1"/>
  <c r="H18" i="15" s="1"/>
  <c r="B118" i="2"/>
  <c r="E25" i="178"/>
  <c r="L31" s="1"/>
  <c r="K110" s="1"/>
  <c r="F143" i="2"/>
  <c r="G203" s="1"/>
  <c r="P161"/>
  <c r="D3" i="178"/>
  <c r="C20" i="251"/>
  <c r="F11"/>
  <c r="D12" i="184"/>
  <c r="D25" i="163"/>
  <c r="D227" i="2"/>
  <c r="F236"/>
  <c r="C19" i="10"/>
  <c r="J28"/>
  <c r="A93" i="213"/>
  <c r="A142" s="1"/>
  <c r="A109"/>
  <c r="A126"/>
  <c r="F62" i="184"/>
  <c r="G51" i="29"/>
  <c r="F20"/>
  <c r="J59" i="81"/>
  <c r="J83"/>
  <c r="J1155" i="65"/>
  <c r="J1419"/>
  <c r="J1327"/>
  <c r="J1115"/>
  <c r="J1075"/>
  <c r="J1002"/>
  <c r="J554"/>
  <c r="J437"/>
  <c r="J305"/>
  <c r="J169"/>
  <c r="J791"/>
  <c r="J404"/>
  <c r="J274"/>
  <c r="J101"/>
  <c r="J745"/>
  <c r="J710"/>
  <c r="J593"/>
  <c r="J371"/>
  <c r="J218"/>
  <c r="J56"/>
  <c r="J909"/>
  <c r="J338"/>
  <c r="J123"/>
  <c r="J1191" i="59"/>
  <c r="J1053"/>
  <c r="J750"/>
  <c r="J348"/>
  <c r="J216"/>
  <c r="J101"/>
  <c r="J80"/>
  <c r="J315"/>
  <c r="J185"/>
  <c r="J1327"/>
  <c r="J504"/>
  <c r="J282"/>
  <c r="J249"/>
  <c r="J34"/>
  <c r="J133" i="81"/>
  <c r="J61"/>
  <c r="J108"/>
  <c r="J38"/>
  <c r="J25" i="80"/>
  <c r="J85" i="81"/>
  <c r="J17"/>
  <c r="J1421" i="65"/>
  <c r="J1329"/>
  <c r="J1117"/>
  <c r="J1004"/>
  <c r="J1559"/>
  <c r="J1513"/>
  <c r="J1375"/>
  <c r="J1283"/>
  <c r="J1467"/>
  <c r="J1237"/>
  <c r="J1197"/>
  <c r="J1157"/>
  <c r="J969"/>
  <c r="J911"/>
  <c r="J1039"/>
  <c r="J934"/>
  <c r="J770"/>
  <c r="J747"/>
  <c r="J712"/>
  <c r="J595"/>
  <c r="J517"/>
  <c r="J373"/>
  <c r="J220"/>
  <c r="J147"/>
  <c r="J58"/>
  <c r="J25" i="64"/>
  <c r="J1077" i="65"/>
  <c r="J840"/>
  <c r="J478"/>
  <c r="J340"/>
  <c r="J125"/>
  <c r="J673"/>
  <c r="J556"/>
  <c r="J439"/>
  <c r="J307"/>
  <c r="J248"/>
  <c r="J171"/>
  <c r="J36"/>
  <c r="J886"/>
  <c r="J863"/>
  <c r="J818"/>
  <c r="J793"/>
  <c r="J634"/>
  <c r="J406"/>
  <c r="J276"/>
  <c r="J192"/>
  <c r="J103"/>
  <c r="J82"/>
  <c r="J14"/>
  <c r="J1147" i="59"/>
  <c r="J895"/>
  <c r="J857"/>
  <c r="J787"/>
  <c r="J623"/>
  <c r="J506"/>
  <c r="J284"/>
  <c r="J131"/>
  <c r="J58"/>
  <c r="J1374"/>
  <c r="J1239"/>
  <c r="J1101"/>
  <c r="J729"/>
  <c r="J704"/>
  <c r="J681"/>
  <c r="J658"/>
  <c r="J584"/>
  <c r="J389"/>
  <c r="J251"/>
  <c r="J36"/>
  <c r="J1329"/>
  <c r="J1193"/>
  <c r="J1055"/>
  <c r="J822"/>
  <c r="J752"/>
  <c r="J467"/>
  <c r="J350"/>
  <c r="J218"/>
  <c r="J159"/>
  <c r="J103"/>
  <c r="J82"/>
  <c r="J1284"/>
  <c r="J1015"/>
  <c r="J975"/>
  <c r="J935"/>
  <c r="J545"/>
  <c r="J428"/>
  <c r="J317"/>
  <c r="J187"/>
  <c r="J14"/>
  <c r="B10" i="63"/>
  <c r="B110" s="1"/>
  <c r="B113" s="1"/>
  <c r="A110"/>
  <c r="A113" s="1"/>
  <c r="J23"/>
  <c r="E225" i="255"/>
  <c r="I29"/>
  <c r="G12" i="179"/>
  <c r="I5" i="253"/>
  <c r="D8" i="209"/>
  <c r="F14" i="239"/>
  <c r="E8" i="167"/>
  <c r="C11" i="159"/>
  <c r="E226" i="255"/>
  <c r="I30"/>
  <c r="I6" i="253"/>
  <c r="D9" i="209"/>
  <c r="C13" i="159"/>
  <c r="Q110" i="2"/>
  <c r="D135"/>
  <c r="E173"/>
  <c r="D226"/>
  <c r="D255"/>
  <c r="C7" i="71"/>
  <c r="C8" s="1"/>
  <c r="C9" s="1"/>
  <c r="C10" s="1"/>
  <c r="C11" s="1"/>
  <c r="F86"/>
  <c r="G97"/>
  <c r="E3" i="10"/>
  <c r="F4" s="1"/>
  <c r="E40"/>
  <c r="C3" i="213"/>
  <c r="C8" s="1"/>
  <c r="E8" s="1"/>
  <c r="H61"/>
  <c r="I41" i="184" s="1"/>
  <c r="Q41" s="1"/>
  <c r="H71" i="213"/>
  <c r="I45" i="184" s="1"/>
  <c r="Q45" s="1"/>
  <c r="H47" i="24"/>
  <c r="J13" i="81"/>
  <c r="J81"/>
  <c r="J129"/>
  <c r="J57"/>
  <c r="J104"/>
  <c r="J34"/>
  <c r="J20" i="80"/>
  <c r="J1463" i="65"/>
  <c r="J1233"/>
  <c r="J1193"/>
  <c r="J1153"/>
  <c r="J1555"/>
  <c r="J1417"/>
  <c r="J1325"/>
  <c r="J1113"/>
  <c r="J1509"/>
  <c r="J1371"/>
  <c r="J1279"/>
  <c r="J1073"/>
  <c r="J814"/>
  <c r="J630"/>
  <c r="J552"/>
  <c r="J435"/>
  <c r="J303"/>
  <c r="J167"/>
  <c r="J78"/>
  <c r="J789"/>
  <c r="J766"/>
  <c r="J513"/>
  <c r="J402"/>
  <c r="J143"/>
  <c r="J907"/>
  <c r="J882"/>
  <c r="J859"/>
  <c r="J708"/>
  <c r="J591"/>
  <c r="J474"/>
  <c r="J369"/>
  <c r="J54"/>
  <c r="J1370" i="59"/>
  <c r="J669" i="65"/>
  <c r="J336"/>
  <c r="J121"/>
  <c r="J32"/>
  <c r="J1189" i="59"/>
  <c r="J1051"/>
  <c r="J1011"/>
  <c r="J971"/>
  <c r="J931"/>
  <c r="J541"/>
  <c r="J424"/>
  <c r="J346"/>
  <c r="J214"/>
  <c r="J78"/>
  <c r="J1325"/>
  <c r="J1143"/>
  <c r="J891"/>
  <c r="J619"/>
  <c r="J313"/>
  <c r="J54"/>
  <c r="J1280"/>
  <c r="J1235"/>
  <c r="J1097"/>
  <c r="J725"/>
  <c r="J700"/>
  <c r="J677"/>
  <c r="J580"/>
  <c r="J502"/>
  <c r="J385"/>
  <c r="J280"/>
  <c r="J20" i="64"/>
  <c r="J463" i="59"/>
  <c r="J247"/>
  <c r="J32"/>
  <c r="G18" i="164"/>
  <c r="F85" i="183"/>
  <c r="F84" i="70"/>
  <c r="F112" i="2"/>
  <c r="D124" i="250"/>
  <c r="G11" i="179"/>
  <c r="D77" s="1"/>
  <c r="G12" i="164"/>
  <c r="J13" s="1"/>
  <c r="D103" i="183"/>
  <c r="D102" i="70"/>
  <c r="K141" i="2"/>
  <c r="G173"/>
  <c r="H194"/>
  <c r="D236"/>
  <c r="G236" s="1"/>
  <c r="F255"/>
  <c r="D257"/>
  <c r="E7" i="71"/>
  <c r="E8" s="1"/>
  <c r="E9" s="1"/>
  <c r="E10" s="1"/>
  <c r="E11" s="1"/>
  <c r="G86"/>
  <c r="E19" i="10"/>
  <c r="E20" s="1"/>
  <c r="E21" s="1"/>
  <c r="E22" s="1"/>
  <c r="E23" s="1"/>
  <c r="J29"/>
  <c r="J61" i="213"/>
  <c r="I42" i="184" s="1"/>
  <c r="Q42" s="1"/>
  <c r="J71" i="213"/>
  <c r="I46" i="184" s="1"/>
  <c r="Q46" s="1"/>
  <c r="A101" i="213"/>
  <c r="C17" i="15"/>
  <c r="C20" s="1"/>
  <c r="J42" i="168"/>
  <c r="H78"/>
  <c r="F42"/>
  <c r="F78"/>
  <c r="J32" i="184"/>
  <c r="R32" s="1"/>
  <c r="E32"/>
  <c r="M32" s="1"/>
  <c r="I40" i="10"/>
  <c r="I41" s="1"/>
  <c r="I42" s="1"/>
  <c r="I43" s="1"/>
  <c r="I44" s="1"/>
  <c r="C19" i="11"/>
  <c r="C18" i="15"/>
  <c r="F44" i="24"/>
  <c r="E6" i="168"/>
  <c r="F8" i="169" s="1"/>
  <c r="I54" i="80"/>
  <c r="I54" i="64"/>
  <c r="I55" i="63"/>
  <c r="J105" i="81"/>
  <c r="J35"/>
  <c r="J21" i="80"/>
  <c r="J14" i="81"/>
  <c r="J82"/>
  <c r="J130"/>
  <c r="J58"/>
  <c r="J1510" i="65"/>
  <c r="J1372"/>
  <c r="J1280"/>
  <c r="J1074"/>
  <c r="J1464"/>
  <c r="J1234"/>
  <c r="J1194"/>
  <c r="J1154"/>
  <c r="J1556"/>
  <c r="J1418"/>
  <c r="J1326"/>
  <c r="J1114"/>
  <c r="J908"/>
  <c r="J883"/>
  <c r="J860"/>
  <c r="J670"/>
  <c r="J337"/>
  <c r="J122"/>
  <c r="J33"/>
  <c r="J815"/>
  <c r="J631"/>
  <c r="J553"/>
  <c r="J436"/>
  <c r="J304"/>
  <c r="J168"/>
  <c r="J79"/>
  <c r="J790"/>
  <c r="J767"/>
  <c r="J514"/>
  <c r="J403"/>
  <c r="J144"/>
  <c r="J21" i="64"/>
  <c r="J709" i="65"/>
  <c r="J592"/>
  <c r="J475"/>
  <c r="J370"/>
  <c r="J55"/>
  <c r="J132" i="81"/>
  <c r="J60"/>
  <c r="J107"/>
  <c r="J37"/>
  <c r="J24" i="80"/>
  <c r="J84" i="81"/>
  <c r="J16"/>
  <c r="J1558" i="65"/>
  <c r="J1076"/>
  <c r="J933"/>
  <c r="J1512"/>
  <c r="J1374"/>
  <c r="J1282"/>
  <c r="J1466"/>
  <c r="J1236"/>
  <c r="J1196"/>
  <c r="J1156"/>
  <c r="J1420"/>
  <c r="J1328"/>
  <c r="J1116"/>
  <c r="J1003"/>
  <c r="J885"/>
  <c r="J862"/>
  <c r="J839"/>
  <c r="J477"/>
  <c r="J339"/>
  <c r="J124"/>
  <c r="J1373" i="59"/>
  <c r="J1283"/>
  <c r="J1038" i="65"/>
  <c r="J968"/>
  <c r="J910"/>
  <c r="J672"/>
  <c r="J555"/>
  <c r="J438"/>
  <c r="J306"/>
  <c r="J247"/>
  <c r="J170"/>
  <c r="J35"/>
  <c r="J817"/>
  <c r="J792"/>
  <c r="J633"/>
  <c r="J405"/>
  <c r="J275"/>
  <c r="J191"/>
  <c r="J102"/>
  <c r="J81"/>
  <c r="J13"/>
  <c r="J769"/>
  <c r="J746"/>
  <c r="J711"/>
  <c r="J594"/>
  <c r="J516"/>
  <c r="J372"/>
  <c r="J219"/>
  <c r="J146"/>
  <c r="J57"/>
  <c r="J24" i="64"/>
  <c r="J21" i="63"/>
  <c r="J24"/>
  <c r="J57" i="59"/>
  <c r="B72"/>
  <c r="B92" s="1"/>
  <c r="B49" i="60" s="1"/>
  <c r="J130" i="59"/>
  <c r="B208"/>
  <c r="B237" s="1"/>
  <c r="B56" i="60" s="1"/>
  <c r="J281" i="59"/>
  <c r="J283"/>
  <c r="A303"/>
  <c r="A58" i="60" s="1"/>
  <c r="B340" i="59"/>
  <c r="B375" s="1"/>
  <c r="B61" i="60" s="1"/>
  <c r="J386" i="59"/>
  <c r="A414"/>
  <c r="A62" i="60" s="1"/>
  <c r="J423" i="59"/>
  <c r="J503"/>
  <c r="J505"/>
  <c r="B535"/>
  <c r="B570" s="1"/>
  <c r="B67" i="60" s="1"/>
  <c r="J581" i="59"/>
  <c r="J622"/>
  <c r="B652"/>
  <c r="B668" s="1"/>
  <c r="B71" i="60" s="1"/>
  <c r="J678" i="59"/>
  <c r="J701"/>
  <c r="J726"/>
  <c r="J786"/>
  <c r="A811"/>
  <c r="A77" i="60" s="1"/>
  <c r="J856" i="59"/>
  <c r="A881"/>
  <c r="A79" i="60" s="1"/>
  <c r="J894" i="59"/>
  <c r="J930"/>
  <c r="B965"/>
  <c r="B1001" s="1"/>
  <c r="B83" i="60" s="1"/>
  <c r="B1005" i="59"/>
  <c r="B1041" s="1"/>
  <c r="B84" i="60" s="1"/>
  <c r="B1045" i="59"/>
  <c r="B1087" s="1"/>
  <c r="B86" i="60" s="1"/>
  <c r="J1098" i="59"/>
  <c r="J1146"/>
  <c r="B1183"/>
  <c r="B1225" s="1"/>
  <c r="B89" i="60" s="1"/>
  <c r="J1236" i="59"/>
  <c r="J1326"/>
  <c r="J6" i="82"/>
  <c r="J8" i="66"/>
  <c r="L13" i="60"/>
  <c r="D37" i="163"/>
  <c r="C90" i="160"/>
  <c r="J13" i="59"/>
  <c r="A22"/>
  <c r="A46" i="60" s="1"/>
  <c r="J55" i="59"/>
  <c r="J186"/>
  <c r="J314"/>
  <c r="J316"/>
  <c r="J427"/>
  <c r="A531"/>
  <c r="A66" i="60" s="1"/>
  <c r="J544" i="59"/>
  <c r="J620"/>
  <c r="J892"/>
  <c r="J934"/>
  <c r="J974"/>
  <c r="J1014"/>
  <c r="J1144"/>
  <c r="I7" i="82"/>
  <c r="I9" i="66"/>
  <c r="J7" i="82"/>
  <c r="J9" i="66"/>
  <c r="J103" i="81"/>
  <c r="J128"/>
  <c r="J1370" i="65"/>
  <c r="J19" i="64"/>
  <c r="G54" i="80"/>
  <c r="G54" i="64"/>
  <c r="G55" i="63"/>
  <c r="J79" i="59"/>
  <c r="J81"/>
  <c r="B96"/>
  <c r="B120" s="1"/>
  <c r="B51" i="60" s="1"/>
  <c r="J102" i="59"/>
  <c r="J158"/>
  <c r="J215"/>
  <c r="J217"/>
  <c r="J347"/>
  <c r="J349"/>
  <c r="J425"/>
  <c r="J466"/>
  <c r="J542"/>
  <c r="J579"/>
  <c r="B745"/>
  <c r="B776" s="1"/>
  <c r="B76" i="60" s="1"/>
  <c r="J751" i="59"/>
  <c r="J821"/>
  <c r="J932"/>
  <c r="J972"/>
  <c r="J1012"/>
  <c r="J1052"/>
  <c r="J1054"/>
  <c r="J1190"/>
  <c r="J1192"/>
  <c r="A1360"/>
  <c r="A93" i="60" s="1"/>
  <c r="J4" i="82"/>
  <c r="J6" i="66"/>
  <c r="Q8" i="60"/>
  <c r="I27" i="163"/>
  <c r="H80" i="160"/>
  <c r="F14" i="66"/>
  <c r="F11" i="82" s="1"/>
  <c r="J33" i="59"/>
  <c r="J35"/>
  <c r="J248"/>
  <c r="J250"/>
  <c r="J388"/>
  <c r="J464"/>
  <c r="J583"/>
  <c r="J657"/>
  <c r="J680"/>
  <c r="J703"/>
  <c r="J728"/>
  <c r="J1100"/>
  <c r="J1238"/>
  <c r="J1281"/>
  <c r="J1328"/>
  <c r="J1371"/>
  <c r="A1405"/>
  <c r="A94" i="60" s="1"/>
  <c r="I5" i="82"/>
  <c r="I7" i="66"/>
  <c r="K10" i="60"/>
  <c r="K12"/>
  <c r="A157" i="65"/>
  <c r="A38" i="66" s="1"/>
  <c r="A15" i="160" s="1"/>
  <c r="A53" i="159" s="1"/>
  <c r="B429" i="65"/>
  <c r="B464" s="1"/>
  <c r="B51" i="66" s="1"/>
  <c r="B546" i="65"/>
  <c r="B581" s="1"/>
  <c r="B54" i="66" s="1"/>
  <c r="B741" i="65"/>
  <c r="B757" s="1"/>
  <c r="B61" i="66" s="1"/>
  <c r="A780" i="65"/>
  <c r="A62" i="66" s="1"/>
  <c r="A39" i="160" s="1"/>
  <c r="A77" i="159" s="1"/>
  <c r="B809" i="65"/>
  <c r="B830" s="1"/>
  <c r="B64" i="66" s="1"/>
  <c r="B834" i="65"/>
  <c r="B850" s="1"/>
  <c r="B66" i="66" s="1"/>
  <c r="A993" i="65"/>
  <c r="A72" i="66" s="1"/>
  <c r="A49" i="160" s="1"/>
  <c r="A87" i="159" s="1"/>
  <c r="A1063" i="65"/>
  <c r="A74" i="66" s="1"/>
  <c r="A51" i="160" s="1"/>
  <c r="A89" i="159" s="1"/>
  <c r="K144" i="160"/>
  <c r="K109"/>
  <c r="E32" i="167"/>
  <c r="J8" i="82"/>
  <c r="J10" i="66"/>
  <c r="B96" i="65"/>
  <c r="B111" s="1"/>
  <c r="B36" i="66" s="1"/>
  <c r="B115" i="65"/>
  <c r="B133" s="1"/>
  <c r="B37" i="66" s="1"/>
  <c r="B269" i="65"/>
  <c r="B293" s="1"/>
  <c r="B44" i="66" s="1"/>
  <c r="B330" i="65"/>
  <c r="B359" s="1"/>
  <c r="B47" i="66" s="1"/>
  <c r="A425" i="65"/>
  <c r="A49" i="66" s="1"/>
  <c r="A26" i="160" s="1"/>
  <c r="A64" i="159" s="1"/>
  <c r="A542" i="65"/>
  <c r="A53" i="66" s="1"/>
  <c r="A30" i="160" s="1"/>
  <c r="A68" i="159" s="1"/>
  <c r="B663" i="65"/>
  <c r="B698" s="1"/>
  <c r="B58" i="66" s="1"/>
  <c r="A805" i="65"/>
  <c r="A63" i="66" s="1"/>
  <c r="A40" i="160" s="1"/>
  <c r="A78" i="159" s="1"/>
  <c r="Q144" i="160"/>
  <c r="C6" i="183"/>
  <c r="E23" s="1"/>
  <c r="C186"/>
  <c r="D99"/>
  <c r="F76"/>
  <c r="J76" s="1"/>
  <c r="E20"/>
  <c r="E52" i="167"/>
  <c r="D70" s="1"/>
  <c r="A265" i="65"/>
  <c r="A43" i="66" s="1"/>
  <c r="A20" i="160" s="1"/>
  <c r="A58" i="159" s="1"/>
  <c r="E36" i="183"/>
  <c r="G38" s="1"/>
  <c r="D140"/>
  <c r="G115"/>
  <c r="H33"/>
  <c r="F79"/>
  <c r="J79" s="1"/>
  <c r="I4" i="82"/>
  <c r="I6" i="66"/>
  <c r="N144" i="160"/>
  <c r="F78" i="70"/>
  <c r="J78" s="1"/>
  <c r="E36"/>
  <c r="G38" s="1"/>
  <c r="E13"/>
  <c r="E39" i="167" s="1"/>
  <c r="D139" i="70"/>
  <c r="G114"/>
  <c r="H33"/>
  <c r="B927" i="65"/>
  <c r="B958" s="1"/>
  <c r="B71" i="66" s="1"/>
  <c r="B997" i="65"/>
  <c r="B1028" s="1"/>
  <c r="B73" i="66" s="1"/>
  <c r="B1365" i="65"/>
  <c r="B1407" s="1"/>
  <c r="B84" i="66" s="1"/>
  <c r="A73" i="160"/>
  <c r="C87"/>
  <c r="H98"/>
  <c r="H106"/>
  <c r="H108" s="1"/>
  <c r="H138"/>
  <c r="E39" i="70"/>
  <c r="F76"/>
  <c r="J76" s="1"/>
  <c r="D98"/>
  <c r="D121"/>
  <c r="G123" s="1"/>
  <c r="F123" s="1"/>
  <c r="D176"/>
  <c r="C184"/>
  <c r="D181" i="183"/>
  <c r="C78" i="162"/>
  <c r="Z13"/>
  <c r="K67" i="164" s="1"/>
  <c r="Z9" i="162"/>
  <c r="K62" i="164" s="1"/>
  <c r="Z6" i="162"/>
  <c r="K57" i="164" s="1"/>
  <c r="Z10" i="162"/>
  <c r="K63" i="164" s="1"/>
  <c r="Z3" i="162"/>
  <c r="K53" i="164" s="1"/>
  <c r="Z14" i="162"/>
  <c r="K68" i="164" s="1"/>
  <c r="Z5" i="162"/>
  <c r="K56" i="164" s="1"/>
  <c r="Z4" i="162"/>
  <c r="K54" i="164" s="1"/>
  <c r="Z12" i="162"/>
  <c r="K66" i="164" s="1"/>
  <c r="Z8" i="162"/>
  <c r="K59" i="164" s="1"/>
  <c r="Z11" i="162"/>
  <c r="K65" i="164" s="1"/>
  <c r="Z7" i="162"/>
  <c r="K58" i="164" s="1"/>
  <c r="A1183" i="65"/>
  <c r="A78" i="66" s="1"/>
  <c r="A55" i="160" s="1"/>
  <c r="A93" i="159" s="1"/>
  <c r="B25" i="163"/>
  <c r="E13" i="82"/>
  <c r="E16" i="66"/>
  <c r="E20" i="70"/>
  <c r="C185"/>
  <c r="C195" s="1"/>
  <c r="D220" i="183"/>
  <c r="J5" i="167"/>
  <c r="E37" s="1"/>
  <c r="K3" i="159"/>
  <c r="K9" s="1"/>
  <c r="K10" s="1"/>
  <c r="D77" i="164" s="1"/>
  <c r="D93"/>
  <c r="D95" s="1"/>
  <c r="F24" i="239"/>
  <c r="F25" s="1"/>
  <c r="F29" s="1"/>
  <c r="F44" i="209"/>
  <c r="E19" i="66"/>
  <c r="N98" i="160"/>
  <c r="Q98" s="1"/>
  <c r="K15" i="70"/>
  <c r="K16" s="1"/>
  <c r="K17" s="1"/>
  <c r="K20" s="1"/>
  <c r="E22" s="1"/>
  <c r="E23" s="1"/>
  <c r="E30"/>
  <c r="G32" s="1"/>
  <c r="D122" i="183"/>
  <c r="G124" s="1"/>
  <c r="F124" s="1"/>
  <c r="F40" i="209"/>
  <c r="F38" s="1"/>
  <c r="F63"/>
  <c r="E18"/>
  <c r="D6"/>
  <c r="F34"/>
  <c r="C71" i="160"/>
  <c r="A78"/>
  <c r="A82" s="1"/>
  <c r="I130" i="70"/>
  <c r="K3" i="167"/>
  <c r="E24" s="1"/>
  <c r="D73" i="164"/>
  <c r="I3"/>
  <c r="F46" i="239"/>
  <c r="F47" s="1"/>
  <c r="I50" s="1"/>
  <c r="H50" s="1"/>
  <c r="F17"/>
  <c r="L56" i="164"/>
  <c r="B7" i="81"/>
  <c r="B25" s="1"/>
  <c r="B28" i="82" s="1"/>
  <c r="P25" i="163"/>
  <c r="M45"/>
  <c r="M53"/>
  <c r="M55" s="1"/>
  <c r="M82"/>
  <c r="M91"/>
  <c r="M93" s="1"/>
  <c r="P45"/>
  <c r="P53"/>
  <c r="P55" s="1"/>
  <c r="P82"/>
  <c r="P91"/>
  <c r="P93" s="1"/>
  <c r="G45"/>
  <c r="G53"/>
  <c r="G55" s="1"/>
  <c r="G56" s="1"/>
  <c r="G82"/>
  <c r="G91"/>
  <c r="G93" s="1"/>
  <c r="G94" s="1"/>
  <c r="D88" i="164"/>
  <c r="I83"/>
  <c r="I9"/>
  <c r="L65"/>
  <c r="J45" i="163"/>
  <c r="J53"/>
  <c r="J55" s="1"/>
  <c r="L54" i="164"/>
  <c r="L58"/>
  <c r="L59"/>
  <c r="L62"/>
  <c r="L67"/>
  <c r="S66" i="184"/>
  <c r="I52" i="185" s="1"/>
  <c r="G52"/>
  <c r="A21" i="187"/>
  <c r="A29" i="251" s="1"/>
  <c r="B25" i="187"/>
  <c r="B42" s="1"/>
  <c r="B30" i="251" s="1"/>
  <c r="A115" i="187"/>
  <c r="A34" i="251" s="1"/>
  <c r="A169" i="187"/>
  <c r="A36" i="251" s="1"/>
  <c r="A228" i="187"/>
  <c r="A39" i="251" s="1"/>
  <c r="A292" i="187"/>
  <c r="A41" i="251" s="1"/>
  <c r="B366" i="187"/>
  <c r="B400" s="1"/>
  <c r="B45" i="251" s="1"/>
  <c r="B518" i="187"/>
  <c r="B552" s="1"/>
  <c r="B50" i="251" s="1"/>
  <c r="A1073" i="187"/>
  <c r="A70" i="251" s="1"/>
  <c r="B1035" i="187"/>
  <c r="B1073" s="1"/>
  <c r="B70" i="251" s="1"/>
  <c r="B328" i="187"/>
  <c r="B362" s="1"/>
  <c r="B44" i="251" s="1"/>
  <c r="B480" i="187"/>
  <c r="B514" s="1"/>
  <c r="B49" i="251" s="1"/>
  <c r="A696" i="187"/>
  <c r="A56" i="251" s="1"/>
  <c r="A142" i="187"/>
  <c r="A35" i="251" s="1"/>
  <c r="A196" i="187"/>
  <c r="A37" i="251" s="1"/>
  <c r="A260" i="187"/>
  <c r="A40" i="251" s="1"/>
  <c r="A324" i="187"/>
  <c r="A42" i="251" s="1"/>
  <c r="A1241" i="187"/>
  <c r="A75" i="251" s="1"/>
  <c r="B1203" i="187"/>
  <c r="B1241" s="1"/>
  <c r="B75" i="251" s="1"/>
  <c r="B404" i="187"/>
  <c r="B438" s="1"/>
  <c r="B46" i="251" s="1"/>
  <c r="A752" i="187"/>
  <c r="A59" i="251" s="1"/>
  <c r="A814" i="187"/>
  <c r="A61" i="251" s="1"/>
  <c r="A881" i="187"/>
  <c r="A64" i="251" s="1"/>
  <c r="A953" i="187"/>
  <c r="A66" i="251" s="1"/>
  <c r="A24" i="189"/>
  <c r="A25" i="190" s="1"/>
  <c r="A117" i="189"/>
  <c r="A30" i="190" s="1"/>
  <c r="B993" i="187"/>
  <c r="B1031" s="1"/>
  <c r="B69" i="251" s="1"/>
  <c r="B1161" i="187"/>
  <c r="B1199" s="1"/>
  <c r="B74" i="251" s="1"/>
  <c r="A92" i="189"/>
  <c r="A29" i="190" s="1"/>
  <c r="B594" i="187"/>
  <c r="B628" s="1"/>
  <c r="B52" i="251" s="1"/>
  <c r="B1119" i="187"/>
  <c r="B1157" s="1"/>
  <c r="B72" i="251" s="1"/>
  <c r="B1287" i="187"/>
  <c r="B1325" s="1"/>
  <c r="B77" i="251" s="1"/>
  <c r="J32" i="179"/>
  <c r="L20" i="255"/>
  <c r="J40" i="250" s="1"/>
  <c r="J39"/>
  <c r="C34" i="168"/>
  <c r="C20" i="169" s="1"/>
  <c r="F91" i="2"/>
  <c r="F28" i="161" s="1"/>
  <c r="P22" i="163"/>
  <c r="N81" i="160"/>
  <c r="K147" i="2"/>
  <c r="E257"/>
  <c r="I257"/>
  <c r="C25" i="168"/>
  <c r="E255" i="2"/>
  <c r="G255" s="1"/>
  <c r="I255"/>
  <c r="E256"/>
  <c r="G256" s="1"/>
  <c r="H256" s="1"/>
  <c r="I256"/>
  <c r="F111" i="71"/>
  <c r="H79"/>
  <c r="G110" s="1"/>
  <c r="F118" s="1"/>
  <c r="D88"/>
  <c r="L59"/>
  <c r="D99" s="1"/>
  <c r="G138"/>
  <c r="I138"/>
  <c r="I136"/>
  <c r="F18" i="185"/>
  <c r="J53" i="59"/>
  <c r="J384"/>
  <c r="J540"/>
  <c r="J676"/>
  <c r="J1096"/>
  <c r="J881" i="65"/>
  <c r="J1192"/>
  <c r="J1462"/>
  <c r="J56" i="81"/>
  <c r="J77" i="59"/>
  <c r="J426"/>
  <c r="J582"/>
  <c r="J820"/>
  <c r="J933"/>
  <c r="J1050"/>
  <c r="J1372"/>
  <c r="J23" i="64"/>
  <c r="J12" i="65"/>
  <c r="J246"/>
  <c r="J551"/>
  <c r="J707"/>
  <c r="J788"/>
  <c r="J932"/>
  <c r="J1072"/>
  <c r="J1373"/>
  <c r="J1416"/>
  <c r="J80" i="81"/>
  <c r="J131"/>
  <c r="J12" i="59"/>
  <c r="J129"/>
  <c r="J465"/>
  <c r="J621"/>
  <c r="J656"/>
  <c r="J702"/>
  <c r="J785"/>
  <c r="J1013"/>
  <c r="J1282"/>
  <c r="J1324"/>
  <c r="J34" i="65"/>
  <c r="J120"/>
  <c r="J302"/>
  <c r="J335"/>
  <c r="J368"/>
  <c r="J401"/>
  <c r="J434"/>
  <c r="J590"/>
  <c r="J816"/>
  <c r="J861"/>
  <c r="J906"/>
  <c r="J1037"/>
  <c r="J1152"/>
  <c r="J1281"/>
  <c r="J1324"/>
  <c r="J19" i="63"/>
  <c r="J157" i="59"/>
  <c r="J462"/>
  <c r="J618"/>
  <c r="J699"/>
  <c r="J893"/>
  <c r="J1010"/>
  <c r="J1237"/>
  <c r="J1279"/>
  <c r="J31" i="65"/>
  <c r="J145"/>
  <c r="J476"/>
  <c r="J632"/>
  <c r="J768"/>
  <c r="J813"/>
  <c r="J858"/>
  <c r="J1235"/>
  <c r="J1278"/>
  <c r="J36" i="81"/>
  <c r="J1557" i="65"/>
  <c r="J15" i="81"/>
  <c r="J33"/>
  <c r="J890" i="59"/>
  <c r="J1234"/>
  <c r="J142" i="65"/>
  <c r="J473"/>
  <c r="J1232"/>
  <c r="J31" i="59"/>
  <c r="J213"/>
  <c r="J246"/>
  <c r="J279"/>
  <c r="J312"/>
  <c r="J345"/>
  <c r="J501"/>
  <c r="J727"/>
  <c r="J973"/>
  <c r="J1145"/>
  <c r="J1188"/>
  <c r="J53" i="65"/>
  <c r="J80"/>
  <c r="J166"/>
  <c r="J515"/>
  <c r="J671"/>
  <c r="J1112"/>
  <c r="J1511"/>
  <c r="J1554"/>
  <c r="J23" i="80"/>
  <c r="J12" i="81"/>
  <c r="J106"/>
  <c r="J629" i="65"/>
  <c r="J765"/>
  <c r="J56" i="59"/>
  <c r="J387"/>
  <c r="J543"/>
  <c r="J679"/>
  <c r="J724"/>
  <c r="J855"/>
  <c r="J970"/>
  <c r="J1099"/>
  <c r="J1142"/>
  <c r="J77" i="65"/>
  <c r="J190"/>
  <c r="J512"/>
  <c r="J668"/>
  <c r="J838"/>
  <c r="J884"/>
  <c r="J967"/>
  <c r="J1195"/>
  <c r="J1465"/>
  <c r="J1508"/>
  <c r="J19" i="80"/>
  <c r="M204" i="179"/>
  <c r="G36"/>
  <c r="F101"/>
  <c r="J36"/>
  <c r="F118"/>
  <c r="F64"/>
  <c r="F66" s="1"/>
  <c r="I138"/>
  <c r="L86"/>
  <c r="O192"/>
  <c r="O6"/>
  <c r="K59" s="1"/>
  <c r="K64" s="1"/>
  <c r="K69" s="1"/>
  <c r="G14"/>
  <c r="G15" s="1"/>
  <c r="J192"/>
  <c r="H210"/>
  <c r="F228"/>
  <c r="G89"/>
  <c r="K210"/>
  <c r="O7"/>
  <c r="K61" s="1"/>
  <c r="K66" s="1"/>
  <c r="K71" s="1"/>
  <c r="G16"/>
  <c r="G17" s="1"/>
  <c r="J189"/>
  <c r="L210"/>
  <c r="H207"/>
  <c r="J28"/>
  <c r="K207"/>
  <c r="M207" s="1"/>
  <c r="F222"/>
  <c r="F98"/>
  <c r="J186"/>
  <c r="H204"/>
  <c r="G54" i="178"/>
  <c r="E28" i="179" s="1"/>
  <c r="K125" i="178"/>
  <c r="K126" s="1"/>
  <c r="K127" s="1"/>
  <c r="K129" s="1"/>
  <c r="K144"/>
  <c r="K145" s="1"/>
  <c r="K146" s="1"/>
  <c r="K148" s="1"/>
  <c r="K106"/>
  <c r="K107" s="1"/>
  <c r="K108" s="1"/>
  <c r="G106"/>
  <c r="G107" s="1"/>
  <c r="G108" s="1"/>
  <c r="G125"/>
  <c r="G126" s="1"/>
  <c r="G127" s="1"/>
  <c r="G129" s="1"/>
  <c r="G144"/>
  <c r="G145" s="1"/>
  <c r="G146" s="1"/>
  <c r="G148" s="1"/>
  <c r="E127"/>
  <c r="E126"/>
  <c r="K37"/>
  <c r="M34"/>
  <c r="N35" s="1"/>
  <c r="G12"/>
  <c r="G16" s="1"/>
  <c r="G45"/>
  <c r="G47" s="1"/>
  <c r="F30" s="1"/>
  <c r="B15"/>
  <c r="B42" i="253"/>
  <c r="B122" i="255"/>
  <c r="B80" i="253"/>
  <c r="B160" i="255"/>
  <c r="B38" i="253"/>
  <c r="B118" i="255"/>
  <c r="A43" i="253"/>
  <c r="A118" s="1"/>
  <c r="O118" s="1"/>
  <c r="A123" i="255"/>
  <c r="A48" i="253"/>
  <c r="A123" s="1"/>
  <c r="O123" s="1"/>
  <c r="A128" i="255"/>
  <c r="A53" i="253"/>
  <c r="A128" s="1"/>
  <c r="O128" s="1"/>
  <c r="A133" i="255"/>
  <c r="A58" i="253"/>
  <c r="A133" s="1"/>
  <c r="O133" s="1"/>
  <c r="A138" i="255"/>
  <c r="A62" i="253"/>
  <c r="A137" s="1"/>
  <c r="O137" s="1"/>
  <c r="A142" i="255"/>
  <c r="A66" i="253"/>
  <c r="A141" s="1"/>
  <c r="O141" s="1"/>
  <c r="A146" i="255"/>
  <c r="A71" i="253"/>
  <c r="A146" s="1"/>
  <c r="O146" s="1"/>
  <c r="A151" i="255"/>
  <c r="A76" i="253"/>
  <c r="A151" s="1"/>
  <c r="O151" s="1"/>
  <c r="A156" i="255"/>
  <c r="A81" i="253"/>
  <c r="A156" s="1"/>
  <c r="O156" s="1"/>
  <c r="A161" i="255"/>
  <c r="H36" i="253"/>
  <c r="H116" i="255"/>
  <c r="H38" i="253"/>
  <c r="H118" i="255"/>
  <c r="B43" i="253"/>
  <c r="B123" i="255"/>
  <c r="B48" i="253"/>
  <c r="B128" i="255"/>
  <c r="B53" i="253"/>
  <c r="B133" i="255"/>
  <c r="B58" i="253"/>
  <c r="B138" i="255"/>
  <c r="A61" i="253"/>
  <c r="A136" s="1"/>
  <c r="O136" s="1"/>
  <c r="A141" i="255"/>
  <c r="B62" i="253"/>
  <c r="B142" i="255"/>
  <c r="B66" i="253"/>
  <c r="B146" i="255"/>
  <c r="B71" i="253"/>
  <c r="B151" i="255"/>
  <c r="B76" i="253"/>
  <c r="B156" i="255"/>
  <c r="B81" i="253"/>
  <c r="B161" i="255"/>
  <c r="B47" i="253"/>
  <c r="B127" i="255"/>
  <c r="B70" i="253"/>
  <c r="B150" i="255"/>
  <c r="A40" i="253"/>
  <c r="A115" s="1"/>
  <c r="O115" s="1"/>
  <c r="A120" i="255"/>
  <c r="A45" i="253"/>
  <c r="A120" s="1"/>
  <c r="O120" s="1"/>
  <c r="A125" i="255"/>
  <c r="A50" i="253"/>
  <c r="A125" s="1"/>
  <c r="O125" s="1"/>
  <c r="A130" i="255"/>
  <c r="A55" i="253"/>
  <c r="A130" s="1"/>
  <c r="O130" s="1"/>
  <c r="A135" i="255"/>
  <c r="A60" i="253"/>
  <c r="A135" s="1"/>
  <c r="O135" s="1"/>
  <c r="A140" i="255"/>
  <c r="B61" i="253"/>
  <c r="B141" i="255"/>
  <c r="A67" i="253"/>
  <c r="A142" s="1"/>
  <c r="O142" s="1"/>
  <c r="A147" i="255"/>
  <c r="A72" i="253"/>
  <c r="A147" s="1"/>
  <c r="O147" s="1"/>
  <c r="A152" i="255"/>
  <c r="A77" i="253"/>
  <c r="A152" s="1"/>
  <c r="O152" s="1"/>
  <c r="A157" i="255"/>
  <c r="A82" i="253"/>
  <c r="A157" s="1"/>
  <c r="O157" s="1"/>
  <c r="A162" i="255"/>
  <c r="B65" i="253"/>
  <c r="B145" i="255"/>
  <c r="B40" i="253"/>
  <c r="B120" i="255"/>
  <c r="B45" i="253"/>
  <c r="B125" i="255"/>
  <c r="B50" i="253"/>
  <c r="B130" i="255"/>
  <c r="B55" i="253"/>
  <c r="B135" i="255"/>
  <c r="B60" i="253"/>
  <c r="B140" i="255"/>
  <c r="A63" i="253"/>
  <c r="A138" s="1"/>
  <c r="O138" s="1"/>
  <c r="A143" i="255"/>
  <c r="B67" i="253"/>
  <c r="B147" i="255"/>
  <c r="B72" i="253"/>
  <c r="B152" i="255"/>
  <c r="B77" i="253"/>
  <c r="B157" i="255"/>
  <c r="B82" i="253"/>
  <c r="B162" i="255"/>
  <c r="B35" i="253"/>
  <c r="B115" i="255"/>
  <c r="A38" i="253"/>
  <c r="A113" s="1"/>
  <c r="O113" s="1"/>
  <c r="A118" i="255"/>
  <c r="B52" i="253"/>
  <c r="B132" i="255"/>
  <c r="B57" i="253"/>
  <c r="B137" i="255"/>
  <c r="B75" i="253"/>
  <c r="B155" i="255"/>
  <c r="A37" i="253"/>
  <c r="A112" s="1"/>
  <c r="O112" s="1"/>
  <c r="A117" i="255"/>
  <c r="A41" i="253"/>
  <c r="A116" s="1"/>
  <c r="O116" s="1"/>
  <c r="A121" i="255"/>
  <c r="A46" i="253"/>
  <c r="A121" s="1"/>
  <c r="O121" s="1"/>
  <c r="A126" i="255"/>
  <c r="A51" i="253"/>
  <c r="A126" s="1"/>
  <c r="O126" s="1"/>
  <c r="A131" i="255"/>
  <c r="A56" i="253"/>
  <c r="A131" s="1"/>
  <c r="O131" s="1"/>
  <c r="A136" i="255"/>
  <c r="B63" i="253"/>
  <c r="B143" i="255"/>
  <c r="A68" i="253"/>
  <c r="A143" s="1"/>
  <c r="O143" s="1"/>
  <c r="A148" i="255"/>
  <c r="A73" i="253"/>
  <c r="A148" s="1"/>
  <c r="O148" s="1"/>
  <c r="A153" i="255"/>
  <c r="A78" i="253"/>
  <c r="A153" s="1"/>
  <c r="O153" s="1"/>
  <c r="A158" i="255"/>
  <c r="A83" i="253"/>
  <c r="A158" s="1"/>
  <c r="O158" s="1"/>
  <c r="A163" i="255"/>
  <c r="G12" i="250"/>
  <c r="C47" s="1"/>
  <c r="F173" i="255"/>
  <c r="F11"/>
  <c r="F216" s="1"/>
  <c r="D17" i="190"/>
  <c r="F172" i="255"/>
  <c r="C25"/>
  <c r="F215" s="1"/>
  <c r="A36" i="253"/>
  <c r="A111" s="1"/>
  <c r="O111" s="1"/>
  <c r="A116" i="255"/>
  <c r="B37" i="253"/>
  <c r="B117" i="255"/>
  <c r="B41" i="253"/>
  <c r="B121" i="255"/>
  <c r="B46" i="253"/>
  <c r="B126" i="255"/>
  <c r="B51" i="253"/>
  <c r="B131" i="255"/>
  <c r="B56" i="253"/>
  <c r="B136" i="255"/>
  <c r="B68" i="253"/>
  <c r="B148" i="255"/>
  <c r="B73" i="253"/>
  <c r="B153" i="255"/>
  <c r="B78" i="253"/>
  <c r="B158" i="255"/>
  <c r="B83" i="253"/>
  <c r="B163" i="255"/>
  <c r="A35" i="253"/>
  <c r="A110" s="1"/>
  <c r="O110" s="1"/>
  <c r="A115" i="255"/>
  <c r="B36" i="253"/>
  <c r="B116" i="255"/>
  <c r="H37" i="253"/>
  <c r="H117" i="255"/>
  <c r="A42" i="253"/>
  <c r="A117" s="1"/>
  <c r="O117" s="1"/>
  <c r="A122" i="255"/>
  <c r="A47" i="253"/>
  <c r="A122" s="1"/>
  <c r="O122" s="1"/>
  <c r="A127" i="255"/>
  <c r="A52" i="253"/>
  <c r="A127" s="1"/>
  <c r="O127" s="1"/>
  <c r="A132" i="255"/>
  <c r="A57" i="253"/>
  <c r="A132" s="1"/>
  <c r="O132" s="1"/>
  <c r="A137" i="255"/>
  <c r="A65" i="253"/>
  <c r="A140" s="1"/>
  <c r="O140" s="1"/>
  <c r="A145" i="255"/>
  <c r="A70" i="253"/>
  <c r="A145" s="1"/>
  <c r="O145" s="1"/>
  <c r="A150" i="255"/>
  <c r="A75" i="253"/>
  <c r="A150" s="1"/>
  <c r="O150" s="1"/>
  <c r="A155" i="255"/>
  <c r="A80" i="253"/>
  <c r="A155" s="1"/>
  <c r="O155" s="1"/>
  <c r="A160" i="255"/>
  <c r="E38" i="250"/>
  <c r="I38" s="1"/>
  <c r="K38" s="1"/>
  <c r="H35" i="253"/>
  <c r="E40" i="250"/>
  <c r="E37"/>
  <c r="I37" s="1"/>
  <c r="K37" s="1"/>
  <c r="E34"/>
  <c r="E36"/>
  <c r="J36" s="1"/>
  <c r="L36" s="1"/>
  <c r="E33"/>
  <c r="D142"/>
  <c r="C46"/>
  <c r="J88" s="1"/>
  <c r="E35"/>
  <c r="J35" s="1"/>
  <c r="L35" s="1"/>
  <c r="D20"/>
  <c r="D143"/>
  <c r="E12" i="253"/>
  <c r="C19"/>
  <c r="F8" i="190"/>
  <c r="F45" i="209" l="1"/>
  <c r="E13" i="183"/>
  <c r="E40" i="167" s="1"/>
  <c r="E39" i="183"/>
  <c r="G168" i="179"/>
  <c r="I52" i="192"/>
  <c r="I52" i="186"/>
  <c r="I84" i="164"/>
  <c r="E26" i="209"/>
  <c r="D28" s="1"/>
  <c r="G23" i="70"/>
  <c r="I85" i="164"/>
  <c r="I129" i="70"/>
  <c r="D108"/>
  <c r="H144" i="160"/>
  <c r="H145" s="1"/>
  <c r="H109"/>
  <c r="I130" i="183"/>
  <c r="D109"/>
  <c r="H7" i="167"/>
  <c r="J9" i="82"/>
  <c r="J11" i="66"/>
  <c r="I36" i="184"/>
  <c r="Q36" s="1"/>
  <c r="J44" i="24"/>
  <c r="I24" i="29"/>
  <c r="E26" i="163"/>
  <c r="H22" s="1"/>
  <c r="D79" i="160"/>
  <c r="F257" i="2"/>
  <c r="G257" s="1"/>
  <c r="E186"/>
  <c r="D6" i="168"/>
  <c r="E8" i="169" s="1"/>
  <c r="G8" s="1"/>
  <c r="F227" i="2"/>
  <c r="L68" i="164"/>
  <c r="L66"/>
  <c r="L57"/>
  <c r="E41" i="10"/>
  <c r="E42" s="1"/>
  <c r="E43" s="1"/>
  <c r="E44" s="1"/>
  <c r="H12" i="178"/>
  <c r="G5" s="1"/>
  <c r="G23" s="1"/>
  <c r="F217" i="2"/>
  <c r="F178"/>
  <c r="B186" s="1"/>
  <c r="B184" s="1"/>
  <c r="J51" i="10"/>
  <c r="G102" i="163"/>
  <c r="G95"/>
  <c r="G81"/>
  <c r="G64"/>
  <c r="G57"/>
  <c r="G58" s="1"/>
  <c r="G44"/>
  <c r="I83" i="255"/>
  <c r="F82"/>
  <c r="K50" i="239"/>
  <c r="F45" i="167"/>
  <c r="I8" i="82"/>
  <c r="I10" i="66"/>
  <c r="E36" i="184"/>
  <c r="M36" s="1"/>
  <c r="F22" i="185" s="1"/>
  <c r="J36" i="184"/>
  <c r="R36" s="1"/>
  <c r="F24" i="29"/>
  <c r="I44" i="24"/>
  <c r="H11"/>
  <c r="E19" i="11"/>
  <c r="D142" i="213"/>
  <c r="K139" s="1"/>
  <c r="K90"/>
  <c r="H36" s="1"/>
  <c r="H49" s="1"/>
  <c r="D150"/>
  <c r="D134"/>
  <c r="K131" s="1"/>
  <c r="K114"/>
  <c r="H37" s="1"/>
  <c r="H50" s="1"/>
  <c r="G96" i="163"/>
  <c r="E6" i="162"/>
  <c r="I6" i="164"/>
  <c r="I7" s="1"/>
  <c r="I123" i="70"/>
  <c r="E42" i="167"/>
  <c r="F44" s="1"/>
  <c r="E47" s="1"/>
  <c r="D56" s="1"/>
  <c r="I124" i="183"/>
  <c r="G23"/>
  <c r="C187"/>
  <c r="F77"/>
  <c r="J77" s="1"/>
  <c r="E168"/>
  <c r="I131"/>
  <c r="K213"/>
  <c r="E30"/>
  <c r="G32" s="1"/>
  <c r="I6" i="82"/>
  <c r="I8" i="66"/>
  <c r="K13" i="60"/>
  <c r="Q7" s="1"/>
  <c r="P6" i="66"/>
  <c r="C21" i="15"/>
  <c r="D26" i="178"/>
  <c r="F175" i="2"/>
  <c r="G59"/>
  <c r="F133"/>
  <c r="G60"/>
  <c r="C133"/>
  <c r="F129" i="81"/>
  <c r="F57"/>
  <c r="F104"/>
  <c r="F34"/>
  <c r="F20" i="80"/>
  <c r="F13" i="81"/>
  <c r="F81"/>
  <c r="F1555" i="65"/>
  <c r="F1417"/>
  <c r="F1325"/>
  <c r="F1113"/>
  <c r="F1509"/>
  <c r="F1371"/>
  <c r="F1279"/>
  <c r="F1463"/>
  <c r="F1233"/>
  <c r="F1193"/>
  <c r="F1153"/>
  <c r="F907"/>
  <c r="F882"/>
  <c r="F1073"/>
  <c r="F859"/>
  <c r="F708"/>
  <c r="F591"/>
  <c r="F474"/>
  <c r="F369"/>
  <c r="F54"/>
  <c r="F1370" i="59"/>
  <c r="F1280"/>
  <c r="F669" i="65"/>
  <c r="F336"/>
  <c r="F121"/>
  <c r="F32"/>
  <c r="F814"/>
  <c r="F630"/>
  <c r="F552"/>
  <c r="F435"/>
  <c r="F303"/>
  <c r="F167"/>
  <c r="F78"/>
  <c r="F789"/>
  <c r="F766"/>
  <c r="F513"/>
  <c r="F402"/>
  <c r="F143"/>
  <c r="F20" i="64"/>
  <c r="F1235" i="59"/>
  <c r="F1097"/>
  <c r="F725"/>
  <c r="F700"/>
  <c r="F677"/>
  <c r="F580"/>
  <c r="F502"/>
  <c r="F385"/>
  <c r="F280"/>
  <c r="F463"/>
  <c r="F247"/>
  <c r="F32"/>
  <c r="F1189"/>
  <c r="F1051"/>
  <c r="F1011"/>
  <c r="F971"/>
  <c r="F931"/>
  <c r="F541"/>
  <c r="F424"/>
  <c r="F346"/>
  <c r="F214"/>
  <c r="F78"/>
  <c r="F1325"/>
  <c r="F1143"/>
  <c r="F891"/>
  <c r="F619"/>
  <c r="F313"/>
  <c r="F54"/>
  <c r="F20" i="63"/>
  <c r="C20" i="10"/>
  <c r="C21" s="1"/>
  <c r="C22" s="1"/>
  <c r="C23" s="1"/>
  <c r="K117" i="160"/>
  <c r="K110"/>
  <c r="K111" s="1"/>
  <c r="H137"/>
  <c r="H117"/>
  <c r="H110"/>
  <c r="H96"/>
  <c r="F67" i="184"/>
  <c r="N67" s="1"/>
  <c r="G53" i="185" s="1"/>
  <c r="G56" i="29"/>
  <c r="F34" i="169"/>
  <c r="F80"/>
  <c r="F102"/>
  <c r="F57"/>
  <c r="G52" i="192"/>
  <c r="G52" i="186"/>
  <c r="D75" i="164"/>
  <c r="G77" s="1"/>
  <c r="I77" s="1"/>
  <c r="D182" i="70"/>
  <c r="C190"/>
  <c r="K145" i="160"/>
  <c r="G74"/>
  <c r="N145" s="1"/>
  <c r="Q4" i="82"/>
  <c r="J37" i="184"/>
  <c r="R37" s="1"/>
  <c r="E37"/>
  <c r="M37" s="1"/>
  <c r="F23" i="185" s="1"/>
  <c r="F25" i="29"/>
  <c r="E20" i="11"/>
  <c r="I45" i="24"/>
  <c r="H12"/>
  <c r="H236" i="2"/>
  <c r="G238"/>
  <c r="H270" s="1"/>
  <c r="E33" i="184"/>
  <c r="M33" s="1"/>
  <c r="F19" i="185" s="1"/>
  <c r="J33" i="184"/>
  <c r="R33" s="1"/>
  <c r="F21" i="29"/>
  <c r="F12" i="24"/>
  <c r="F45"/>
  <c r="C20" i="11"/>
  <c r="G50" i="80"/>
  <c r="G50" i="64"/>
  <c r="G51" i="63"/>
  <c r="F12" i="184"/>
  <c r="F35" i="163"/>
  <c r="J56" s="1"/>
  <c r="E88" i="160"/>
  <c r="L63" i="164"/>
  <c r="L53"/>
  <c r="C4" i="161"/>
  <c r="H41" i="2"/>
  <c r="C15" i="15"/>
  <c r="H38" i="213"/>
  <c r="H81" i="168"/>
  <c r="H45"/>
  <c r="E25"/>
  <c r="C11" i="169"/>
  <c r="J81" i="168"/>
  <c r="F81"/>
  <c r="J45"/>
  <c r="F45"/>
  <c r="N113" i="160"/>
  <c r="N115" s="1"/>
  <c r="H113"/>
  <c r="H115" s="1"/>
  <c r="Q113"/>
  <c r="Q115" s="1"/>
  <c r="K113"/>
  <c r="K115" s="1"/>
  <c r="H28" i="161"/>
  <c r="F29"/>
  <c r="H255" i="2"/>
  <c r="H27" i="161"/>
  <c r="N13" i="26"/>
  <c r="J41" s="1"/>
  <c r="N80" s="1"/>
  <c r="H85" i="184" s="1"/>
  <c r="P85" s="1"/>
  <c r="S85" s="1"/>
  <c r="N11" i="26"/>
  <c r="J35" s="1"/>
  <c r="N68" s="1"/>
  <c r="H82" i="184" s="1"/>
  <c r="P82" s="1"/>
  <c r="S82" s="1"/>
  <c r="H18" i="24"/>
  <c r="I26" s="1"/>
  <c r="G71" s="1"/>
  <c r="H63" i="184" s="1"/>
  <c r="P63" s="1"/>
  <c r="T63" s="1"/>
  <c r="J75" i="213"/>
  <c r="H46" i="184" s="1"/>
  <c r="P46" s="1"/>
  <c r="J65" i="213"/>
  <c r="H42" i="184" s="1"/>
  <c r="P42" s="1"/>
  <c r="J53" i="10"/>
  <c r="H37" i="184" s="1"/>
  <c r="P37" s="1"/>
  <c r="J31" i="10"/>
  <c r="H36" i="184" s="1"/>
  <c r="P36" s="1"/>
  <c r="I219" i="2"/>
  <c r="I218"/>
  <c r="I217"/>
  <c r="H136"/>
  <c r="C28" i="168"/>
  <c r="F26" i="26"/>
  <c r="I13"/>
  <c r="G41" s="1"/>
  <c r="G80" s="1"/>
  <c r="H84" i="184" s="1"/>
  <c r="P84" s="1"/>
  <c r="S84" s="1"/>
  <c r="I11" i="26"/>
  <c r="G35" s="1"/>
  <c r="G68" s="1"/>
  <c r="H81" i="184" s="1"/>
  <c r="P81" s="1"/>
  <c r="S81" s="1"/>
  <c r="H71" i="11"/>
  <c r="H75" i="213"/>
  <c r="H45" i="184" s="1"/>
  <c r="P45" s="1"/>
  <c r="H65" i="213"/>
  <c r="H41" i="184" s="1"/>
  <c r="P41" s="1"/>
  <c r="H53" i="10"/>
  <c r="H31"/>
  <c r="I220" i="2"/>
  <c r="P98" i="163"/>
  <c r="P100" s="1"/>
  <c r="J98"/>
  <c r="J100" s="1"/>
  <c r="J101" s="1"/>
  <c r="G98"/>
  <c r="G100" s="1"/>
  <c r="G101" s="1"/>
  <c r="M60"/>
  <c r="M62" s="1"/>
  <c r="G60"/>
  <c r="G62" s="1"/>
  <c r="G63" s="1"/>
  <c r="P60"/>
  <c r="P62" s="1"/>
  <c r="M98"/>
  <c r="M100" s="1"/>
  <c r="J60"/>
  <c r="J62" s="1"/>
  <c r="J63" s="1"/>
  <c r="G99" i="71"/>
  <c r="F99"/>
  <c r="F101" s="1"/>
  <c r="G90"/>
  <c r="G88"/>
  <c r="F88"/>
  <c r="F92" s="1"/>
  <c r="G89"/>
  <c r="F1124" i="187"/>
  <c r="F561"/>
  <c r="F485"/>
  <c r="F409"/>
  <c r="F333"/>
  <c r="F205"/>
  <c r="F18" i="186"/>
  <c r="F998" i="187"/>
  <c r="F680"/>
  <c r="F78" i="189"/>
  <c r="F1208" i="187"/>
  <c r="F962"/>
  <c r="F301"/>
  <c r="F51"/>
  <c r="F33" i="189"/>
  <c r="F1082" i="187"/>
  <c r="F926"/>
  <c r="F657"/>
  <c r="F126" i="189"/>
  <c r="F55"/>
  <c r="F854" i="187"/>
  <c r="F1292"/>
  <c r="F890"/>
  <c r="F599"/>
  <c r="F523"/>
  <c r="F447"/>
  <c r="F371"/>
  <c r="F269"/>
  <c r="F1166"/>
  <c r="F30"/>
  <c r="F12" i="189"/>
  <c r="F1040" i="187"/>
  <c r="F237"/>
  <c r="F101" i="189"/>
  <c r="F18" i="192"/>
  <c r="F1250" i="187"/>
  <c r="F705"/>
  <c r="F74"/>
  <c r="F79" i="189"/>
  <c r="F1209" i="187"/>
  <c r="F963"/>
  <c r="F302"/>
  <c r="F52"/>
  <c r="F34" i="189"/>
  <c r="F1083" i="187"/>
  <c r="F927"/>
  <c r="F658"/>
  <c r="F1293"/>
  <c r="F891"/>
  <c r="F600"/>
  <c r="F524"/>
  <c r="F448"/>
  <c r="F372"/>
  <c r="F270"/>
  <c r="F127" i="189"/>
  <c r="F56"/>
  <c r="F1167" i="187"/>
  <c r="F855"/>
  <c r="F31"/>
  <c r="F19" i="192"/>
  <c r="F1251" i="187"/>
  <c r="F13" i="189"/>
  <c r="F1041" i="187"/>
  <c r="F238"/>
  <c r="F102" i="189"/>
  <c r="F706" i="187"/>
  <c r="F75"/>
  <c r="F1125"/>
  <c r="F562"/>
  <c r="F486"/>
  <c r="F410"/>
  <c r="F334"/>
  <c r="F206"/>
  <c r="F19" i="186"/>
  <c r="F999" i="187"/>
  <c r="F681"/>
  <c r="M210" i="179"/>
  <c r="L83"/>
  <c r="F115"/>
  <c r="I135"/>
  <c r="F59"/>
  <c r="F61" s="1"/>
  <c r="F69"/>
  <c r="F71" s="1"/>
  <c r="I141"/>
  <c r="L89"/>
  <c r="F121"/>
  <c r="G110" i="178"/>
  <c r="C31"/>
  <c r="K70" s="1"/>
  <c r="D31"/>
  <c r="N108"/>
  <c r="C83" i="179"/>
  <c r="F28"/>
  <c r="N107" i="178"/>
  <c r="E146"/>
  <c r="N127"/>
  <c r="E145"/>
  <c r="N126"/>
  <c r="L5" i="250"/>
  <c r="E235" i="255"/>
  <c r="E223"/>
  <c r="H273"/>
  <c r="E220"/>
  <c r="F245" s="1"/>
  <c r="F269"/>
  <c r="J33" i="250"/>
  <c r="L33" s="1"/>
  <c r="J34"/>
  <c r="L34" s="1"/>
  <c r="N13" i="255"/>
  <c r="N15" s="1"/>
  <c r="M17"/>
  <c r="L37" i="250" s="1"/>
  <c r="N12" i="255"/>
  <c r="N14" s="1"/>
  <c r="T4"/>
  <c r="U5" s="1"/>
  <c r="J4"/>
  <c r="Z21"/>
  <c r="X23" s="1"/>
  <c r="AC204"/>
  <c r="F188"/>
  <c r="I197" s="1"/>
  <c r="F174"/>
  <c r="F183"/>
  <c r="F208"/>
  <c r="I211" s="1"/>
  <c r="X14"/>
  <c r="J5"/>
  <c r="T5"/>
  <c r="N18"/>
  <c r="N20" s="1"/>
  <c r="M12"/>
  <c r="K33" i="250" s="1"/>
  <c r="N17" i="255"/>
  <c r="N19" s="1"/>
  <c r="D144" i="250"/>
  <c r="G146" s="1"/>
  <c r="I146" s="1"/>
  <c r="B47"/>
  <c r="I40"/>
  <c r="K40" s="1"/>
  <c r="B48"/>
  <c r="D120"/>
  <c r="L4"/>
  <c r="I153" s="1"/>
  <c r="E39"/>
  <c r="I39" s="1"/>
  <c r="K39" s="1"/>
  <c r="B31" i="159"/>
  <c r="C22"/>
  <c r="H46" i="250"/>
  <c r="H50"/>
  <c r="C25" i="159"/>
  <c r="C27"/>
  <c r="B23"/>
  <c r="H83" i="179"/>
  <c r="F47" i="213"/>
  <c r="G35"/>
  <c r="D46"/>
  <c r="G48"/>
  <c r="D48"/>
  <c r="G34"/>
  <c r="D47"/>
  <c r="E35"/>
  <c r="D99" i="70"/>
  <c r="C28" i="159"/>
  <c r="D121" i="250"/>
  <c r="C29" i="159"/>
  <c r="B30"/>
  <c r="B28"/>
  <c r="C24"/>
  <c r="C26"/>
  <c r="D34" i="213"/>
  <c r="D35"/>
  <c r="G33"/>
  <c r="E46"/>
  <c r="B27" i="159"/>
  <c r="D100" i="183"/>
  <c r="H47" i="250"/>
  <c r="B29" i="159"/>
  <c r="B22"/>
  <c r="C30"/>
  <c r="H51" i="250"/>
  <c r="B26" i="159"/>
  <c r="F46" i="213"/>
  <c r="F48"/>
  <c r="F35"/>
  <c r="G46"/>
  <c r="E34"/>
  <c r="AJ4" i="161"/>
  <c r="B24" i="159"/>
  <c r="H48" i="250"/>
  <c r="C31" i="159"/>
  <c r="C23"/>
  <c r="B32"/>
  <c r="H49" i="250"/>
  <c r="C32" i="159"/>
  <c r="B25"/>
  <c r="G47" i="213"/>
  <c r="E33"/>
  <c r="D33"/>
  <c r="F34"/>
  <c r="E47"/>
  <c r="E48"/>
  <c r="F33"/>
  <c r="D86" i="164" l="1"/>
  <c r="F90" s="1"/>
  <c r="F95" s="1"/>
  <c r="H95" s="1"/>
  <c r="D81" s="1"/>
  <c r="H29" i="10"/>
  <c r="G54" i="2"/>
  <c r="G55" s="1"/>
  <c r="G56" s="1"/>
  <c r="D169" i="250" s="1"/>
  <c r="D171" s="1"/>
  <c r="H257" i="2"/>
  <c r="G259"/>
  <c r="P102" i="163"/>
  <c r="P95"/>
  <c r="P81"/>
  <c r="P64"/>
  <c r="P57"/>
  <c r="P44"/>
  <c r="M102"/>
  <c r="M95"/>
  <c r="M81"/>
  <c r="M64"/>
  <c r="M57"/>
  <c r="M44"/>
  <c r="M94"/>
  <c r="M56"/>
  <c r="P56"/>
  <c r="P94"/>
  <c r="P101"/>
  <c r="G1261" i="187"/>
  <c r="G1093"/>
  <c r="G570"/>
  <c r="G1303"/>
  <c r="G1135"/>
  <c r="G608"/>
  <c r="G1177"/>
  <c r="G1009"/>
  <c r="G53" i="192"/>
  <c r="G1219" i="187"/>
  <c r="G380"/>
  <c r="G418"/>
  <c r="G1051"/>
  <c r="G532"/>
  <c r="G456"/>
  <c r="G53" i="186"/>
  <c r="G494" i="187"/>
  <c r="G342"/>
  <c r="K137" i="160"/>
  <c r="K139" s="1"/>
  <c r="H139"/>
  <c r="D184" i="183"/>
  <c r="C192"/>
  <c r="C196"/>
  <c r="F104" i="189"/>
  <c r="F15"/>
  <c r="F1169" i="187"/>
  <c r="F1001"/>
  <c r="F929"/>
  <c r="F857"/>
  <c r="F792"/>
  <c r="F730"/>
  <c r="F683"/>
  <c r="F637"/>
  <c r="F36" i="189"/>
  <c r="F1211" i="187"/>
  <c r="F1043"/>
  <c r="F526"/>
  <c r="F129" i="189"/>
  <c r="F58"/>
  <c r="F1253" i="187"/>
  <c r="F1085"/>
  <c r="F965"/>
  <c r="F893"/>
  <c r="F823"/>
  <c r="F761"/>
  <c r="F450"/>
  <c r="F77"/>
  <c r="F22" i="192"/>
  <c r="F1127" i="187"/>
  <c r="F488"/>
  <c r="F336"/>
  <c r="F272"/>
  <c r="F208"/>
  <c r="F151"/>
  <c r="F97"/>
  <c r="F12"/>
  <c r="F81" i="189"/>
  <c r="F660" i="187"/>
  <c r="F602"/>
  <c r="F564"/>
  <c r="F374"/>
  <c r="F33"/>
  <c r="F1295"/>
  <c r="F708"/>
  <c r="F412"/>
  <c r="F304"/>
  <c r="F240"/>
  <c r="F178"/>
  <c r="F124"/>
  <c r="F54"/>
  <c r="F22" i="186"/>
  <c r="F77" i="164"/>
  <c r="M63" i="163"/>
  <c r="G8" i="179"/>
  <c r="F59" i="250"/>
  <c r="F29" i="164"/>
  <c r="F31" s="1"/>
  <c r="F50" i="183"/>
  <c r="F49" i="70"/>
  <c r="G46" i="2"/>
  <c r="K96" i="160"/>
  <c r="H99"/>
  <c r="H102" s="1"/>
  <c r="I20" i="29"/>
  <c r="G44" i="24"/>
  <c r="G61" i="2"/>
  <c r="E10" i="162"/>
  <c r="I8" i="164"/>
  <c r="D158" i="213"/>
  <c r="K147"/>
  <c r="G83" i="163"/>
  <c r="G86" s="1"/>
  <c r="K219" i="2"/>
  <c r="F218"/>
  <c r="K220"/>
  <c r="J12" i="167"/>
  <c r="E14" s="1"/>
  <c r="E17" s="1"/>
  <c r="H111" i="160"/>
  <c r="M101" i="163"/>
  <c r="R22" i="161"/>
  <c r="C23"/>
  <c r="F30" s="1"/>
  <c r="J102" i="163"/>
  <c r="J95"/>
  <c r="J81"/>
  <c r="J64"/>
  <c r="J57"/>
  <c r="J44"/>
  <c r="J94"/>
  <c r="J96" s="1"/>
  <c r="F82" i="81"/>
  <c r="F130"/>
  <c r="F58"/>
  <c r="F105"/>
  <c r="F35"/>
  <c r="F21" i="80"/>
  <c r="F14" i="81"/>
  <c r="F1154" i="65"/>
  <c r="F1556"/>
  <c r="F1418"/>
  <c r="F1326"/>
  <c r="F1114"/>
  <c r="F1510"/>
  <c r="F1372"/>
  <c r="F1280"/>
  <c r="F1074"/>
  <c r="F1464"/>
  <c r="F1234"/>
  <c r="F1194"/>
  <c r="F790"/>
  <c r="F767"/>
  <c r="F514"/>
  <c r="F403"/>
  <c r="F144"/>
  <c r="F21" i="64"/>
  <c r="F1326" i="59"/>
  <c r="F908" i="65"/>
  <c r="F883"/>
  <c r="F860"/>
  <c r="F709"/>
  <c r="F592"/>
  <c r="F475"/>
  <c r="F370"/>
  <c r="F55"/>
  <c r="F670"/>
  <c r="F337"/>
  <c r="F122"/>
  <c r="F33"/>
  <c r="F815"/>
  <c r="F631"/>
  <c r="F553"/>
  <c r="F436"/>
  <c r="F304"/>
  <c r="F168"/>
  <c r="F79"/>
  <c r="F1144" i="59"/>
  <c r="F892"/>
  <c r="F620"/>
  <c r="F314"/>
  <c r="F55"/>
  <c r="F1371"/>
  <c r="F1281"/>
  <c r="F1236"/>
  <c r="F1098"/>
  <c r="F726"/>
  <c r="F701"/>
  <c r="F678"/>
  <c r="F581"/>
  <c r="F503"/>
  <c r="F386"/>
  <c r="F281"/>
  <c r="F21" i="63"/>
  <c r="F464" i="59"/>
  <c r="F248"/>
  <c r="F33"/>
  <c r="F1190"/>
  <c r="F1052"/>
  <c r="F1012"/>
  <c r="F972"/>
  <c r="F932"/>
  <c r="F542"/>
  <c r="F425"/>
  <c r="F347"/>
  <c r="F215"/>
  <c r="F79"/>
  <c r="J238" i="2"/>
  <c r="G10" i="28" s="1"/>
  <c r="J36" s="1"/>
  <c r="I238" i="2"/>
  <c r="F10" i="28" s="1"/>
  <c r="H238" i="2"/>
  <c r="D10" i="28" s="1"/>
  <c r="K238" i="2"/>
  <c r="H10" i="28" s="1"/>
  <c r="J37" s="1"/>
  <c r="F108" i="81"/>
  <c r="F38"/>
  <c r="F25" i="80"/>
  <c r="F85" i="81"/>
  <c r="F17"/>
  <c r="F133"/>
  <c r="F61"/>
  <c r="F1513" i="65"/>
  <c r="F1375"/>
  <c r="F1283"/>
  <c r="F1039"/>
  <c r="F1467"/>
  <c r="F1237"/>
  <c r="F1197"/>
  <c r="F1157"/>
  <c r="F1421"/>
  <c r="F1329"/>
  <c r="F1117"/>
  <c r="F1559"/>
  <c r="F1077"/>
  <c r="F934"/>
  <c r="F969"/>
  <c r="F911"/>
  <c r="F673"/>
  <c r="F556"/>
  <c r="F439"/>
  <c r="F307"/>
  <c r="F248"/>
  <c r="F171"/>
  <c r="F36"/>
  <c r="F886"/>
  <c r="F863"/>
  <c r="F818"/>
  <c r="F793"/>
  <c r="F634"/>
  <c r="F406"/>
  <c r="F276"/>
  <c r="F192"/>
  <c r="F103"/>
  <c r="F82"/>
  <c r="F14"/>
  <c r="F1004"/>
  <c r="F770"/>
  <c r="F747"/>
  <c r="F712"/>
  <c r="F595"/>
  <c r="F517"/>
  <c r="F373"/>
  <c r="F220"/>
  <c r="F147"/>
  <c r="F58"/>
  <c r="F25" i="64"/>
  <c r="F840" i="65"/>
  <c r="F478"/>
  <c r="F340"/>
  <c r="F125"/>
  <c r="F1193" i="59"/>
  <c r="F1055"/>
  <c r="F822"/>
  <c r="F752"/>
  <c r="F467"/>
  <c r="F350"/>
  <c r="F218"/>
  <c r="F159"/>
  <c r="F103"/>
  <c r="F82"/>
  <c r="F1284"/>
  <c r="F1015"/>
  <c r="F975"/>
  <c r="F935"/>
  <c r="F545"/>
  <c r="F428"/>
  <c r="F317"/>
  <c r="F187"/>
  <c r="F14"/>
  <c r="F1374"/>
  <c r="F1147"/>
  <c r="F895"/>
  <c r="F857"/>
  <c r="F787"/>
  <c r="F623"/>
  <c r="F506"/>
  <c r="F284"/>
  <c r="F131"/>
  <c r="F58"/>
  <c r="F1329"/>
  <c r="F1239"/>
  <c r="F1101"/>
  <c r="F729"/>
  <c r="F704"/>
  <c r="F681"/>
  <c r="F658"/>
  <c r="F584"/>
  <c r="F389"/>
  <c r="F251"/>
  <c r="F36"/>
  <c r="F25" i="63"/>
  <c r="Q117" i="160"/>
  <c r="Q110"/>
  <c r="N137"/>
  <c r="N117"/>
  <c r="N110"/>
  <c r="N96"/>
  <c r="N109"/>
  <c r="N111" s="1"/>
  <c r="Q109"/>
  <c r="Q111" s="1"/>
  <c r="C200" i="70"/>
  <c r="C205" s="1"/>
  <c r="D220" i="2"/>
  <c r="D219"/>
  <c r="D218"/>
  <c r="G218" s="1"/>
  <c r="H218" s="1"/>
  <c r="D217"/>
  <c r="G217" s="1"/>
  <c r="F84" i="81"/>
  <c r="F16"/>
  <c r="F132"/>
  <c r="F60"/>
  <c r="F107"/>
  <c r="F37"/>
  <c r="F24" i="80"/>
  <c r="F1466" i="65"/>
  <c r="F1236"/>
  <c r="F1196"/>
  <c r="F1156"/>
  <c r="F968"/>
  <c r="F1420"/>
  <c r="F1328"/>
  <c r="F1116"/>
  <c r="F1558"/>
  <c r="F1076"/>
  <c r="F1512"/>
  <c r="F1374"/>
  <c r="F1282"/>
  <c r="F1038"/>
  <c r="F817"/>
  <c r="F792"/>
  <c r="F633"/>
  <c r="F405"/>
  <c r="F275"/>
  <c r="F191"/>
  <c r="F102"/>
  <c r="F81"/>
  <c r="F13"/>
  <c r="F1328" i="59"/>
  <c r="F769" i="65"/>
  <c r="F746"/>
  <c r="F711"/>
  <c r="F594"/>
  <c r="F516"/>
  <c r="F372"/>
  <c r="F219"/>
  <c r="F146"/>
  <c r="F57"/>
  <c r="F910"/>
  <c r="F839"/>
  <c r="F477"/>
  <c r="F339"/>
  <c r="F124"/>
  <c r="F1373" i="59"/>
  <c r="F1003" i="65"/>
  <c r="F933"/>
  <c r="F885"/>
  <c r="F862"/>
  <c r="F672"/>
  <c r="F555"/>
  <c r="F438"/>
  <c r="F306"/>
  <c r="F247"/>
  <c r="F170"/>
  <c r="F35"/>
  <c r="F1014" i="59"/>
  <c r="F974"/>
  <c r="F934"/>
  <c r="F544"/>
  <c r="F427"/>
  <c r="F316"/>
  <c r="F186"/>
  <c r="F13"/>
  <c r="F1146"/>
  <c r="F894"/>
  <c r="F856"/>
  <c r="F786"/>
  <c r="F622"/>
  <c r="F505"/>
  <c r="F283"/>
  <c r="F130"/>
  <c r="F57"/>
  <c r="F24" i="63"/>
  <c r="F24" i="64"/>
  <c r="F1238" i="59"/>
  <c r="F1100"/>
  <c r="F728"/>
  <c r="F703"/>
  <c r="F680"/>
  <c r="F657"/>
  <c r="F583"/>
  <c r="F388"/>
  <c r="F250"/>
  <c r="F35"/>
  <c r="F1283"/>
  <c r="F1192"/>
  <c r="F1054"/>
  <c r="F821"/>
  <c r="F751"/>
  <c r="F466"/>
  <c r="F349"/>
  <c r="F217"/>
  <c r="F158"/>
  <c r="F102"/>
  <c r="F81"/>
  <c r="G46" i="163"/>
  <c r="G49" s="1"/>
  <c r="D91" i="253"/>
  <c r="F60" i="250"/>
  <c r="P63" i="163"/>
  <c r="H41" i="213"/>
  <c r="H51"/>
  <c r="H54" s="1"/>
  <c r="F37" i="189"/>
  <c r="F1212" i="187"/>
  <c r="F1044"/>
  <c r="F527"/>
  <c r="F130" i="189"/>
  <c r="F59"/>
  <c r="F1254" i="187"/>
  <c r="F1086"/>
  <c r="F966"/>
  <c r="F894"/>
  <c r="F824"/>
  <c r="F762"/>
  <c r="F709"/>
  <c r="F661"/>
  <c r="F565"/>
  <c r="F82" i="189"/>
  <c r="F23" i="192"/>
  <c r="F1296" i="187"/>
  <c r="F1128"/>
  <c r="F16" i="189"/>
  <c r="F1002" i="187"/>
  <c r="F731"/>
  <c r="F489"/>
  <c r="F337"/>
  <c r="F273"/>
  <c r="F209"/>
  <c r="F152"/>
  <c r="F98"/>
  <c r="F13"/>
  <c r="F930"/>
  <c r="F603"/>
  <c r="F375"/>
  <c r="F34"/>
  <c r="F1170"/>
  <c r="F858"/>
  <c r="F638"/>
  <c r="F413"/>
  <c r="F305"/>
  <c r="F241"/>
  <c r="F179"/>
  <c r="F125"/>
  <c r="F55"/>
  <c r="F105" i="189"/>
  <c r="F793" i="187"/>
  <c r="F684"/>
  <c r="F451"/>
  <c r="F78"/>
  <c r="F23" i="186"/>
  <c r="J58" i="163"/>
  <c r="G55" i="80"/>
  <c r="G1566" i="65"/>
  <c r="G1520"/>
  <c r="G1382"/>
  <c r="G1290"/>
  <c r="G1474"/>
  <c r="G1244"/>
  <c r="G1428"/>
  <c r="G1336"/>
  <c r="G483"/>
  <c r="G1381" i="59"/>
  <c r="G1291"/>
  <c r="G678" i="65"/>
  <c r="G561"/>
  <c r="G444"/>
  <c r="G55" i="64"/>
  <c r="G639" i="65"/>
  <c r="G1336" i="59"/>
  <c r="G717" i="65"/>
  <c r="G600"/>
  <c r="G522"/>
  <c r="G1246" i="59"/>
  <c r="G1108"/>
  <c r="G589"/>
  <c r="G394"/>
  <c r="G1200"/>
  <c r="G1062"/>
  <c r="G472"/>
  <c r="G355"/>
  <c r="G550"/>
  <c r="G433"/>
  <c r="G1154"/>
  <c r="G628"/>
  <c r="G511"/>
  <c r="G56" i="63"/>
  <c r="K39" i="178"/>
  <c r="I9" i="82"/>
  <c r="Q3" s="1"/>
  <c r="I11" i="66"/>
  <c r="P5" s="1"/>
  <c r="H39" i="213"/>
  <c r="H52" s="1"/>
  <c r="Q145" i="160"/>
  <c r="I37" i="184"/>
  <c r="Q37" s="1"/>
  <c r="S37" s="1"/>
  <c r="I23" i="185" s="1"/>
  <c r="I25" i="29"/>
  <c r="J45" i="24"/>
  <c r="F219" i="2"/>
  <c r="F220"/>
  <c r="H51" i="10"/>
  <c r="I132" i="81"/>
  <c r="I60"/>
  <c r="I107"/>
  <c r="I37"/>
  <c r="I24" i="80"/>
  <c r="I84" i="81"/>
  <c r="I16"/>
  <c r="I1420" i="65"/>
  <c r="I1328"/>
  <c r="I1116"/>
  <c r="I1003"/>
  <c r="I1558"/>
  <c r="I1512"/>
  <c r="I1374"/>
  <c r="I1282"/>
  <c r="I1466"/>
  <c r="I1236"/>
  <c r="I1196"/>
  <c r="I1156"/>
  <c r="I968"/>
  <c r="I910"/>
  <c r="I769"/>
  <c r="I746"/>
  <c r="I711"/>
  <c r="I594"/>
  <c r="I516"/>
  <c r="I372"/>
  <c r="I219"/>
  <c r="I146"/>
  <c r="I57"/>
  <c r="I24" i="64"/>
  <c r="I839" i="65"/>
  <c r="I477"/>
  <c r="I339"/>
  <c r="I124"/>
  <c r="I1076"/>
  <c r="I1038"/>
  <c r="I933"/>
  <c r="I885"/>
  <c r="I862"/>
  <c r="I672"/>
  <c r="I555"/>
  <c r="I438"/>
  <c r="I306"/>
  <c r="I247"/>
  <c r="I170"/>
  <c r="I35"/>
  <c r="I817"/>
  <c r="I792"/>
  <c r="I633"/>
  <c r="I405"/>
  <c r="I275"/>
  <c r="I191"/>
  <c r="I102"/>
  <c r="I81"/>
  <c r="I13"/>
  <c r="I1146" i="59"/>
  <c r="I894"/>
  <c r="I856"/>
  <c r="I786"/>
  <c r="I622"/>
  <c r="I505"/>
  <c r="I283"/>
  <c r="I130"/>
  <c r="I57"/>
  <c r="I1328"/>
  <c r="I1238"/>
  <c r="I1100"/>
  <c r="I728"/>
  <c r="I703"/>
  <c r="I680"/>
  <c r="I657"/>
  <c r="I583"/>
  <c r="I388"/>
  <c r="I250"/>
  <c r="I35"/>
  <c r="I1283"/>
  <c r="I1192"/>
  <c r="I1054"/>
  <c r="I821"/>
  <c r="I751"/>
  <c r="I466"/>
  <c r="I349"/>
  <c r="I217"/>
  <c r="I158"/>
  <c r="I102"/>
  <c r="I81"/>
  <c r="I1373"/>
  <c r="I1014"/>
  <c r="I974"/>
  <c r="I934"/>
  <c r="I544"/>
  <c r="I427"/>
  <c r="I316"/>
  <c r="I186"/>
  <c r="I13"/>
  <c r="I24" i="63"/>
  <c r="M103" i="163"/>
  <c r="M105"/>
  <c r="G67"/>
  <c r="G65"/>
  <c r="G68" s="1"/>
  <c r="G105"/>
  <c r="G103"/>
  <c r="G106" s="1"/>
  <c r="P105"/>
  <c r="P103"/>
  <c r="H32" i="184"/>
  <c r="P32" s="1"/>
  <c r="T32" s="1"/>
  <c r="J18" i="185" s="1"/>
  <c r="G11" i="24"/>
  <c r="I11" s="1"/>
  <c r="H49" i="184"/>
  <c r="P49" s="1"/>
  <c r="T49" s="1"/>
  <c r="H73" i="11"/>
  <c r="C14" i="169"/>
  <c r="H12" s="1"/>
  <c r="I12" s="1"/>
  <c r="J12" s="1"/>
  <c r="J68" i="168"/>
  <c r="F68"/>
  <c r="E28"/>
  <c r="H68"/>
  <c r="T37" i="184"/>
  <c r="J23" i="185" s="1"/>
  <c r="K147" i="160"/>
  <c r="K148" s="1"/>
  <c r="K150" s="1"/>
  <c r="K116"/>
  <c r="H147"/>
  <c r="H148" s="1"/>
  <c r="H150" s="1"/>
  <c r="H116"/>
  <c r="H53" i="168"/>
  <c r="J79"/>
  <c r="F79"/>
  <c r="J50"/>
  <c r="F50"/>
  <c r="J43"/>
  <c r="F43"/>
  <c r="H79"/>
  <c r="H50"/>
  <c r="H43"/>
  <c r="F53"/>
  <c r="J67" i="163"/>
  <c r="J65"/>
  <c r="J68" s="1"/>
  <c r="P67"/>
  <c r="P65"/>
  <c r="M65"/>
  <c r="M67"/>
  <c r="J105"/>
  <c r="J103"/>
  <c r="J106" s="1"/>
  <c r="H33" i="184"/>
  <c r="P33" s="1"/>
  <c r="G12" i="24"/>
  <c r="I12" s="1"/>
  <c r="N66" i="26"/>
  <c r="H67" i="184" s="1"/>
  <c r="P67" s="1"/>
  <c r="F27" i="26"/>
  <c r="N78"/>
  <c r="I21" i="253"/>
  <c r="I226" i="2"/>
  <c r="E226"/>
  <c r="G226" s="1"/>
  <c r="I227"/>
  <c r="E227"/>
  <c r="G227" s="1"/>
  <c r="H227" s="1"/>
  <c r="T36" i="184"/>
  <c r="J22" i="185" s="1"/>
  <c r="S36" i="184"/>
  <c r="I22" i="185" s="1"/>
  <c r="H259" i="2"/>
  <c r="H261" s="1"/>
  <c r="H29" i="161"/>
  <c r="Q147" i="160"/>
  <c r="Q148" s="1"/>
  <c r="Q150" s="1"/>
  <c r="Q116"/>
  <c r="N147"/>
  <c r="N148" s="1"/>
  <c r="N150" s="1"/>
  <c r="N116"/>
  <c r="F82" i="169"/>
  <c r="H8"/>
  <c r="I8" s="1"/>
  <c r="J53" i="168"/>
  <c r="G106" i="71"/>
  <c r="E118" s="1"/>
  <c r="G118" s="1"/>
  <c r="G92"/>
  <c r="G101"/>
  <c r="I116" s="1"/>
  <c r="C105"/>
  <c r="G69" i="178"/>
  <c r="K65"/>
  <c r="K66"/>
  <c r="I65"/>
  <c r="G66"/>
  <c r="D39"/>
  <c r="F35" s="1"/>
  <c r="G70"/>
  <c r="F106"/>
  <c r="J106" s="1"/>
  <c r="I70"/>
  <c r="F125"/>
  <c r="J125" s="1"/>
  <c r="J126" s="1"/>
  <c r="J127" s="1"/>
  <c r="J129" s="1"/>
  <c r="G65"/>
  <c r="G44"/>
  <c r="G49" s="1"/>
  <c r="H49" s="1"/>
  <c r="I66"/>
  <c r="E59" i="179"/>
  <c r="E61" s="1"/>
  <c r="F135"/>
  <c r="K28"/>
  <c r="D83"/>
  <c r="N145" i="178"/>
  <c r="M145"/>
  <c r="M146"/>
  <c r="N146"/>
  <c r="J273" i="255"/>
  <c r="F275" s="1"/>
  <c r="F279" s="1"/>
  <c r="G288"/>
  <c r="I288" s="1"/>
  <c r="D291" s="1"/>
  <c r="F241"/>
  <c r="U4"/>
  <c r="J6"/>
  <c r="K211"/>
  <c r="H211"/>
  <c r="M18"/>
  <c r="L38" i="250" s="1"/>
  <c r="O17" i="255"/>
  <c r="M13"/>
  <c r="K34" i="250" s="1"/>
  <c r="O12" i="255"/>
  <c r="M14"/>
  <c r="K35" i="250" s="1"/>
  <c r="F146"/>
  <c r="D19"/>
  <c r="D130"/>
  <c r="I152"/>
  <c r="E88"/>
  <c r="P96" i="163" l="1"/>
  <c r="P106" s="1"/>
  <c r="P58"/>
  <c r="P68" s="1"/>
  <c r="M58"/>
  <c r="M68" s="1"/>
  <c r="P17" i="255"/>
  <c r="G37" i="250" s="1"/>
  <c r="F37"/>
  <c r="H37" s="1"/>
  <c r="H63" i="213"/>
  <c r="J41" i="184" s="1"/>
  <c r="R41" s="1"/>
  <c r="J63" i="213"/>
  <c r="J42" i="184" s="1"/>
  <c r="R42" s="1"/>
  <c r="Q137" i="160"/>
  <c r="Q139" s="1"/>
  <c r="N139"/>
  <c r="J46" i="163"/>
  <c r="J49" s="1"/>
  <c r="H30" i="161"/>
  <c r="L155" i="213"/>
  <c r="D166"/>
  <c r="K99" i="160"/>
  <c r="K102" s="1"/>
  <c r="P83" i="163"/>
  <c r="P86" s="1"/>
  <c r="G219" i="2"/>
  <c r="H219" s="1"/>
  <c r="Q96" i="160"/>
  <c r="N99"/>
  <c r="N102" s="1"/>
  <c r="J33" i="28"/>
  <c r="J17"/>
  <c r="J25"/>
  <c r="I104" i="81"/>
  <c r="I34"/>
  <c r="I20" i="80"/>
  <c r="I13" i="81"/>
  <c r="I81"/>
  <c r="I129"/>
  <c r="I57"/>
  <c r="I1509" i="65"/>
  <c r="I1371"/>
  <c r="I1279"/>
  <c r="I1073"/>
  <c r="I1463"/>
  <c r="I1233"/>
  <c r="I1193"/>
  <c r="I1153"/>
  <c r="I1555"/>
  <c r="I1417"/>
  <c r="I1325"/>
  <c r="I1113"/>
  <c r="I669"/>
  <c r="I336"/>
  <c r="I121"/>
  <c r="I32"/>
  <c r="I814"/>
  <c r="I630"/>
  <c r="I552"/>
  <c r="I435"/>
  <c r="I303"/>
  <c r="I167"/>
  <c r="I78"/>
  <c r="I789"/>
  <c r="I766"/>
  <c r="I513"/>
  <c r="I402"/>
  <c r="I143"/>
  <c r="I20" i="64"/>
  <c r="I907" i="65"/>
  <c r="I882"/>
  <c r="I859"/>
  <c r="I708"/>
  <c r="I591"/>
  <c r="I474"/>
  <c r="I369"/>
  <c r="I54"/>
  <c r="I463" i="59"/>
  <c r="I247"/>
  <c r="I32"/>
  <c r="I1189"/>
  <c r="I1051"/>
  <c r="I1011"/>
  <c r="I971"/>
  <c r="I931"/>
  <c r="I541"/>
  <c r="I424"/>
  <c r="I346"/>
  <c r="I214"/>
  <c r="I78"/>
  <c r="I1370"/>
  <c r="I1325"/>
  <c r="I1143"/>
  <c r="I891"/>
  <c r="I619"/>
  <c r="I313"/>
  <c r="I54"/>
  <c r="I1280"/>
  <c r="I1235"/>
  <c r="I1097"/>
  <c r="I725"/>
  <c r="I700"/>
  <c r="I677"/>
  <c r="I580"/>
  <c r="I502"/>
  <c r="I385"/>
  <c r="I280"/>
  <c r="I20" i="63"/>
  <c r="F51" i="70"/>
  <c r="I55" s="1"/>
  <c r="J79" s="1"/>
  <c r="J80" s="1"/>
  <c r="D147" i="183"/>
  <c r="D149" s="1"/>
  <c r="F52"/>
  <c r="I56" s="1"/>
  <c r="J80" s="1"/>
  <c r="J81" s="1"/>
  <c r="D146" i="70"/>
  <c r="D148" s="1"/>
  <c r="P49" i="163"/>
  <c r="P46"/>
  <c r="P12" i="255"/>
  <c r="G33" i="250" s="1"/>
  <c r="F33"/>
  <c r="H33" s="1"/>
  <c r="M33" s="1"/>
  <c r="G48" i="178"/>
  <c r="M240" i="179" s="1"/>
  <c r="M243" s="1"/>
  <c r="M246" s="1"/>
  <c r="G53" i="178"/>
  <c r="K53"/>
  <c r="D36" i="179" s="1"/>
  <c r="I53" i="178"/>
  <c r="D32" i="179" s="1"/>
  <c r="L37" i="178"/>
  <c r="J37" s="1"/>
  <c r="G220" i="2"/>
  <c r="H220" s="1"/>
  <c r="J28" i="28"/>
  <c r="J20"/>
  <c r="F33" i="161"/>
  <c r="F31"/>
  <c r="F35" s="1"/>
  <c r="F36" s="1"/>
  <c r="F38" s="1"/>
  <c r="E35" i="159" s="1"/>
  <c r="C81" i="162"/>
  <c r="E14"/>
  <c r="E15"/>
  <c r="E76" s="1"/>
  <c r="G100" i="164"/>
  <c r="D108" s="1"/>
  <c r="D111" s="1"/>
  <c r="I35"/>
  <c r="H53" s="1"/>
  <c r="M96" i="163"/>
  <c r="M106" s="1"/>
  <c r="M83"/>
  <c r="M86" s="1"/>
  <c r="I33" i="184"/>
  <c r="Q33" s="1"/>
  <c r="S33" s="1"/>
  <c r="I19" i="185" s="1"/>
  <c r="I21" i="29"/>
  <c r="G45" i="24"/>
  <c r="I85" i="81"/>
  <c r="I17"/>
  <c r="I133"/>
  <c r="I61"/>
  <c r="I108"/>
  <c r="I38"/>
  <c r="I25" i="80"/>
  <c r="I1467" i="65"/>
  <c r="I1237"/>
  <c r="I1197"/>
  <c r="I1157"/>
  <c r="I969"/>
  <c r="I1421"/>
  <c r="I1329"/>
  <c r="I1117"/>
  <c r="I1559"/>
  <c r="I1077"/>
  <c r="I1513"/>
  <c r="I1375"/>
  <c r="I1283"/>
  <c r="I1039"/>
  <c r="I886"/>
  <c r="I863"/>
  <c r="I818"/>
  <c r="I793"/>
  <c r="I634"/>
  <c r="I406"/>
  <c r="I276"/>
  <c r="I192"/>
  <c r="I103"/>
  <c r="I82"/>
  <c r="I14"/>
  <c r="I1329" i="59"/>
  <c r="I1004" i="65"/>
  <c r="I934"/>
  <c r="I770"/>
  <c r="I747"/>
  <c r="I712"/>
  <c r="I595"/>
  <c r="I517"/>
  <c r="I373"/>
  <c r="I220"/>
  <c r="I147"/>
  <c r="I58"/>
  <c r="I840"/>
  <c r="I478"/>
  <c r="I340"/>
  <c r="I125"/>
  <c r="I1374" i="59"/>
  <c r="I911" i="65"/>
  <c r="I673"/>
  <c r="I556"/>
  <c r="I439"/>
  <c r="I307"/>
  <c r="I248"/>
  <c r="I171"/>
  <c r="I36"/>
  <c r="I1284" i="59"/>
  <c r="I1015"/>
  <c r="I975"/>
  <c r="I935"/>
  <c r="I545"/>
  <c r="I428"/>
  <c r="I317"/>
  <c r="I187"/>
  <c r="I14"/>
  <c r="I25" i="64"/>
  <c r="I1147" i="59"/>
  <c r="I895"/>
  <c r="I857"/>
  <c r="I787"/>
  <c r="I623"/>
  <c r="I506"/>
  <c r="I284"/>
  <c r="I131"/>
  <c r="I58"/>
  <c r="I25" i="63"/>
  <c r="I1239" i="59"/>
  <c r="I1101"/>
  <c r="I729"/>
  <c r="I704"/>
  <c r="I681"/>
  <c r="I658"/>
  <c r="I584"/>
  <c r="I389"/>
  <c r="I251"/>
  <c r="I36"/>
  <c r="I1193"/>
  <c r="I1055"/>
  <c r="I822"/>
  <c r="I752"/>
  <c r="I467"/>
  <c r="I350"/>
  <c r="I218"/>
  <c r="I159"/>
  <c r="I103"/>
  <c r="I82"/>
  <c r="H73" i="213"/>
  <c r="J45" i="184" s="1"/>
  <c r="R45" s="1"/>
  <c r="J73" i="213"/>
  <c r="J46" i="184" s="1"/>
  <c r="R46" s="1"/>
  <c r="H217" i="2"/>
  <c r="J83" i="163"/>
  <c r="J86" s="1"/>
  <c r="F61" i="250"/>
  <c r="I65" s="1"/>
  <c r="E78" s="1"/>
  <c r="E79" s="1"/>
  <c r="C201" i="183"/>
  <c r="C206" s="1"/>
  <c r="M46" i="163"/>
  <c r="M49" s="1"/>
  <c r="J8" i="169"/>
  <c r="F104"/>
  <c r="E107" s="1"/>
  <c r="E85"/>
  <c r="F16" i="29"/>
  <c r="I259" i="2"/>
  <c r="K259" s="1"/>
  <c r="H265" s="1"/>
  <c r="H266" s="1"/>
  <c r="J16" i="29" s="1"/>
  <c r="J104" i="189"/>
  <c r="J81"/>
  <c r="J58"/>
  <c r="J129"/>
  <c r="J36"/>
  <c r="J15"/>
  <c r="J22" i="192"/>
  <c r="J1295" i="187"/>
  <c r="J1211"/>
  <c r="J1127"/>
  <c r="J1043"/>
  <c r="J965"/>
  <c r="J893"/>
  <c r="J708"/>
  <c r="J660"/>
  <c r="J602"/>
  <c r="J526"/>
  <c r="J450"/>
  <c r="J374"/>
  <c r="J304"/>
  <c r="J240"/>
  <c r="J178"/>
  <c r="J124"/>
  <c r="J1253"/>
  <c r="J1169"/>
  <c r="J1085"/>
  <c r="J1001"/>
  <c r="J857"/>
  <c r="J792"/>
  <c r="J730"/>
  <c r="J637"/>
  <c r="J564"/>
  <c r="J488"/>
  <c r="J412"/>
  <c r="J336"/>
  <c r="J208"/>
  <c r="J97"/>
  <c r="J77"/>
  <c r="J54"/>
  <c r="J33"/>
  <c r="J12"/>
  <c r="J22" i="186"/>
  <c r="J929" i="187"/>
  <c r="J823"/>
  <c r="J272"/>
  <c r="J761"/>
  <c r="J683"/>
  <c r="J151"/>
  <c r="S67" i="184"/>
  <c r="I53" i="185" s="1"/>
  <c r="T67" i="184"/>
  <c r="T33"/>
  <c r="J19" i="185" s="1"/>
  <c r="H47" i="168"/>
  <c r="H46"/>
  <c r="H83"/>
  <c r="H82"/>
  <c r="J46"/>
  <c r="J47"/>
  <c r="J82"/>
  <c r="J83"/>
  <c r="H120" i="160"/>
  <c r="H118"/>
  <c r="H121" s="1"/>
  <c r="K120"/>
  <c r="K118"/>
  <c r="K121" s="1"/>
  <c r="I105" i="189"/>
  <c r="I82"/>
  <c r="I59"/>
  <c r="I130"/>
  <c r="I37"/>
  <c r="I16"/>
  <c r="I23" i="192"/>
  <c r="I1296" i="187"/>
  <c r="I1212"/>
  <c r="I1128"/>
  <c r="I1044"/>
  <c r="I966"/>
  <c r="I894"/>
  <c r="I709"/>
  <c r="I661"/>
  <c r="I603"/>
  <c r="I527"/>
  <c r="I451"/>
  <c r="I375"/>
  <c r="I305"/>
  <c r="I241"/>
  <c r="I179"/>
  <c r="I125"/>
  <c r="I1254"/>
  <c r="I1170"/>
  <c r="I1086"/>
  <c r="I1002"/>
  <c r="I858"/>
  <c r="I793"/>
  <c r="I731"/>
  <c r="I638"/>
  <c r="I565"/>
  <c r="I489"/>
  <c r="I413"/>
  <c r="I337"/>
  <c r="I209"/>
  <c r="I98"/>
  <c r="I78"/>
  <c r="I55"/>
  <c r="I34"/>
  <c r="I13"/>
  <c r="I23" i="186"/>
  <c r="I930" i="187"/>
  <c r="I824"/>
  <c r="I273"/>
  <c r="I762"/>
  <c r="I684"/>
  <c r="I152"/>
  <c r="H65" i="168"/>
  <c r="H51"/>
  <c r="H55" s="1"/>
  <c r="J65"/>
  <c r="F65"/>
  <c r="J51"/>
  <c r="J55" s="1"/>
  <c r="F51"/>
  <c r="F54" s="1"/>
  <c r="H50" i="184"/>
  <c r="P50" s="1"/>
  <c r="T50" s="1"/>
  <c r="H75" i="11"/>
  <c r="N120" i="160"/>
  <c r="N118"/>
  <c r="N121" s="1"/>
  <c r="Q120"/>
  <c r="Q118"/>
  <c r="Q121" s="1"/>
  <c r="J259" i="2"/>
  <c r="H262" s="1"/>
  <c r="H263" s="1"/>
  <c r="I16" i="29" s="1"/>
  <c r="I129" i="189"/>
  <c r="I36"/>
  <c r="I15"/>
  <c r="I22" i="192"/>
  <c r="I1295" i="187"/>
  <c r="I1253"/>
  <c r="I1211"/>
  <c r="I1169"/>
  <c r="I1127"/>
  <c r="I1085"/>
  <c r="I81" i="189"/>
  <c r="I1043" i="187"/>
  <c r="I1001"/>
  <c r="I965"/>
  <c r="I929"/>
  <c r="I893"/>
  <c r="I857"/>
  <c r="I823"/>
  <c r="I792"/>
  <c r="I761"/>
  <c r="I730"/>
  <c r="I683"/>
  <c r="I637"/>
  <c r="I564"/>
  <c r="I488"/>
  <c r="I412"/>
  <c r="I336"/>
  <c r="I272"/>
  <c r="I208"/>
  <c r="I151"/>
  <c r="I97"/>
  <c r="I77"/>
  <c r="I54"/>
  <c r="I33"/>
  <c r="I12"/>
  <c r="I660"/>
  <c r="I240"/>
  <c r="I124"/>
  <c r="I104" i="189"/>
  <c r="I58"/>
  <c r="I708" i="187"/>
  <c r="I178"/>
  <c r="I602"/>
  <c r="I526"/>
  <c r="I450"/>
  <c r="I374"/>
  <c r="I304"/>
  <c r="I22" i="186"/>
  <c r="G229" i="2"/>
  <c r="H226"/>
  <c r="O78" i="26"/>
  <c r="O66"/>
  <c r="I56" i="29" s="1"/>
  <c r="H54" i="168"/>
  <c r="F46"/>
  <c r="F47"/>
  <c r="F82"/>
  <c r="F83"/>
  <c r="J130" i="189"/>
  <c r="J37"/>
  <c r="J16"/>
  <c r="J23" i="192"/>
  <c r="J1296" i="187"/>
  <c r="J1254"/>
  <c r="J1212"/>
  <c r="J1170"/>
  <c r="J1128"/>
  <c r="J1086"/>
  <c r="J82" i="189"/>
  <c r="J1044" i="187"/>
  <c r="J1002"/>
  <c r="J966"/>
  <c r="J930"/>
  <c r="J894"/>
  <c r="J858"/>
  <c r="J824"/>
  <c r="J793"/>
  <c r="J762"/>
  <c r="J731"/>
  <c r="J684"/>
  <c r="J638"/>
  <c r="J565"/>
  <c r="J489"/>
  <c r="J413"/>
  <c r="J337"/>
  <c r="J273"/>
  <c r="J209"/>
  <c r="J152"/>
  <c r="J98"/>
  <c r="J78"/>
  <c r="J55"/>
  <c r="J34"/>
  <c r="J13"/>
  <c r="J661"/>
  <c r="J241"/>
  <c r="J125"/>
  <c r="J105" i="189"/>
  <c r="J59"/>
  <c r="J709" i="187"/>
  <c r="J179"/>
  <c r="J603"/>
  <c r="J527"/>
  <c r="J451"/>
  <c r="J375"/>
  <c r="J305"/>
  <c r="J23" i="186"/>
  <c r="H16" i="169"/>
  <c r="I16" s="1"/>
  <c r="J16" s="1"/>
  <c r="E60"/>
  <c r="E37"/>
  <c r="J998" i="187"/>
  <c r="J78" i="189"/>
  <c r="J962" i="187"/>
  <c r="J51"/>
  <c r="J1082"/>
  <c r="J657"/>
  <c r="J890"/>
  <c r="J523"/>
  <c r="J371"/>
  <c r="J237"/>
  <c r="J55" i="189"/>
  <c r="J854" i="187"/>
  <c r="J12" i="189"/>
  <c r="J101"/>
  <c r="J1250" i="187"/>
  <c r="J74"/>
  <c r="J561"/>
  <c r="J409"/>
  <c r="J205"/>
  <c r="J680"/>
  <c r="J1208"/>
  <c r="J301"/>
  <c r="J33" i="189"/>
  <c r="J926" i="187"/>
  <c r="J1292"/>
  <c r="J599"/>
  <c r="J447"/>
  <c r="J269"/>
  <c r="J126" i="189"/>
  <c r="J1166" i="187"/>
  <c r="J30"/>
  <c r="J1040"/>
  <c r="J18" i="192"/>
  <c r="J705" i="187"/>
  <c r="J1124"/>
  <c r="J485"/>
  <c r="J333"/>
  <c r="J18" i="186"/>
  <c r="E116" i="71"/>
  <c r="G116" s="1"/>
  <c r="E117"/>
  <c r="G117" s="1"/>
  <c r="I118"/>
  <c r="I117"/>
  <c r="F107" i="178"/>
  <c r="F108" s="1"/>
  <c r="F110" s="1"/>
  <c r="J110" s="1"/>
  <c r="G75"/>
  <c r="G81" s="1"/>
  <c r="N104" s="1"/>
  <c r="D35"/>
  <c r="K69" s="1"/>
  <c r="J49"/>
  <c r="G73"/>
  <c r="G79" s="1"/>
  <c r="E104" s="1"/>
  <c r="F126"/>
  <c r="M126" s="1"/>
  <c r="G74"/>
  <c r="G80" s="1"/>
  <c r="M104" s="1"/>
  <c r="I54"/>
  <c r="I69"/>
  <c r="H135" i="179"/>
  <c r="E151"/>
  <c r="F151" s="1"/>
  <c r="G186" s="1"/>
  <c r="O14" i="255"/>
  <c r="O18"/>
  <c r="M19"/>
  <c r="L39" i="250" s="1"/>
  <c r="M15" i="255"/>
  <c r="K36" i="250" s="1"/>
  <c r="O13" i="255"/>
  <c r="O24" s="1"/>
  <c r="O22"/>
  <c r="M37" i="250"/>
  <c r="G50" i="213"/>
  <c r="G52"/>
  <c r="G51"/>
  <c r="G54" s="1"/>
  <c r="H29" i="11" s="1"/>
  <c r="J46" s="1"/>
  <c r="G49" i="213"/>
  <c r="F36"/>
  <c r="F39"/>
  <c r="F37"/>
  <c r="F38"/>
  <c r="F41" s="1"/>
  <c r="G39"/>
  <c r="G37"/>
  <c r="G38"/>
  <c r="G41" s="1"/>
  <c r="H28" i="11" s="1"/>
  <c r="J37" s="1"/>
  <c r="G36" i="213"/>
  <c r="E49"/>
  <c r="E52"/>
  <c r="E50"/>
  <c r="E51"/>
  <c r="E54" s="1"/>
  <c r="F52"/>
  <c r="F50"/>
  <c r="F51"/>
  <c r="F54" s="1"/>
  <c r="F49"/>
  <c r="D38"/>
  <c r="D41" s="1"/>
  <c r="E28" i="11" s="1"/>
  <c r="H36" s="1"/>
  <c r="D39" i="213"/>
  <c r="D37"/>
  <c r="D36"/>
  <c r="E36"/>
  <c r="E39"/>
  <c r="E37"/>
  <c r="E38"/>
  <c r="E41" s="1"/>
  <c r="D49"/>
  <c r="D52"/>
  <c r="D50"/>
  <c r="D51"/>
  <c r="D54" s="1"/>
  <c r="E29" i="11" s="1"/>
  <c r="AG4" i="161"/>
  <c r="AG6" s="1"/>
  <c r="D114" i="70"/>
  <c r="D115" i="183"/>
  <c r="J46" i="250"/>
  <c r="J47"/>
  <c r="D136"/>
  <c r="J48"/>
  <c r="F43" i="164"/>
  <c r="K43" i="161"/>
  <c r="G43"/>
  <c r="F45" i="164"/>
  <c r="E37" i="159"/>
  <c r="N9" i="253"/>
  <c r="N10"/>
  <c r="I3"/>
  <c r="H104" s="1"/>
  <c r="L22"/>
  <c r="L25"/>
  <c r="F91" i="169"/>
  <c r="F113"/>
  <c r="F63"/>
  <c r="F88"/>
  <c r="F110"/>
  <c r="F43"/>
  <c r="F40"/>
  <c r="F66"/>
  <c r="G222" i="2" l="1"/>
  <c r="G224" s="1"/>
  <c r="F55" i="168"/>
  <c r="G120" i="71"/>
  <c r="I120" s="1"/>
  <c r="I132" s="1"/>
  <c r="D174" i="213"/>
  <c r="L163"/>
  <c r="F190" i="255"/>
  <c r="J192" s="1"/>
  <c r="I130" i="81"/>
  <c r="I58"/>
  <c r="I105"/>
  <c r="I35"/>
  <c r="I21" i="80"/>
  <c r="I14" i="81"/>
  <c r="I82"/>
  <c r="I1556" i="65"/>
  <c r="I1418"/>
  <c r="I1326"/>
  <c r="I1114"/>
  <c r="I1510"/>
  <c r="I1372"/>
  <c r="I1280"/>
  <c r="I1464"/>
  <c r="I1234"/>
  <c r="I1194"/>
  <c r="I1154"/>
  <c r="I908"/>
  <c r="I883"/>
  <c r="I860"/>
  <c r="I709"/>
  <c r="I592"/>
  <c r="I475"/>
  <c r="I370"/>
  <c r="I55"/>
  <c r="I1371" i="59"/>
  <c r="I1281"/>
  <c r="I670" i="65"/>
  <c r="I337"/>
  <c r="I122"/>
  <c r="I33"/>
  <c r="I815"/>
  <c r="I631"/>
  <c r="I553"/>
  <c r="I436"/>
  <c r="I304"/>
  <c r="I168"/>
  <c r="I79"/>
  <c r="I1074"/>
  <c r="I790"/>
  <c r="I767"/>
  <c r="I514"/>
  <c r="I403"/>
  <c r="I144"/>
  <c r="I21" i="64"/>
  <c r="I1326" i="59"/>
  <c r="I1236"/>
  <c r="I1098"/>
  <c r="I726"/>
  <c r="I701"/>
  <c r="I678"/>
  <c r="I581"/>
  <c r="I503"/>
  <c r="I386"/>
  <c r="I281"/>
  <c r="I464"/>
  <c r="I248"/>
  <c r="I33"/>
  <c r="I1190"/>
  <c r="I1052"/>
  <c r="I1012"/>
  <c r="I972"/>
  <c r="I932"/>
  <c r="I542"/>
  <c r="I425"/>
  <c r="I347"/>
  <c r="I215"/>
  <c r="I79"/>
  <c r="I1144"/>
  <c r="I892"/>
  <c r="I620"/>
  <c r="I314"/>
  <c r="I55"/>
  <c r="I21" i="63"/>
  <c r="D64" i="179"/>
  <c r="D66" s="1"/>
  <c r="I32"/>
  <c r="G138"/>
  <c r="D154" s="1"/>
  <c r="L32"/>
  <c r="B86"/>
  <c r="J81" i="70"/>
  <c r="I131"/>
  <c r="D132" s="1"/>
  <c r="F136" s="1"/>
  <c r="F139" s="1"/>
  <c r="D140" s="1"/>
  <c r="D127" s="1"/>
  <c r="P18" i="255"/>
  <c r="G38" i="250" s="1"/>
  <c r="F38"/>
  <c r="H38" s="1"/>
  <c r="G64" i="2"/>
  <c r="G65" s="1"/>
  <c r="H222"/>
  <c r="J222" s="1"/>
  <c r="J224" s="1"/>
  <c r="H62" i="164"/>
  <c r="H54"/>
  <c r="S3" i="162"/>
  <c r="S9" s="1"/>
  <c r="I36" i="179"/>
  <c r="G141"/>
  <c r="D157" s="1"/>
  <c r="L36"/>
  <c r="B89"/>
  <c r="D69"/>
  <c r="D71" s="1"/>
  <c r="Q99" i="160"/>
  <c r="Q102" s="1"/>
  <c r="P13" i="255"/>
  <c r="G34" i="250" s="1"/>
  <c r="F34"/>
  <c r="H34" s="1"/>
  <c r="M34" s="1"/>
  <c r="P14" i="255"/>
  <c r="G35" i="250" s="1"/>
  <c r="F35"/>
  <c r="H35" s="1"/>
  <c r="M35" s="1"/>
  <c r="I111" i="164"/>
  <c r="F111"/>
  <c r="G56" i="178"/>
  <c r="G55"/>
  <c r="D28" i="179"/>
  <c r="G59" i="178"/>
  <c r="D240" i="179" s="1"/>
  <c r="I132" i="183"/>
  <c r="D133" s="1"/>
  <c r="F137" s="1"/>
  <c r="F140" s="1"/>
  <c r="D141" s="1"/>
  <c r="D128" s="1"/>
  <c r="J82"/>
  <c r="F67" i="169"/>
  <c r="F68" s="1"/>
  <c r="F92"/>
  <c r="F93" s="1"/>
  <c r="P72" i="184" s="1"/>
  <c r="T72" s="1"/>
  <c r="F44" i="169"/>
  <c r="F45" s="1"/>
  <c r="F114"/>
  <c r="F115" s="1"/>
  <c r="P90" i="184" s="1"/>
  <c r="S90" s="1"/>
  <c r="I55" i="81"/>
  <c r="I11"/>
  <c r="I1553" i="65"/>
  <c r="I1461"/>
  <c r="I1415"/>
  <c r="I1369"/>
  <c r="I1323"/>
  <c r="I1231"/>
  <c r="I1036"/>
  <c r="I1001"/>
  <c r="I931"/>
  <c r="I706"/>
  <c r="I667"/>
  <c r="I628"/>
  <c r="I550"/>
  <c r="I511"/>
  <c r="I472"/>
  <c r="I400"/>
  <c r="I334"/>
  <c r="I273"/>
  <c r="I245"/>
  <c r="I141"/>
  <c r="I119"/>
  <c r="I76"/>
  <c r="I79" i="81"/>
  <c r="I16" i="80"/>
  <c r="I1277" i="65"/>
  <c r="I1191"/>
  <c r="I1151"/>
  <c r="I1111"/>
  <c r="I1071"/>
  <c r="I966"/>
  <c r="I433"/>
  <c r="I367"/>
  <c r="I301"/>
  <c r="I189"/>
  <c r="I100"/>
  <c r="I52"/>
  <c r="I11"/>
  <c r="I16" i="64"/>
  <c r="I1278" i="59"/>
  <c r="I1141"/>
  <c r="I1009"/>
  <c r="I889"/>
  <c r="I819"/>
  <c r="I578"/>
  <c r="I539"/>
  <c r="I422"/>
  <c r="I383"/>
  <c r="I311"/>
  <c r="I245"/>
  <c r="I184"/>
  <c r="I156"/>
  <c r="I128"/>
  <c r="I1507" i="65"/>
  <c r="I589"/>
  <c r="I217"/>
  <c r="I165"/>
  <c r="I30"/>
  <c r="I1368" i="59"/>
  <c r="I1323"/>
  <c r="I1233"/>
  <c r="I1187"/>
  <c r="I1095"/>
  <c r="I1049"/>
  <c r="I969"/>
  <c r="I929"/>
  <c r="I854"/>
  <c r="I784"/>
  <c r="I749"/>
  <c r="I617"/>
  <c r="I500"/>
  <c r="I461"/>
  <c r="I344"/>
  <c r="I278"/>
  <c r="I212"/>
  <c r="I100"/>
  <c r="I52"/>
  <c r="I30"/>
  <c r="I76"/>
  <c r="I11"/>
  <c r="I16" i="63"/>
  <c r="J79" i="81"/>
  <c r="J16" i="80"/>
  <c r="J1507" i="65"/>
  <c r="J1277"/>
  <c r="J1191"/>
  <c r="J1151"/>
  <c r="J1111"/>
  <c r="J1071"/>
  <c r="J966"/>
  <c r="J589"/>
  <c r="J433"/>
  <c r="J367"/>
  <c r="J301"/>
  <c r="J217"/>
  <c r="J189"/>
  <c r="J165"/>
  <c r="J100"/>
  <c r="J55" i="81"/>
  <c r="J1415" i="65"/>
  <c r="J1323"/>
  <c r="J1231"/>
  <c r="J1001"/>
  <c r="J667"/>
  <c r="J550"/>
  <c r="J472"/>
  <c r="J400"/>
  <c r="J334"/>
  <c r="J273"/>
  <c r="J119"/>
  <c r="J76"/>
  <c r="J30"/>
  <c r="J1368" i="59"/>
  <c r="J1323"/>
  <c r="J1233"/>
  <c r="J1187"/>
  <c r="J1095"/>
  <c r="J1049"/>
  <c r="J969"/>
  <c r="J929"/>
  <c r="J854"/>
  <c r="J784"/>
  <c r="J749"/>
  <c r="J617"/>
  <c r="J500"/>
  <c r="J461"/>
  <c r="J344"/>
  <c r="J278"/>
  <c r="J212"/>
  <c r="J100"/>
  <c r="J11" i="81"/>
  <c r="J1553" i="65"/>
  <c r="J1461"/>
  <c r="J1369"/>
  <c r="J1036"/>
  <c r="J931"/>
  <c r="J706"/>
  <c r="J628"/>
  <c r="J511"/>
  <c r="J245"/>
  <c r="J141"/>
  <c r="J52"/>
  <c r="J11"/>
  <c r="J16" i="64"/>
  <c r="J1278" i="59"/>
  <c r="J1141"/>
  <c r="J1009"/>
  <c r="J889"/>
  <c r="J819"/>
  <c r="J578"/>
  <c r="J539"/>
  <c r="J422"/>
  <c r="J383"/>
  <c r="J311"/>
  <c r="J245"/>
  <c r="J184"/>
  <c r="J156"/>
  <c r="J128"/>
  <c r="J76"/>
  <c r="J11"/>
  <c r="J16" i="63"/>
  <c r="J52" i="59"/>
  <c r="J30"/>
  <c r="I1566" i="65"/>
  <c r="I1474"/>
  <c r="I1244"/>
  <c r="I717"/>
  <c r="I561"/>
  <c r="I55" i="80"/>
  <c r="I1520" i="65"/>
  <c r="I1428"/>
  <c r="I1336"/>
  <c r="I678"/>
  <c r="I600"/>
  <c r="I483"/>
  <c r="I1381" i="59"/>
  <c r="I1336"/>
  <c r="I1291"/>
  <c r="I1200"/>
  <c r="I1154"/>
  <c r="I1062"/>
  <c r="I628"/>
  <c r="I589"/>
  <c r="I472"/>
  <c r="I433"/>
  <c r="I1382" i="65"/>
  <c r="I1290"/>
  <c r="I639"/>
  <c r="I522"/>
  <c r="I444"/>
  <c r="I55" i="64"/>
  <c r="I1246" i="59"/>
  <c r="I1108"/>
  <c r="I550"/>
  <c r="I511"/>
  <c r="I394"/>
  <c r="I355"/>
  <c r="I56" i="63"/>
  <c r="H229" i="2"/>
  <c r="K229" s="1"/>
  <c r="J70" i="168"/>
  <c r="J69"/>
  <c r="H69"/>
  <c r="H70"/>
  <c r="J54"/>
  <c r="J57" s="1"/>
  <c r="H47" i="29" s="1"/>
  <c r="H87" i="168"/>
  <c r="H86"/>
  <c r="F58" i="184" s="1"/>
  <c r="N58" s="1"/>
  <c r="H57" i="168"/>
  <c r="G47" i="29" s="1"/>
  <c r="H58" i="168"/>
  <c r="I47" i="29" s="1"/>
  <c r="I34" i="189"/>
  <c r="I927" i="187"/>
  <c r="I1293"/>
  <c r="I600"/>
  <c r="I448"/>
  <c r="I270"/>
  <c r="I56" i="189"/>
  <c r="I855" i="187"/>
  <c r="I13" i="189"/>
  <c r="I238" i="187"/>
  <c r="I562"/>
  <c r="I206"/>
  <c r="I102" i="189"/>
  <c r="I1251" i="187"/>
  <c r="I75"/>
  <c r="I334"/>
  <c r="I681"/>
  <c r="I1209"/>
  <c r="I302"/>
  <c r="I1083"/>
  <c r="I658"/>
  <c r="I891"/>
  <c r="I524"/>
  <c r="I372"/>
  <c r="I127" i="189"/>
  <c r="I1167" i="187"/>
  <c r="I31"/>
  <c r="I1041"/>
  <c r="I1125"/>
  <c r="I410"/>
  <c r="I19" i="186"/>
  <c r="I19" i="192"/>
  <c r="I706" i="187"/>
  <c r="I486"/>
  <c r="I999"/>
  <c r="I79" i="189"/>
  <c r="I963" i="187"/>
  <c r="I52"/>
  <c r="J19" i="169"/>
  <c r="F86" i="168"/>
  <c r="G57" i="184" s="1"/>
  <c r="O57" s="1"/>
  <c r="F87" i="168"/>
  <c r="F58"/>
  <c r="J46" i="29" s="1"/>
  <c r="F57" i="168"/>
  <c r="H46" i="29" s="1"/>
  <c r="H271" i="2"/>
  <c r="G230"/>
  <c r="G240" s="1"/>
  <c r="H51" i="184"/>
  <c r="P51" s="1"/>
  <c r="T51" s="1"/>
  <c r="H77" i="11"/>
  <c r="H52" i="184" s="1"/>
  <c r="P52" s="1"/>
  <c r="T52" s="1"/>
  <c r="F70" i="168"/>
  <c r="F69"/>
  <c r="J86"/>
  <c r="G58" i="184" s="1"/>
  <c r="O58" s="1"/>
  <c r="J87" i="168"/>
  <c r="J58"/>
  <c r="J47" i="29" s="1"/>
  <c r="J1293" i="187"/>
  <c r="J600"/>
  <c r="J448"/>
  <c r="J270"/>
  <c r="J56" i="189"/>
  <c r="J855" i="187"/>
  <c r="J13" i="189"/>
  <c r="J238" i="187"/>
  <c r="J19" i="192"/>
  <c r="J706" i="187"/>
  <c r="J999"/>
  <c r="J1125"/>
  <c r="J486"/>
  <c r="J334"/>
  <c r="J19" i="186"/>
  <c r="J1209" i="187"/>
  <c r="J302"/>
  <c r="J34" i="189"/>
  <c r="J927" i="187"/>
  <c r="J891"/>
  <c r="J524"/>
  <c r="J372"/>
  <c r="J127" i="189"/>
  <c r="J1167" i="187"/>
  <c r="J31"/>
  <c r="J1041"/>
  <c r="J102" i="189"/>
  <c r="J1251" i="187"/>
  <c r="J75"/>
  <c r="J681"/>
  <c r="J562"/>
  <c r="J410"/>
  <c r="J206"/>
  <c r="J79" i="189"/>
  <c r="J963" i="187"/>
  <c r="J52"/>
  <c r="J1083"/>
  <c r="J658"/>
  <c r="I1303"/>
  <c r="I1219"/>
  <c r="I1135"/>
  <c r="I1051"/>
  <c r="I570"/>
  <c r="I494"/>
  <c r="I418"/>
  <c r="I342"/>
  <c r="I1009"/>
  <c r="I53" i="192"/>
  <c r="I1261" i="187"/>
  <c r="I1177"/>
  <c r="I1093"/>
  <c r="I608"/>
  <c r="I532"/>
  <c r="I456"/>
  <c r="I380"/>
  <c r="I53" i="186"/>
  <c r="F79" i="81"/>
  <c r="F16" i="80"/>
  <c r="F1507" i="65"/>
  <c r="F1277"/>
  <c r="F1191"/>
  <c r="F1151"/>
  <c r="F1111"/>
  <c r="F1071"/>
  <c r="F966"/>
  <c r="F589"/>
  <c r="F433"/>
  <c r="F367"/>
  <c r="F301"/>
  <c r="F217"/>
  <c r="F189"/>
  <c r="F165"/>
  <c r="F100"/>
  <c r="F11" i="81"/>
  <c r="F1553" i="65"/>
  <c r="F1461"/>
  <c r="F1369"/>
  <c r="F1036"/>
  <c r="F931"/>
  <c r="F706"/>
  <c r="F628"/>
  <c r="F511"/>
  <c r="F245"/>
  <c r="F141"/>
  <c r="F30"/>
  <c r="F1368" i="59"/>
  <c r="F1323"/>
  <c r="F1233"/>
  <c r="F1187"/>
  <c r="F1095"/>
  <c r="F1049"/>
  <c r="F969"/>
  <c r="F929"/>
  <c r="F854"/>
  <c r="F784"/>
  <c r="F749"/>
  <c r="F617"/>
  <c r="F500"/>
  <c r="F461"/>
  <c r="F344"/>
  <c r="F278"/>
  <c r="F212"/>
  <c r="F100"/>
  <c r="F55" i="81"/>
  <c r="F1415" i="65"/>
  <c r="F1323"/>
  <c r="F1231"/>
  <c r="F1001"/>
  <c r="F667"/>
  <c r="F550"/>
  <c r="F472"/>
  <c r="F400"/>
  <c r="F334"/>
  <c r="F273"/>
  <c r="F119"/>
  <c r="F76"/>
  <c r="F52"/>
  <c r="F11"/>
  <c r="F16" i="64"/>
  <c r="F1278" i="59"/>
  <c r="F1141"/>
  <c r="F1009"/>
  <c r="F889"/>
  <c r="F819"/>
  <c r="F578"/>
  <c r="F539"/>
  <c r="F422"/>
  <c r="F383"/>
  <c r="F311"/>
  <c r="F245"/>
  <c r="F184"/>
  <c r="F156"/>
  <c r="F128"/>
  <c r="F76"/>
  <c r="F11"/>
  <c r="F16" i="63"/>
  <c r="F52" i="59"/>
  <c r="F30"/>
  <c r="I19" i="169"/>
  <c r="F24" s="1"/>
  <c r="F25" s="1"/>
  <c r="F122" i="71"/>
  <c r="F126" s="1"/>
  <c r="O66"/>
  <c r="J107" i="178"/>
  <c r="M107" s="1"/>
  <c r="K54"/>
  <c r="E36" i="179" s="1"/>
  <c r="F127" i="178"/>
  <c r="F129" s="1"/>
  <c r="G104"/>
  <c r="F104"/>
  <c r="I75"/>
  <c r="I81" s="1"/>
  <c r="N123" s="1"/>
  <c r="I74"/>
  <c r="I80" s="1"/>
  <c r="M123" s="1"/>
  <c r="I73"/>
  <c r="I79" s="1"/>
  <c r="E123" s="1"/>
  <c r="G171" i="179"/>
  <c r="E32"/>
  <c r="I56" i="178"/>
  <c r="I59"/>
  <c r="D243" i="179" s="1"/>
  <c r="I55" i="178"/>
  <c r="D210" i="179"/>
  <c r="I210" s="1"/>
  <c r="F192"/>
  <c r="K192" s="1"/>
  <c r="K135"/>
  <c r="F189"/>
  <c r="K189" s="1"/>
  <c r="D207"/>
  <c r="I207" s="1"/>
  <c r="G174"/>
  <c r="K59" i="178"/>
  <c r="D246" i="179" s="1"/>
  <c r="K55" i="178"/>
  <c r="K74"/>
  <c r="K80" s="1"/>
  <c r="M142" s="1"/>
  <c r="K73"/>
  <c r="K79" s="1"/>
  <c r="E142" s="1"/>
  <c r="K75"/>
  <c r="K81" s="1"/>
  <c r="N142" s="1"/>
  <c r="J108"/>
  <c r="M108" s="1"/>
  <c r="C24" i="255"/>
  <c r="O15"/>
  <c r="O19"/>
  <c r="F39" i="250" s="1"/>
  <c r="M20" i="255"/>
  <c r="L40" i="250" s="1"/>
  <c r="F10" s="1"/>
  <c r="J50"/>
  <c r="J51"/>
  <c r="H39"/>
  <c r="J49"/>
  <c r="F29" i="11"/>
  <c r="H46" s="1"/>
  <c r="H70" i="213"/>
  <c r="H45" i="11"/>
  <c r="F94" i="178"/>
  <c r="J60" i="213"/>
  <c r="G28" i="11"/>
  <c r="J36" s="1"/>
  <c r="I115" i="183"/>
  <c r="F115"/>
  <c r="I114" i="70"/>
  <c r="F114"/>
  <c r="E94" i="178"/>
  <c r="E110" s="1"/>
  <c r="H60" i="213"/>
  <c r="F28" i="11"/>
  <c r="H37" s="1"/>
  <c r="G29"/>
  <c r="J70" i="213"/>
  <c r="Q12" i="253"/>
  <c r="L23" s="1"/>
  <c r="Q13"/>
  <c r="L26" s="1"/>
  <c r="H33" i="161"/>
  <c r="F26" i="169"/>
  <c r="H31" i="161"/>
  <c r="K222" i="2" l="1"/>
  <c r="K224" s="1"/>
  <c r="G57" i="178"/>
  <c r="I222" i="179" s="1"/>
  <c r="H35" i="161"/>
  <c r="H36" s="1"/>
  <c r="H38" s="1"/>
  <c r="S4" i="162"/>
  <c r="S10" s="1"/>
  <c r="H63" i="164"/>
  <c r="G135" i="179"/>
  <c r="B83"/>
  <c r="E83" s="1"/>
  <c r="K83" s="1"/>
  <c r="M83" s="1"/>
  <c r="R28"/>
  <c r="S28" s="1"/>
  <c r="D59"/>
  <c r="D61" s="1"/>
  <c r="I28"/>
  <c r="L28"/>
  <c r="G13"/>
  <c r="G66" i="2"/>
  <c r="G9" i="179" s="1"/>
  <c r="P15" i="255"/>
  <c r="G36" i="250" s="1"/>
  <c r="F36"/>
  <c r="H36" s="1"/>
  <c r="M36" s="1"/>
  <c r="G58" i="178"/>
  <c r="E168" i="179"/>
  <c r="G136" i="250"/>
  <c r="M38"/>
  <c r="L171" i="213"/>
  <c r="D182"/>
  <c r="H224" i="2"/>
  <c r="I222"/>
  <c r="I224" s="1"/>
  <c r="J138" i="81"/>
  <c r="J113"/>
  <c r="J1563" i="65"/>
  <c r="J1471"/>
  <c r="J1241"/>
  <c r="J1160"/>
  <c r="J1120"/>
  <c r="J1080"/>
  <c r="J1042"/>
  <c r="J937"/>
  <c r="J916"/>
  <c r="J891"/>
  <c r="J843"/>
  <c r="J798"/>
  <c r="J773"/>
  <c r="J46" i="80"/>
  <c r="J1517" i="65"/>
  <c r="J1425"/>
  <c r="J1333"/>
  <c r="J1007"/>
  <c r="J866"/>
  <c r="J1378" i="59"/>
  <c r="J1333"/>
  <c r="J1288"/>
  <c r="J1197"/>
  <c r="J1151"/>
  <c r="J1059"/>
  <c r="J1018"/>
  <c r="J938"/>
  <c r="J898"/>
  <c r="J825"/>
  <c r="J755"/>
  <c r="J709"/>
  <c r="J661"/>
  <c r="J1379" i="65"/>
  <c r="J1287"/>
  <c r="J1200"/>
  <c r="J972"/>
  <c r="J823"/>
  <c r="J750"/>
  <c r="J46" i="64"/>
  <c r="J1243" i="59"/>
  <c r="J1105"/>
  <c r="J978"/>
  <c r="J860"/>
  <c r="J790"/>
  <c r="J734"/>
  <c r="J684"/>
  <c r="J47" i="63"/>
  <c r="H44" i="185"/>
  <c r="H277" i="2"/>
  <c r="E54" i="184" s="1"/>
  <c r="M54" s="1"/>
  <c r="H273" i="2"/>
  <c r="H275" s="1"/>
  <c r="F43" i="29" s="1"/>
  <c r="J45" i="80"/>
  <c r="J45" i="64"/>
  <c r="J46" i="63"/>
  <c r="H43" i="185"/>
  <c r="I46" i="80"/>
  <c r="I1517" i="65"/>
  <c r="I1425"/>
  <c r="I1379"/>
  <c r="I1333"/>
  <c r="I1287"/>
  <c r="I1200"/>
  <c r="I1007"/>
  <c r="I972"/>
  <c r="I866"/>
  <c r="I823"/>
  <c r="I750"/>
  <c r="I113" i="81"/>
  <c r="I1241" i="65"/>
  <c r="I891"/>
  <c r="I798"/>
  <c r="I46" i="64"/>
  <c r="I1243" i="59"/>
  <c r="I1105"/>
  <c r="I978"/>
  <c r="I860"/>
  <c r="I790"/>
  <c r="I734"/>
  <c r="I684"/>
  <c r="I138" i="81"/>
  <c r="I1563" i="65"/>
  <c r="I1471"/>
  <c r="I1160"/>
  <c r="I1120"/>
  <c r="I1080"/>
  <c r="I1042"/>
  <c r="I937"/>
  <c r="I916"/>
  <c r="I843"/>
  <c r="I773"/>
  <c r="I1378" i="59"/>
  <c r="I1333"/>
  <c r="I1288"/>
  <c r="I1197"/>
  <c r="I1151"/>
  <c r="I1059"/>
  <c r="I1018"/>
  <c r="I938"/>
  <c r="I898"/>
  <c r="I825"/>
  <c r="I755"/>
  <c r="I709"/>
  <c r="I661"/>
  <c r="I47" i="63"/>
  <c r="G44" i="185"/>
  <c r="J229" i="2"/>
  <c r="H138" i="81"/>
  <c r="H145" s="1"/>
  <c r="H34" i="82" s="1"/>
  <c r="H113" i="81"/>
  <c r="H120" s="1"/>
  <c r="H33" i="82" s="1"/>
  <c r="H1563" i="65"/>
  <c r="H1471"/>
  <c r="H1241"/>
  <c r="H1160"/>
  <c r="H1120"/>
  <c r="H1080"/>
  <c r="H1042"/>
  <c r="H937"/>
  <c r="H916"/>
  <c r="H923" s="1"/>
  <c r="H69" i="66" s="1"/>
  <c r="H891" i="65"/>
  <c r="H898" s="1"/>
  <c r="H68" i="66" s="1"/>
  <c r="H843" i="65"/>
  <c r="H850" s="1"/>
  <c r="H66" i="66" s="1"/>
  <c r="H798" i="65"/>
  <c r="H805" s="1"/>
  <c r="H63" i="66" s="1"/>
  <c r="H773" i="65"/>
  <c r="H780" s="1"/>
  <c r="H62" i="66" s="1"/>
  <c r="H1379" i="65"/>
  <c r="H1287"/>
  <c r="H1200"/>
  <c r="H972"/>
  <c r="H823"/>
  <c r="H830" s="1"/>
  <c r="H64" i="66" s="1"/>
  <c r="H750" i="65"/>
  <c r="H757" s="1"/>
  <c r="H61" i="66" s="1"/>
  <c r="H1378" i="59"/>
  <c r="H1333"/>
  <c r="H1288"/>
  <c r="H1197"/>
  <c r="H1151"/>
  <c r="H1059"/>
  <c r="H1018"/>
  <c r="H938"/>
  <c r="H898"/>
  <c r="H825"/>
  <c r="H755"/>
  <c r="H709"/>
  <c r="H716" s="1"/>
  <c r="H73" i="60" s="1"/>
  <c r="H661" i="59"/>
  <c r="H668" s="1"/>
  <c r="H71" i="60" s="1"/>
  <c r="H46" i="80"/>
  <c r="H1517" i="65"/>
  <c r="H1425"/>
  <c r="H1333"/>
  <c r="H1007"/>
  <c r="H866"/>
  <c r="H873" s="1"/>
  <c r="H67" i="66" s="1"/>
  <c r="H46" i="64"/>
  <c r="H1243" i="59"/>
  <c r="H1105"/>
  <c r="H978"/>
  <c r="H860"/>
  <c r="H790"/>
  <c r="H734"/>
  <c r="H741" s="1"/>
  <c r="H74" i="60" s="1"/>
  <c r="H684" i="59"/>
  <c r="H691" s="1"/>
  <c r="H72" i="60" s="1"/>
  <c r="H47" i="63"/>
  <c r="H45" i="80"/>
  <c r="H45" i="64"/>
  <c r="H46" i="63"/>
  <c r="H57" i="184"/>
  <c r="P57" s="1"/>
  <c r="S57" s="1"/>
  <c r="G46" i="80"/>
  <c r="G1517" i="65"/>
  <c r="G1425"/>
  <c r="G1379"/>
  <c r="G1333"/>
  <c r="G1287"/>
  <c r="G1200"/>
  <c r="G1007"/>
  <c r="G972"/>
  <c r="G866"/>
  <c r="G823"/>
  <c r="G750"/>
  <c r="G138" i="81"/>
  <c r="G1563" i="65"/>
  <c r="G1471"/>
  <c r="G1160"/>
  <c r="G1120"/>
  <c r="G1080"/>
  <c r="G1042"/>
  <c r="G937"/>
  <c r="G916"/>
  <c r="G843"/>
  <c r="G773"/>
  <c r="G46" i="64"/>
  <c r="G1243" i="59"/>
  <c r="G1105"/>
  <c r="G978"/>
  <c r="G860"/>
  <c r="G790"/>
  <c r="G734"/>
  <c r="G684"/>
  <c r="G113" i="81"/>
  <c r="G1241" i="65"/>
  <c r="G891"/>
  <c r="G798"/>
  <c r="G1378" i="59"/>
  <c r="G1333"/>
  <c r="G1288"/>
  <c r="G1197"/>
  <c r="G1151"/>
  <c r="G1059"/>
  <c r="G1018"/>
  <c r="G938"/>
  <c r="G898"/>
  <c r="G825"/>
  <c r="G755"/>
  <c r="G709"/>
  <c r="G661"/>
  <c r="G47" i="63"/>
  <c r="H58" i="184"/>
  <c r="P58" s="1"/>
  <c r="S58" s="1"/>
  <c r="I44" i="185" s="1"/>
  <c r="H230" i="2"/>
  <c r="J230" s="1"/>
  <c r="I229"/>
  <c r="I230" s="1"/>
  <c r="G140" i="71"/>
  <c r="B7" s="1"/>
  <c r="I140"/>
  <c r="K56" i="178"/>
  <c r="K57" s="1"/>
  <c r="M127"/>
  <c r="I110"/>
  <c r="I129" s="1"/>
  <c r="I148" s="1"/>
  <c r="G142"/>
  <c r="F142"/>
  <c r="F123"/>
  <c r="I57"/>
  <c r="G123"/>
  <c r="C89" i="179"/>
  <c r="F36"/>
  <c r="C86"/>
  <c r="F32"/>
  <c r="O20" i="255"/>
  <c r="E14"/>
  <c r="P19"/>
  <c r="G39" i="250" s="1"/>
  <c r="O25" i="255"/>
  <c r="M39" i="250"/>
  <c r="F45" i="11"/>
  <c r="G45" s="1"/>
  <c r="F46"/>
  <c r="G46" s="1"/>
  <c r="J45"/>
  <c r="E41" i="184"/>
  <c r="M41" s="1"/>
  <c r="F29" i="29"/>
  <c r="H64" i="213"/>
  <c r="E5" i="15"/>
  <c r="H62" i="213"/>
  <c r="F11" i="26"/>
  <c r="E45" i="184"/>
  <c r="M45" s="1"/>
  <c r="F33" i="29"/>
  <c r="F13" i="26"/>
  <c r="H72" i="213"/>
  <c r="H74"/>
  <c r="E46" i="184"/>
  <c r="M46" s="1"/>
  <c r="J72" i="213"/>
  <c r="F34" i="29"/>
  <c r="J74" i="213"/>
  <c r="K13" i="26"/>
  <c r="E42" i="184"/>
  <c r="M42" s="1"/>
  <c r="J64" i="213"/>
  <c r="F30" i="29"/>
  <c r="K11" i="26"/>
  <c r="J62" i="213"/>
  <c r="E28" i="253"/>
  <c r="I28" s="1"/>
  <c r="E29"/>
  <c r="C60" i="255"/>
  <c r="B55"/>
  <c r="C59"/>
  <c r="C63"/>
  <c r="C58"/>
  <c r="H86" i="179"/>
  <c r="B54" i="255"/>
  <c r="B59"/>
  <c r="C57"/>
  <c r="B60"/>
  <c r="B61"/>
  <c r="H89" i="179"/>
  <c r="B63" i="255"/>
  <c r="B56"/>
  <c r="C56"/>
  <c r="B53"/>
  <c r="C53"/>
  <c r="C54"/>
  <c r="C62"/>
  <c r="C55"/>
  <c r="B62"/>
  <c r="B57"/>
  <c r="C61"/>
  <c r="B58"/>
  <c r="D279" l="1"/>
  <c r="F40" i="250"/>
  <c r="H40" s="1"/>
  <c r="M40" s="1"/>
  <c r="H222" i="179"/>
  <c r="E240" s="1"/>
  <c r="D168"/>
  <c r="E204" s="1"/>
  <c r="G61"/>
  <c r="H61" s="1"/>
  <c r="J115" s="1"/>
  <c r="D115" s="1"/>
  <c r="E115" s="1"/>
  <c r="G115" s="1"/>
  <c r="H115" s="1"/>
  <c r="G71"/>
  <c r="G66"/>
  <c r="L115"/>
  <c r="L118" s="1"/>
  <c r="L121" s="1"/>
  <c r="G50"/>
  <c r="D162" i="250"/>
  <c r="L136"/>
  <c r="F136"/>
  <c r="D190" i="213"/>
  <c r="L179"/>
  <c r="M28" i="179"/>
  <c r="W28"/>
  <c r="U28"/>
  <c r="E101"/>
  <c r="G101" s="1"/>
  <c r="E104"/>
  <c r="G104" s="1"/>
  <c r="E98"/>
  <c r="G98" s="1"/>
  <c r="D151"/>
  <c r="J135"/>
  <c r="M135" s="1"/>
  <c r="I43" i="161"/>
  <c r="F44" i="164"/>
  <c r="E36" i="159"/>
  <c r="M43" i="161"/>
  <c r="I135" i="189"/>
  <c r="I44" i="192"/>
  <c r="I1300" i="187"/>
  <c r="I1258"/>
  <c r="I1216"/>
  <c r="I1174"/>
  <c r="I1132"/>
  <c r="I1090"/>
  <c r="I1048"/>
  <c r="I110" i="189"/>
  <c r="I1006" i="187"/>
  <c r="I969"/>
  <c r="I933"/>
  <c r="I897"/>
  <c r="I861"/>
  <c r="I827"/>
  <c r="I796"/>
  <c r="I765"/>
  <c r="I734"/>
  <c r="I689"/>
  <c r="I641"/>
  <c r="I44" i="186"/>
  <c r="I714" i="187"/>
  <c r="I664"/>
  <c r="I28" i="184"/>
  <c r="Q28" s="1"/>
  <c r="G9" i="28"/>
  <c r="G36" s="1"/>
  <c r="K230" i="2"/>
  <c r="G135" i="189"/>
  <c r="G44" i="192"/>
  <c r="G1300" i="187"/>
  <c r="G1258"/>
  <c r="G1216"/>
  <c r="G1174"/>
  <c r="G1132"/>
  <c r="G1090"/>
  <c r="G1048"/>
  <c r="G1006"/>
  <c r="G969"/>
  <c r="G933"/>
  <c r="G897"/>
  <c r="G110" i="189"/>
  <c r="G861" i="187"/>
  <c r="G827"/>
  <c r="G796"/>
  <c r="G765"/>
  <c r="G734"/>
  <c r="G689"/>
  <c r="G641"/>
  <c r="G664"/>
  <c r="G714"/>
  <c r="G44" i="186"/>
  <c r="T57" i="184"/>
  <c r="J43" i="185" s="1"/>
  <c r="T54" i="184"/>
  <c r="J40" i="185" s="1"/>
  <c r="F40"/>
  <c r="S54" i="184"/>
  <c r="I40" i="185" s="1"/>
  <c r="T58" i="184"/>
  <c r="J44" i="185" s="1"/>
  <c r="H28" i="184"/>
  <c r="P28" s="1"/>
  <c r="F9" i="28"/>
  <c r="E28" i="184"/>
  <c r="M28" s="1"/>
  <c r="H240" i="2"/>
  <c r="H242" s="1"/>
  <c r="D9" i="28"/>
  <c r="H43" i="192"/>
  <c r="H43" i="186"/>
  <c r="F137" i="81"/>
  <c r="F112"/>
  <c r="F40"/>
  <c r="F1562" i="65"/>
  <c r="F1470"/>
  <c r="F1240"/>
  <c r="F1159"/>
  <c r="F1119"/>
  <c r="F1079"/>
  <c r="F1041"/>
  <c r="F936"/>
  <c r="F915"/>
  <c r="F890"/>
  <c r="F842"/>
  <c r="F797"/>
  <c r="F772"/>
  <c r="F1516"/>
  <c r="F1424"/>
  <c r="F1332"/>
  <c r="F1006"/>
  <c r="F865"/>
  <c r="F1377" i="59"/>
  <c r="F1332"/>
  <c r="F1287"/>
  <c r="F1196"/>
  <c r="F1150"/>
  <c r="F1058"/>
  <c r="F1017"/>
  <c r="F937"/>
  <c r="F897"/>
  <c r="F824"/>
  <c r="F754"/>
  <c r="F708"/>
  <c r="F660"/>
  <c r="F42" i="80"/>
  <c r="F1378" i="65"/>
  <c r="F1286"/>
  <c r="F1199"/>
  <c r="F971"/>
  <c r="F822"/>
  <c r="F749"/>
  <c r="F42" i="64"/>
  <c r="F1242" i="59"/>
  <c r="F1104"/>
  <c r="F977"/>
  <c r="F859"/>
  <c r="F789"/>
  <c r="F733"/>
  <c r="F683"/>
  <c r="F43" i="63"/>
  <c r="H110" i="189"/>
  <c r="H117" s="1"/>
  <c r="H30" i="190" s="1"/>
  <c r="H44" i="192"/>
  <c r="H1258" i="187"/>
  <c r="H1174"/>
  <c r="H1090"/>
  <c r="H1006"/>
  <c r="H933"/>
  <c r="H714"/>
  <c r="H721" s="1"/>
  <c r="H57" i="251" s="1"/>
  <c r="H664" i="187"/>
  <c r="H671" s="1"/>
  <c r="H55" i="251" s="1"/>
  <c r="H1300" i="187"/>
  <c r="H1216"/>
  <c r="H1132"/>
  <c r="H1048"/>
  <c r="H897"/>
  <c r="H827"/>
  <c r="H765"/>
  <c r="H689"/>
  <c r="H696" s="1"/>
  <c r="H56" i="251" s="1"/>
  <c r="H44" i="186"/>
  <c r="H969" i="187"/>
  <c r="H861"/>
  <c r="H734"/>
  <c r="H135" i="189"/>
  <c r="H142" s="1"/>
  <c r="H31" i="190" s="1"/>
  <c r="H796" i="187"/>
  <c r="H641"/>
  <c r="H648" s="1"/>
  <c r="H54" i="251" s="1"/>
  <c r="H15" i="71"/>
  <c r="J22" s="1"/>
  <c r="H35" i="184" s="1"/>
  <c r="P35" s="1"/>
  <c r="H14" i="71"/>
  <c r="D7"/>
  <c r="B8"/>
  <c r="E89" i="178"/>
  <c r="N110"/>
  <c r="M110"/>
  <c r="W36" i="179"/>
  <c r="U36"/>
  <c r="D89"/>
  <c r="F141"/>
  <c r="K36"/>
  <c r="E69"/>
  <c r="E71" s="1"/>
  <c r="H71" s="1"/>
  <c r="R36"/>
  <c r="S36" s="1"/>
  <c r="E89"/>
  <c r="K89" s="1"/>
  <c r="M89" s="1"/>
  <c r="K32"/>
  <c r="E64"/>
  <c r="E66" s="1"/>
  <c r="H66" s="1"/>
  <c r="U32"/>
  <c r="D86"/>
  <c r="W32"/>
  <c r="F138"/>
  <c r="R32"/>
  <c r="S32" s="1"/>
  <c r="E86"/>
  <c r="K86" s="1"/>
  <c r="M86" s="1"/>
  <c r="I225"/>
  <c r="E171"/>
  <c r="I58" i="178"/>
  <c r="E174" i="179"/>
  <c r="I228"/>
  <c r="K58" i="178"/>
  <c r="P20" i="255"/>
  <c r="G40" i="250" s="1"/>
  <c r="G281" i="255"/>
  <c r="O23"/>
  <c r="O26" s="1"/>
  <c r="G137" i="250"/>
  <c r="F135" i="81"/>
  <c r="F87"/>
  <c r="F34" i="80"/>
  <c r="F1423" i="65"/>
  <c r="F1469"/>
  <c r="F1515"/>
  <c r="F714"/>
  <c r="F820"/>
  <c r="F1561"/>
  <c r="F913"/>
  <c r="F1376" i="59"/>
  <c r="F1286"/>
  <c r="F84" i="65"/>
  <c r="F675"/>
  <c r="F173"/>
  <c r="F1331" i="59"/>
  <c r="F1241"/>
  <c r="F636" i="65"/>
  <c r="F597"/>
  <c r="F34" i="64"/>
  <c r="F586" i="59"/>
  <c r="F625"/>
  <c r="F731"/>
  <c r="F508"/>
  <c r="F84"/>
  <c r="F547"/>
  <c r="F34" i="63"/>
  <c r="G13" i="26"/>
  <c r="I33" i="29"/>
  <c r="F62" i="81"/>
  <c r="F109"/>
  <c r="F29" i="80"/>
  <c r="F1376" i="65"/>
  <c r="F1238"/>
  <c r="F794"/>
  <c r="F479"/>
  <c r="F887"/>
  <c r="F1284"/>
  <c r="F1330"/>
  <c r="F557"/>
  <c r="F29" i="64"/>
  <c r="F518" i="65"/>
  <c r="F59"/>
  <c r="F1194" i="59"/>
  <c r="F440" i="65"/>
  <c r="F148"/>
  <c r="F1148" i="59"/>
  <c r="F1102"/>
  <c r="F705"/>
  <c r="F390"/>
  <c r="F59"/>
  <c r="F429"/>
  <c r="F468"/>
  <c r="F1056"/>
  <c r="F351"/>
  <c r="F29" i="63"/>
  <c r="I30" i="29"/>
  <c r="L11" i="26"/>
  <c r="L13"/>
  <c r="I34" i="29"/>
  <c r="G55" i="26"/>
  <c r="G39"/>
  <c r="T41" i="184"/>
  <c r="J27" i="185" s="1"/>
  <c r="S41" i="184"/>
  <c r="I27" i="185" s="1"/>
  <c r="F27"/>
  <c r="M13" i="26"/>
  <c r="J34" i="29"/>
  <c r="J33" i="26"/>
  <c r="J49"/>
  <c r="F32" i="185"/>
  <c r="T46" i="184"/>
  <c r="J32" i="185" s="1"/>
  <c r="S46" i="184"/>
  <c r="I32" i="185" s="1"/>
  <c r="F134" i="81"/>
  <c r="F86"/>
  <c r="F33" i="80"/>
  <c r="F1560" i="65"/>
  <c r="F912"/>
  <c r="F1422"/>
  <c r="F635"/>
  <c r="F1468"/>
  <c r="F674"/>
  <c r="F1514"/>
  <c r="F713"/>
  <c r="F596"/>
  <c r="F819"/>
  <c r="F33" i="64"/>
  <c r="F1375" i="59"/>
  <c r="F1285"/>
  <c r="F83" i="65"/>
  <c r="F172"/>
  <c r="F1330" i="59"/>
  <c r="F1240"/>
  <c r="F83"/>
  <c r="F546"/>
  <c r="F585"/>
  <c r="F624"/>
  <c r="F730"/>
  <c r="F507"/>
  <c r="F33" i="63"/>
  <c r="F110" i="81"/>
  <c r="F30" i="80"/>
  <c r="F63" i="81"/>
  <c r="F1239" i="65"/>
  <c r="F888"/>
  <c r="F1285"/>
  <c r="F1331"/>
  <c r="F1377"/>
  <c r="F1149" i="59"/>
  <c r="F60" i="65"/>
  <c r="F795"/>
  <c r="F480"/>
  <c r="F441"/>
  <c r="F149"/>
  <c r="F1057" i="59"/>
  <c r="F558" i="65"/>
  <c r="F30" i="64"/>
  <c r="F1103" i="59"/>
  <c r="F519" i="65"/>
  <c r="F430" i="59"/>
  <c r="F30" i="63"/>
  <c r="F469" i="59"/>
  <c r="F352"/>
  <c r="F706"/>
  <c r="F391"/>
  <c r="F60"/>
  <c r="F1195"/>
  <c r="E129" i="178"/>
  <c r="F31" i="185"/>
  <c r="T45" i="184"/>
  <c r="J31" i="185" s="1"/>
  <c r="S45" i="184"/>
  <c r="I31" i="185" s="1"/>
  <c r="J30" i="29"/>
  <c r="M11" i="26"/>
  <c r="G49"/>
  <c r="G33"/>
  <c r="F28" i="185"/>
  <c r="T42" i="184"/>
  <c r="J28" i="185" s="1"/>
  <c r="S42" i="184"/>
  <c r="I28" i="185" s="1"/>
  <c r="G11" i="26"/>
  <c r="I29" i="29"/>
  <c r="J39" i="26"/>
  <c r="J55"/>
  <c r="J33" i="29"/>
  <c r="H13" i="26"/>
  <c r="J29" i="29"/>
  <c r="H11" i="26"/>
  <c r="F28" i="253"/>
  <c r="F29"/>
  <c r="I29"/>
  <c r="C45" i="255"/>
  <c r="C39"/>
  <c r="B43"/>
  <c r="C42"/>
  <c r="C40"/>
  <c r="B38"/>
  <c r="B37"/>
  <c r="B40"/>
  <c r="B46"/>
  <c r="C38"/>
  <c r="B36"/>
  <c r="C37"/>
  <c r="C44"/>
  <c r="B41"/>
  <c r="B39"/>
  <c r="C36"/>
  <c r="B42"/>
  <c r="B45"/>
  <c r="B44"/>
  <c r="C46"/>
  <c r="C41"/>
  <c r="C43"/>
  <c r="K222" i="179" l="1"/>
  <c r="X28"/>
  <c r="I151"/>
  <c r="E222" s="1"/>
  <c r="F186"/>
  <c r="K186" s="1"/>
  <c r="D204"/>
  <c r="I204" s="1"/>
  <c r="K240" i="2"/>
  <c r="H246" s="1"/>
  <c r="D198" i="213"/>
  <c r="L195" s="1"/>
  <c r="L187"/>
  <c r="I61" i="179"/>
  <c r="F250" i="255"/>
  <c r="F251" s="1"/>
  <c r="H60" i="253"/>
  <c r="H140" i="255"/>
  <c r="H63" i="253"/>
  <c r="H143" i="255"/>
  <c r="I240" i="2"/>
  <c r="G33" i="28"/>
  <c r="G25"/>
  <c r="G17"/>
  <c r="J240" i="2"/>
  <c r="H243" s="1"/>
  <c r="G28" i="28"/>
  <c r="G20"/>
  <c r="J110" i="189"/>
  <c r="J135"/>
  <c r="J1300" i="187"/>
  <c r="J1216"/>
  <c r="J1132"/>
  <c r="J1048"/>
  <c r="J969"/>
  <c r="J897"/>
  <c r="J714"/>
  <c r="J664"/>
  <c r="J1006"/>
  <c r="J861"/>
  <c r="J796"/>
  <c r="J734"/>
  <c r="J641"/>
  <c r="J44" i="192"/>
  <c r="J827" i="187"/>
  <c r="J1258"/>
  <c r="J1174"/>
  <c r="J1090"/>
  <c r="J933"/>
  <c r="J765"/>
  <c r="J689"/>
  <c r="J44" i="186"/>
  <c r="F109" i="189"/>
  <c r="F1257" i="187"/>
  <c r="F1173"/>
  <c r="F1089"/>
  <c r="F134" i="189"/>
  <c r="F1299" i="187"/>
  <c r="F1215"/>
  <c r="F1131"/>
  <c r="F1005"/>
  <c r="F932"/>
  <c r="F713"/>
  <c r="F663"/>
  <c r="F40" i="192"/>
  <c r="F968" i="187"/>
  <c r="F826"/>
  <c r="F764"/>
  <c r="F688"/>
  <c r="F40" i="186"/>
  <c r="F39" i="189"/>
  <c r="F795" i="187"/>
  <c r="F640"/>
  <c r="F1047"/>
  <c r="F896"/>
  <c r="F860"/>
  <c r="F733"/>
  <c r="J43" i="192"/>
  <c r="J43" i="186"/>
  <c r="H62" i="253"/>
  <c r="H142" i="255"/>
  <c r="H61" i="253"/>
  <c r="H141" i="255"/>
  <c r="F14" i="29"/>
  <c r="H247" i="2"/>
  <c r="J14" i="29" s="1"/>
  <c r="H244" i="2"/>
  <c r="I14" i="29" s="1"/>
  <c r="F14" i="185"/>
  <c r="S28" i="184"/>
  <c r="I14" i="185" s="1"/>
  <c r="I134" i="189"/>
  <c r="I39"/>
  <c r="I40" i="192"/>
  <c r="I1299" i="187"/>
  <c r="I1257"/>
  <c r="I1215"/>
  <c r="I1173"/>
  <c r="I1131"/>
  <c r="I1089"/>
  <c r="I109" i="189"/>
  <c r="I1047" i="187"/>
  <c r="I1005"/>
  <c r="I968"/>
  <c r="I932"/>
  <c r="I896"/>
  <c r="I860"/>
  <c r="I826"/>
  <c r="I795"/>
  <c r="I764"/>
  <c r="I733"/>
  <c r="I688"/>
  <c r="I640"/>
  <c r="I713"/>
  <c r="I663"/>
  <c r="I40" i="186"/>
  <c r="J109" i="189"/>
  <c r="J134"/>
  <c r="J39"/>
  <c r="J40" i="192"/>
  <c r="J1299" i="187"/>
  <c r="J1215"/>
  <c r="J1131"/>
  <c r="J1257"/>
  <c r="J1173"/>
  <c r="J1089"/>
  <c r="J1047"/>
  <c r="J968"/>
  <c r="J896"/>
  <c r="J713"/>
  <c r="J663"/>
  <c r="J932"/>
  <c r="J860"/>
  <c r="J795"/>
  <c r="J733"/>
  <c r="J640"/>
  <c r="J40" i="186"/>
  <c r="J764" i="187"/>
  <c r="J688"/>
  <c r="J1005"/>
  <c r="J826"/>
  <c r="J28" i="184"/>
  <c r="R28" s="1"/>
  <c r="T28" s="1"/>
  <c r="J14" i="185" s="1"/>
  <c r="H9" i="28"/>
  <c r="G37" s="1"/>
  <c r="B9" i="71"/>
  <c r="B10" s="1"/>
  <c r="B11" s="1"/>
  <c r="H13" i="15"/>
  <c r="H22" i="71"/>
  <c r="D8"/>
  <c r="D9" s="1"/>
  <c r="D10" s="1"/>
  <c r="D11" s="1"/>
  <c r="F89" i="178"/>
  <c r="I106" s="1"/>
  <c r="I125" s="1"/>
  <c r="I144" s="1"/>
  <c r="E106"/>
  <c r="X32" i="179"/>
  <c r="D174"/>
  <c r="E210" s="1"/>
  <c r="H228"/>
  <c r="X36"/>
  <c r="E154"/>
  <c r="F154" s="1"/>
  <c r="H138"/>
  <c r="J138"/>
  <c r="J121"/>
  <c r="D121" s="1"/>
  <c r="E121" s="1"/>
  <c r="G121" s="1"/>
  <c r="H121" s="1"/>
  <c r="I71"/>
  <c r="H225"/>
  <c r="D171"/>
  <c r="E207" s="1"/>
  <c r="H141"/>
  <c r="E157"/>
  <c r="F157" s="1"/>
  <c r="J141"/>
  <c r="J118"/>
  <c r="D118" s="1"/>
  <c r="E118" s="1"/>
  <c r="G118" s="1"/>
  <c r="H118" s="1"/>
  <c r="I66"/>
  <c r="I4" i="253"/>
  <c r="G96" s="1"/>
  <c r="G98" s="1"/>
  <c r="X13" i="255"/>
  <c r="X15" s="1"/>
  <c r="X17" s="1"/>
  <c r="X25" s="1"/>
  <c r="O27"/>
  <c r="C103"/>
  <c r="F137" i="250"/>
  <c r="L137"/>
  <c r="I132" i="189"/>
  <c r="I32" i="192"/>
  <c r="I1256" i="187"/>
  <c r="I84" i="189"/>
  <c r="I1298" i="187"/>
  <c r="I1172"/>
  <c r="I1214"/>
  <c r="I605"/>
  <c r="I491"/>
  <c r="I711"/>
  <c r="I80"/>
  <c r="I32" i="186"/>
  <c r="I567" i="187"/>
  <c r="I529"/>
  <c r="I106" i="189"/>
  <c r="I60"/>
  <c r="I27" i="192"/>
  <c r="I1129" i="187"/>
  <c r="I452"/>
  <c r="I1003"/>
  <c r="I1045"/>
  <c r="I685"/>
  <c r="I1087"/>
  <c r="I414"/>
  <c r="I56"/>
  <c r="I376"/>
  <c r="I27" i="186"/>
  <c r="I338" i="187"/>
  <c r="I61" i="189"/>
  <c r="I107"/>
  <c r="I28" i="192"/>
  <c r="I1004" i="187"/>
  <c r="I1046"/>
  <c r="I686"/>
  <c r="I1088"/>
  <c r="I1130"/>
  <c r="I453"/>
  <c r="I57"/>
  <c r="I377"/>
  <c r="I339"/>
  <c r="I415"/>
  <c r="I28" i="186"/>
  <c r="I83" i="189"/>
  <c r="I1297" i="187"/>
  <c r="I131" i="189"/>
  <c r="I31" i="192"/>
  <c r="I710" i="187"/>
  <c r="I1171"/>
  <c r="I528"/>
  <c r="I1255"/>
  <c r="I1213"/>
  <c r="I566"/>
  <c r="I490"/>
  <c r="I604"/>
  <c r="I79"/>
  <c r="I31" i="186"/>
  <c r="E148" i="178"/>
  <c r="N129"/>
  <c r="M129"/>
  <c r="J84" i="189"/>
  <c r="J32" i="192"/>
  <c r="J132" i="189"/>
  <c r="J1298" i="187"/>
  <c r="J1214"/>
  <c r="J605"/>
  <c r="J1256"/>
  <c r="J711"/>
  <c r="J1172"/>
  <c r="J80"/>
  <c r="J32" i="186"/>
  <c r="J567" i="187"/>
  <c r="J529"/>
  <c r="J491"/>
  <c r="J106" i="189"/>
  <c r="J60"/>
  <c r="J27" i="192"/>
  <c r="J1129" i="187"/>
  <c r="J1003"/>
  <c r="J1045"/>
  <c r="J685"/>
  <c r="J1087"/>
  <c r="J414"/>
  <c r="J452"/>
  <c r="J56"/>
  <c r="J376"/>
  <c r="J27" i="186"/>
  <c r="J338" i="187"/>
  <c r="J62" i="81"/>
  <c r="J109"/>
  <c r="J29" i="80"/>
  <c r="J1238" i="65"/>
  <c r="J794"/>
  <c r="J887"/>
  <c r="J1284"/>
  <c r="J518"/>
  <c r="J1330"/>
  <c r="J557"/>
  <c r="J1376"/>
  <c r="J59"/>
  <c r="J479"/>
  <c r="J440"/>
  <c r="J148"/>
  <c r="J1056" i="59"/>
  <c r="J29" i="64"/>
  <c r="J1194" i="59"/>
  <c r="J29" i="63"/>
  <c r="J429" i="59"/>
  <c r="J468"/>
  <c r="J351"/>
  <c r="J1148"/>
  <c r="J1102"/>
  <c r="J705"/>
  <c r="J390"/>
  <c r="J59"/>
  <c r="J28" i="192"/>
  <c r="J107" i="189"/>
  <c r="J61"/>
  <c r="J1046" i="187"/>
  <c r="J686"/>
  <c r="J1088"/>
  <c r="J1130"/>
  <c r="J1004"/>
  <c r="J377"/>
  <c r="J28" i="186"/>
  <c r="J339" i="187"/>
  <c r="J415"/>
  <c r="J453"/>
  <c r="J57"/>
  <c r="J131" i="189"/>
  <c r="J83"/>
  <c r="J31" i="192"/>
  <c r="J1171" i="187"/>
  <c r="J1255"/>
  <c r="J1213"/>
  <c r="J1297"/>
  <c r="J710"/>
  <c r="J566"/>
  <c r="J490"/>
  <c r="J604"/>
  <c r="J79"/>
  <c r="J528"/>
  <c r="J31" i="186"/>
  <c r="F132" i="189"/>
  <c r="F32" i="192"/>
  <c r="F1256" i="187"/>
  <c r="F84" i="189"/>
  <c r="F1172" i="187"/>
  <c r="F529"/>
  <c r="F1214"/>
  <c r="F605"/>
  <c r="F1298"/>
  <c r="F711"/>
  <c r="F80"/>
  <c r="F32" i="186"/>
  <c r="F567" i="187"/>
  <c r="F491"/>
  <c r="J134" i="81"/>
  <c r="J86"/>
  <c r="J33" i="80"/>
  <c r="J1422" i="65"/>
  <c r="J635"/>
  <c r="J1468"/>
  <c r="J674"/>
  <c r="J1514"/>
  <c r="J713"/>
  <c r="J819"/>
  <c r="J1560"/>
  <c r="J912"/>
  <c r="J596"/>
  <c r="J33" i="64"/>
  <c r="J1375" i="59"/>
  <c r="J1285"/>
  <c r="J83" i="65"/>
  <c r="J172"/>
  <c r="J1330" i="59"/>
  <c r="J1240"/>
  <c r="J585"/>
  <c r="J624"/>
  <c r="J730"/>
  <c r="J507"/>
  <c r="J83"/>
  <c r="J546"/>
  <c r="J33" i="63"/>
  <c r="F107" i="189"/>
  <c r="F61"/>
  <c r="F28" i="192"/>
  <c r="F1004" i="187"/>
  <c r="F1046"/>
  <c r="F686"/>
  <c r="F1088"/>
  <c r="F1130"/>
  <c r="F453"/>
  <c r="F57"/>
  <c r="F377"/>
  <c r="F28" i="186"/>
  <c r="F339" i="187"/>
  <c r="F415"/>
  <c r="F131" i="189"/>
  <c r="F83"/>
  <c r="F1297" i="187"/>
  <c r="F31" i="192"/>
  <c r="F710" i="187"/>
  <c r="F566"/>
  <c r="F1171"/>
  <c r="F1255"/>
  <c r="F1213"/>
  <c r="F528"/>
  <c r="F490"/>
  <c r="F604"/>
  <c r="F79"/>
  <c r="F31" i="186"/>
  <c r="I86" i="81"/>
  <c r="I134"/>
  <c r="I33" i="80"/>
  <c r="I1560" i="65"/>
  <c r="I912"/>
  <c r="I1422"/>
  <c r="I1468"/>
  <c r="I674"/>
  <c r="I1514"/>
  <c r="I819"/>
  <c r="I596"/>
  <c r="I33" i="64"/>
  <c r="I83" i="65"/>
  <c r="I172"/>
  <c r="I713"/>
  <c r="I1330" i="59"/>
  <c r="I1240"/>
  <c r="I635" i="65"/>
  <c r="I1375" i="59"/>
  <c r="I546"/>
  <c r="I585"/>
  <c r="I1285"/>
  <c r="I624"/>
  <c r="I730"/>
  <c r="I33" i="63"/>
  <c r="I507" i="59"/>
  <c r="I83"/>
  <c r="I34" i="80"/>
  <c r="I135" i="81"/>
  <c r="I87"/>
  <c r="I1469" i="65"/>
  <c r="I675"/>
  <c r="I1515"/>
  <c r="I714"/>
  <c r="I820"/>
  <c r="I1561"/>
  <c r="I913"/>
  <c r="I597"/>
  <c r="I1423"/>
  <c r="I636"/>
  <c r="I84"/>
  <c r="I173"/>
  <c r="I1331" i="59"/>
  <c r="I1241"/>
  <c r="I34" i="64"/>
  <c r="I1376" i="59"/>
  <c r="I1286"/>
  <c r="I625"/>
  <c r="I34" i="63"/>
  <c r="I731" i="59"/>
  <c r="I508"/>
  <c r="I547"/>
  <c r="I586"/>
  <c r="I84"/>
  <c r="J34" i="80"/>
  <c r="J135" i="81"/>
  <c r="J87"/>
  <c r="J1469" i="65"/>
  <c r="J1515"/>
  <c r="J820"/>
  <c r="J1561"/>
  <c r="J913"/>
  <c r="J597"/>
  <c r="J1423"/>
  <c r="J173"/>
  <c r="J675"/>
  <c r="J714"/>
  <c r="J636"/>
  <c r="J34" i="64"/>
  <c r="J1376" i="59"/>
  <c r="J1286"/>
  <c r="J84" i="65"/>
  <c r="J1241" i="59"/>
  <c r="J625"/>
  <c r="J1331"/>
  <c r="J731"/>
  <c r="J34" i="63"/>
  <c r="J508" i="59"/>
  <c r="J547"/>
  <c r="J586"/>
  <c r="J84"/>
  <c r="J63" i="81"/>
  <c r="J110"/>
  <c r="J30" i="80"/>
  <c r="J1285" i="65"/>
  <c r="J1331"/>
  <c r="J1377"/>
  <c r="J1239"/>
  <c r="J795"/>
  <c r="J888"/>
  <c r="J60"/>
  <c r="J1195" i="59"/>
  <c r="J441" i="65"/>
  <c r="J149"/>
  <c r="J480"/>
  <c r="J30" i="64"/>
  <c r="J558" i="65"/>
  <c r="J1103" i="59"/>
  <c r="J519" i="65"/>
  <c r="J1149" i="59"/>
  <c r="J469"/>
  <c r="J352"/>
  <c r="J1057"/>
  <c r="J706"/>
  <c r="J391"/>
  <c r="J430"/>
  <c r="J30" i="63"/>
  <c r="J60" i="59"/>
  <c r="I62" i="81"/>
  <c r="I109"/>
  <c r="I29" i="80"/>
  <c r="I1376" i="65"/>
  <c r="I1238"/>
  <c r="I887"/>
  <c r="I1284"/>
  <c r="I1330"/>
  <c r="I518"/>
  <c r="I794"/>
  <c r="I59"/>
  <c r="I1194" i="59"/>
  <c r="I479" i="65"/>
  <c r="I440"/>
  <c r="I148"/>
  <c r="I557"/>
  <c r="I29" i="64"/>
  <c r="I705" i="59"/>
  <c r="I390"/>
  <c r="I59"/>
  <c r="I429"/>
  <c r="I468"/>
  <c r="I1056"/>
  <c r="I351"/>
  <c r="I1148"/>
  <c r="I1102"/>
  <c r="I29" i="63"/>
  <c r="F106" i="189"/>
  <c r="F60"/>
  <c r="F27" i="192"/>
  <c r="F1087" i="187"/>
  <c r="F1129"/>
  <c r="F1003"/>
  <c r="F1045"/>
  <c r="F338"/>
  <c r="F685"/>
  <c r="F414"/>
  <c r="F452"/>
  <c r="F56"/>
  <c r="F376"/>
  <c r="F27" i="186"/>
  <c r="I30" i="80"/>
  <c r="I63" i="81"/>
  <c r="I110"/>
  <c r="I1285" i="65"/>
  <c r="I1331"/>
  <c r="I558"/>
  <c r="I1377"/>
  <c r="I1239"/>
  <c r="I795"/>
  <c r="I480"/>
  <c r="I888"/>
  <c r="I60"/>
  <c r="I441"/>
  <c r="I149"/>
  <c r="I30" i="64"/>
  <c r="I1103" i="59"/>
  <c r="I519" i="65"/>
  <c r="I1149" i="59"/>
  <c r="I30" i="63"/>
  <c r="I469" i="59"/>
  <c r="I352"/>
  <c r="I1057"/>
  <c r="I706"/>
  <c r="I391"/>
  <c r="I60"/>
  <c r="I1195"/>
  <c r="I430"/>
  <c r="H19" i="71" l="1"/>
  <c r="J31" i="184" s="1"/>
  <c r="R31" s="1"/>
  <c r="J124" i="189"/>
  <c r="J31"/>
  <c r="J10"/>
  <c r="J14" i="192"/>
  <c r="J1290" i="187"/>
  <c r="J1248"/>
  <c r="J1206"/>
  <c r="J1164"/>
  <c r="J1122"/>
  <c r="J1080"/>
  <c r="J76" i="189"/>
  <c r="J1038" i="187"/>
  <c r="J996"/>
  <c r="J960"/>
  <c r="J924"/>
  <c r="J888"/>
  <c r="J852"/>
  <c r="J821"/>
  <c r="J790"/>
  <c r="J759"/>
  <c r="J728"/>
  <c r="J678"/>
  <c r="J635"/>
  <c r="J559"/>
  <c r="J483"/>
  <c r="J407"/>
  <c r="J331"/>
  <c r="J267"/>
  <c r="J203"/>
  <c r="J149"/>
  <c r="J95"/>
  <c r="J72"/>
  <c r="J49"/>
  <c r="J28"/>
  <c r="J10"/>
  <c r="J655"/>
  <c r="J235"/>
  <c r="J122"/>
  <c r="J99" i="189"/>
  <c r="J53"/>
  <c r="J703" i="187"/>
  <c r="J176"/>
  <c r="J597"/>
  <c r="J521"/>
  <c r="J445"/>
  <c r="J369"/>
  <c r="J299"/>
  <c r="J14" i="186"/>
  <c r="I99" i="189"/>
  <c r="I76"/>
  <c r="I53"/>
  <c r="I124"/>
  <c r="I31"/>
  <c r="I10"/>
  <c r="I14" i="192"/>
  <c r="I1290" i="187"/>
  <c r="I1206"/>
  <c r="I1122"/>
  <c r="I1038"/>
  <c r="I960"/>
  <c r="I888"/>
  <c r="I703"/>
  <c r="I655"/>
  <c r="I597"/>
  <c r="I521"/>
  <c r="I445"/>
  <c r="I369"/>
  <c r="I299"/>
  <c r="I235"/>
  <c r="I176"/>
  <c r="I122"/>
  <c r="I1248"/>
  <c r="I1164"/>
  <c r="I1080"/>
  <c r="I996"/>
  <c r="I852"/>
  <c r="I790"/>
  <c r="I728"/>
  <c r="I635"/>
  <c r="I559"/>
  <c r="I483"/>
  <c r="I407"/>
  <c r="I331"/>
  <c r="I203"/>
  <c r="I95"/>
  <c r="I72"/>
  <c r="I49"/>
  <c r="I28"/>
  <c r="I10"/>
  <c r="I14" i="186"/>
  <c r="I924" i="187"/>
  <c r="I821"/>
  <c r="I267"/>
  <c r="I759"/>
  <c r="I678"/>
  <c r="I149"/>
  <c r="F124" i="189"/>
  <c r="F31"/>
  <c r="F10"/>
  <c r="F14" i="192"/>
  <c r="F1290" i="187"/>
  <c r="F1248"/>
  <c r="F1206"/>
  <c r="F1164"/>
  <c r="F1122"/>
  <c r="F1080"/>
  <c r="F99" i="189"/>
  <c r="F53"/>
  <c r="F1038" i="187"/>
  <c r="F996"/>
  <c r="F960"/>
  <c r="F924"/>
  <c r="F888"/>
  <c r="F852"/>
  <c r="F821"/>
  <c r="F790"/>
  <c r="F759"/>
  <c r="F728"/>
  <c r="F678"/>
  <c r="F635"/>
  <c r="F559"/>
  <c r="F483"/>
  <c r="F407"/>
  <c r="F331"/>
  <c r="F267"/>
  <c r="F203"/>
  <c r="F149"/>
  <c r="F95"/>
  <c r="F72"/>
  <c r="F49"/>
  <c r="F28"/>
  <c r="F10"/>
  <c r="F703"/>
  <c r="F597"/>
  <c r="F521"/>
  <c r="F445"/>
  <c r="F369"/>
  <c r="F299"/>
  <c r="F176"/>
  <c r="F76" i="189"/>
  <c r="F655" i="187"/>
  <c r="F122"/>
  <c r="F235"/>
  <c r="F14" i="186"/>
  <c r="J127" i="81"/>
  <c r="J54"/>
  <c r="J10"/>
  <c r="J25" s="1"/>
  <c r="J28" i="82" s="1"/>
  <c r="J1552" i="65"/>
  <c r="J1460"/>
  <c r="J1414"/>
  <c r="J1368"/>
  <c r="J1322"/>
  <c r="J1230"/>
  <c r="J1035"/>
  <c r="J1000"/>
  <c r="J930"/>
  <c r="J905"/>
  <c r="J857"/>
  <c r="J873" s="1"/>
  <c r="J67" i="66" s="1"/>
  <c r="J812" i="65"/>
  <c r="J787"/>
  <c r="J705"/>
  <c r="J666"/>
  <c r="J627"/>
  <c r="J549"/>
  <c r="J510"/>
  <c r="J471"/>
  <c r="J399"/>
  <c r="J333"/>
  <c r="J272"/>
  <c r="J244"/>
  <c r="J140"/>
  <c r="J118"/>
  <c r="J133" s="1"/>
  <c r="J37" i="66" s="1"/>
  <c r="J75" i="65"/>
  <c r="J102" i="81"/>
  <c r="J32"/>
  <c r="J47" s="1"/>
  <c r="J29" i="82" s="1"/>
  <c r="J1506" i="65"/>
  <c r="J880"/>
  <c r="J588"/>
  <c r="J216"/>
  <c r="J164"/>
  <c r="J51"/>
  <c r="J10"/>
  <c r="J22" s="1"/>
  <c r="J31" i="66" s="1"/>
  <c r="J14" i="64"/>
  <c r="J1277" i="59"/>
  <c r="J1140"/>
  <c r="J1008"/>
  <c r="J888"/>
  <c r="J818"/>
  <c r="J723"/>
  <c r="J675"/>
  <c r="J691" s="1"/>
  <c r="J72" i="60" s="1"/>
  <c r="J577" i="59"/>
  <c r="J538"/>
  <c r="J421"/>
  <c r="J382"/>
  <c r="J310"/>
  <c r="J244"/>
  <c r="J183"/>
  <c r="J155"/>
  <c r="J127"/>
  <c r="J78" i="81"/>
  <c r="J14" i="80"/>
  <c r="J1276" i="65"/>
  <c r="J1190"/>
  <c r="J1150"/>
  <c r="J1110"/>
  <c r="J1070"/>
  <c r="J965"/>
  <c r="J837"/>
  <c r="J850" s="1"/>
  <c r="J66" i="66" s="1"/>
  <c r="J764" i="65"/>
  <c r="J780" s="1"/>
  <c r="J62" i="66" s="1"/>
  <c r="J744" i="65"/>
  <c r="J757" s="1"/>
  <c r="J61" i="66" s="1"/>
  <c r="J432" i="65"/>
  <c r="J366"/>
  <c r="J300"/>
  <c r="J188"/>
  <c r="J99"/>
  <c r="J111" s="1"/>
  <c r="J36" i="66" s="1"/>
  <c r="J29" i="65"/>
  <c r="J44" s="1"/>
  <c r="J32" i="66" s="1"/>
  <c r="J1367" i="59"/>
  <c r="J1322"/>
  <c r="J1232"/>
  <c r="J1186"/>
  <c r="J1094"/>
  <c r="J1048"/>
  <c r="J968"/>
  <c r="J928"/>
  <c r="J853"/>
  <c r="J783"/>
  <c r="J748"/>
  <c r="J698"/>
  <c r="J655"/>
  <c r="J668" s="1"/>
  <c r="J71" i="60" s="1"/>
  <c r="J616" i="59"/>
  <c r="J499"/>
  <c r="J460"/>
  <c r="J343"/>
  <c r="J277"/>
  <c r="J211"/>
  <c r="J99"/>
  <c r="J51"/>
  <c r="J29"/>
  <c r="J44" s="1"/>
  <c r="J47" i="60" s="1"/>
  <c r="J75" i="59"/>
  <c r="J10"/>
  <c r="J22" s="1"/>
  <c r="J46" i="60" s="1"/>
  <c r="J14" i="63"/>
  <c r="I102" i="81"/>
  <c r="I78"/>
  <c r="I32"/>
  <c r="I14" i="80"/>
  <c r="I1506" i="65"/>
  <c r="I1276"/>
  <c r="I1190"/>
  <c r="I1150"/>
  <c r="I1110"/>
  <c r="I1070"/>
  <c r="I965"/>
  <c r="I880"/>
  <c r="I837"/>
  <c r="I764"/>
  <c r="I744"/>
  <c r="I588"/>
  <c r="I432"/>
  <c r="I366"/>
  <c r="I300"/>
  <c r="I216"/>
  <c r="I188"/>
  <c r="I164"/>
  <c r="I99"/>
  <c r="I127" i="81"/>
  <c r="I54"/>
  <c r="I1414" i="65"/>
  <c r="I1322"/>
  <c r="I1230"/>
  <c r="I1000"/>
  <c r="I905"/>
  <c r="I812"/>
  <c r="I666"/>
  <c r="I549"/>
  <c r="I471"/>
  <c r="I399"/>
  <c r="I333"/>
  <c r="I272"/>
  <c r="I118"/>
  <c r="I75"/>
  <c r="I29"/>
  <c r="I1367" i="59"/>
  <c r="I1322"/>
  <c r="I1232"/>
  <c r="I1186"/>
  <c r="I1094"/>
  <c r="I1048"/>
  <c r="I968"/>
  <c r="I928"/>
  <c r="I853"/>
  <c r="I783"/>
  <c r="I748"/>
  <c r="I698"/>
  <c r="I655"/>
  <c r="I616"/>
  <c r="I499"/>
  <c r="I460"/>
  <c r="I343"/>
  <c r="I277"/>
  <c r="I211"/>
  <c r="I99"/>
  <c r="I10" i="81"/>
  <c r="I1552" i="65"/>
  <c r="I1460"/>
  <c r="I1368"/>
  <c r="I1035"/>
  <c r="I930"/>
  <c r="I857"/>
  <c r="I787"/>
  <c r="I705"/>
  <c r="I627"/>
  <c r="I510"/>
  <c r="I244"/>
  <c r="I140"/>
  <c r="I51"/>
  <c r="I10"/>
  <c r="I14" i="64"/>
  <c r="I1277" i="59"/>
  <c r="I1140"/>
  <c r="I1008"/>
  <c r="I888"/>
  <c r="I818"/>
  <c r="I723"/>
  <c r="I675"/>
  <c r="I577"/>
  <c r="I538"/>
  <c r="I421"/>
  <c r="I382"/>
  <c r="I310"/>
  <c r="I244"/>
  <c r="I183"/>
  <c r="I155"/>
  <c r="I127"/>
  <c r="I75"/>
  <c r="I10"/>
  <c r="I14" i="63"/>
  <c r="I51" i="59"/>
  <c r="I29"/>
  <c r="F127" i="81"/>
  <c r="F54"/>
  <c r="F10"/>
  <c r="F1552" i="65"/>
  <c r="F1460"/>
  <c r="F1414"/>
  <c r="F1368"/>
  <c r="F1322"/>
  <c r="F1230"/>
  <c r="F1035"/>
  <c r="F1000"/>
  <c r="F930"/>
  <c r="F905"/>
  <c r="F857"/>
  <c r="F812"/>
  <c r="F787"/>
  <c r="F705"/>
  <c r="F666"/>
  <c r="F627"/>
  <c r="F549"/>
  <c r="F510"/>
  <c r="F471"/>
  <c r="F399"/>
  <c r="F333"/>
  <c r="F272"/>
  <c r="F244"/>
  <c r="F140"/>
  <c r="F118"/>
  <c r="F75"/>
  <c r="F78" i="81"/>
  <c r="F14" i="80"/>
  <c r="F1276" i="65"/>
  <c r="F1190"/>
  <c r="F1150"/>
  <c r="F1110"/>
  <c r="F1070"/>
  <c r="F965"/>
  <c r="F837"/>
  <c r="F764"/>
  <c r="F744"/>
  <c r="F432"/>
  <c r="F366"/>
  <c r="F300"/>
  <c r="F188"/>
  <c r="F99"/>
  <c r="F51"/>
  <c r="F10"/>
  <c r="F14" i="64"/>
  <c r="F1277" i="59"/>
  <c r="F1140"/>
  <c r="F1008"/>
  <c r="F888"/>
  <c r="F818"/>
  <c r="F723"/>
  <c r="F675"/>
  <c r="F577"/>
  <c r="F538"/>
  <c r="F421"/>
  <c r="F382"/>
  <c r="F310"/>
  <c r="F244"/>
  <c r="F183"/>
  <c r="F155"/>
  <c r="F127"/>
  <c r="F102" i="81"/>
  <c r="F32"/>
  <c r="F1506" i="65"/>
  <c r="F880"/>
  <c r="F588"/>
  <c r="F216"/>
  <c r="F164"/>
  <c r="F29"/>
  <c r="F1367" i="59"/>
  <c r="F1322"/>
  <c r="F1232"/>
  <c r="F1186"/>
  <c r="F1094"/>
  <c r="F1048"/>
  <c r="F968"/>
  <c r="F928"/>
  <c r="F853"/>
  <c r="F783"/>
  <c r="F748"/>
  <c r="F698"/>
  <c r="F655"/>
  <c r="F616"/>
  <c r="F499"/>
  <c r="F460"/>
  <c r="F343"/>
  <c r="F277"/>
  <c r="F211"/>
  <c r="F99"/>
  <c r="F51"/>
  <c r="F29"/>
  <c r="F75"/>
  <c r="F10"/>
  <c r="F14" i="63"/>
  <c r="J20" i="71"/>
  <c r="J43" i="24" s="1"/>
  <c r="J47" s="1"/>
  <c r="J19" i="71"/>
  <c r="F23" i="29" s="1"/>
  <c r="H20" i="71"/>
  <c r="G43" i="24" s="1"/>
  <c r="G47" s="1"/>
  <c r="H10"/>
  <c r="M106" i="178"/>
  <c r="E125"/>
  <c r="N106"/>
  <c r="E113"/>
  <c r="C135" i="179" s="1"/>
  <c r="E115" i="178"/>
  <c r="E114"/>
  <c r="H31" i="184"/>
  <c r="P31" s="1"/>
  <c r="G10" i="24"/>
  <c r="I10" s="1"/>
  <c r="I24" i="15"/>
  <c r="I23"/>
  <c r="K141" i="179"/>
  <c r="M141" s="1"/>
  <c r="K138"/>
  <c r="M138" s="1"/>
  <c r="G192"/>
  <c r="I157"/>
  <c r="E228" s="1"/>
  <c r="G189"/>
  <c r="I154"/>
  <c r="E225" s="1"/>
  <c r="K228"/>
  <c r="E246"/>
  <c r="K225"/>
  <c r="E243"/>
  <c r="J923" i="65"/>
  <c r="J69" i="66" s="1"/>
  <c r="J120" i="81"/>
  <c r="J33" i="82" s="1"/>
  <c r="J716" i="59"/>
  <c r="J73" i="60" s="1"/>
  <c r="J71" i="81"/>
  <c r="J31" i="82" s="1"/>
  <c r="J181" i="65"/>
  <c r="J39" i="66" s="1"/>
  <c r="J830" i="65"/>
  <c r="J64" i="66" s="1"/>
  <c r="J95" i="81"/>
  <c r="J32" i="82" s="1"/>
  <c r="J92" i="59"/>
  <c r="J49" i="60" s="1"/>
  <c r="J92" i="65"/>
  <c r="J34" i="66" s="1"/>
  <c r="J145" i="81"/>
  <c r="J34" i="82" s="1"/>
  <c r="J157" i="65"/>
  <c r="J38" i="66" s="1"/>
  <c r="J898" i="65"/>
  <c r="J68" i="66" s="1"/>
  <c r="N148" i="178"/>
  <c r="M148"/>
  <c r="J741" i="59"/>
  <c r="J74" i="60" s="1"/>
  <c r="J805" i="65"/>
  <c r="J63" i="66" s="1"/>
  <c r="J68" i="65"/>
  <c r="J33" i="66" s="1"/>
  <c r="J68" i="59"/>
  <c r="J48" i="60" s="1"/>
  <c r="I43" i="24" l="1"/>
  <c r="I47" s="1"/>
  <c r="C5" i="15"/>
  <c r="C6" s="1"/>
  <c r="I26" s="1"/>
  <c r="I29" s="1"/>
  <c r="I32" i="184"/>
  <c r="Q32" s="1"/>
  <c r="S32" s="1"/>
  <c r="I18" i="185" s="1"/>
  <c r="F43" i="24"/>
  <c r="F47" s="1"/>
  <c r="E31" i="184"/>
  <c r="M31" s="1"/>
  <c r="F17" i="185" s="1"/>
  <c r="I19" i="29"/>
  <c r="F10" i="24"/>
  <c r="C18" i="11"/>
  <c r="C22" s="1"/>
  <c r="I45" s="1"/>
  <c r="F19" i="29"/>
  <c r="F142" i="65" s="1"/>
  <c r="I31" i="184"/>
  <c r="Q31" s="1"/>
  <c r="I23" i="29"/>
  <c r="I1002" i="65" s="1"/>
  <c r="E18" i="11"/>
  <c r="E22" s="1"/>
  <c r="E35" i="184"/>
  <c r="M35" s="1"/>
  <c r="J35"/>
  <c r="R35" s="1"/>
  <c r="I35"/>
  <c r="Q35" s="1"/>
  <c r="F1278" i="65"/>
  <c r="F1554"/>
  <c r="F1232"/>
  <c r="F590"/>
  <c r="F1152"/>
  <c r="F128" i="81"/>
  <c r="F462" i="59"/>
  <c r="F890"/>
  <c r="F80" i="81"/>
  <c r="F312" i="59"/>
  <c r="F423"/>
  <c r="F473" i="65"/>
  <c r="F1010" i="59"/>
  <c r="F213"/>
  <c r="F246"/>
  <c r="F19" i="80"/>
  <c r="F788" i="65"/>
  <c r="F1050" i="59"/>
  <c r="F1096"/>
  <c r="F579"/>
  <c r="F1234"/>
  <c r="F77"/>
  <c r="F77" i="65"/>
  <c r="H14" i="24"/>
  <c r="I80" i="65"/>
  <c r="I1075"/>
  <c r="I884"/>
  <c r="I1327" i="59"/>
  <c r="I1191"/>
  <c r="I23" i="63"/>
  <c r="I820" i="59"/>
  <c r="I387"/>
  <c r="I1372"/>
  <c r="I23" i="80"/>
  <c r="I426" i="59"/>
  <c r="I437" i="65"/>
  <c r="I282" i="59"/>
  <c r="I246" i="65"/>
  <c r="I768"/>
  <c r="I34"/>
  <c r="I791"/>
  <c r="I816"/>
  <c r="I371"/>
  <c r="I973" i="59"/>
  <c r="I855"/>
  <c r="I274" i="65"/>
  <c r="I621" i="59"/>
  <c r="I404" i="65"/>
  <c r="I1013" i="59"/>
  <c r="I1237"/>
  <c r="I36" i="81"/>
  <c r="I169" i="65"/>
  <c r="I59" i="81"/>
  <c r="I838" i="65"/>
  <c r="I1235"/>
  <c r="I56" i="59"/>
  <c r="I1327" i="65"/>
  <c r="I1557"/>
  <c r="I632"/>
  <c r="I106" i="81"/>
  <c r="I131"/>
  <c r="I727" i="59"/>
  <c r="I656"/>
  <c r="I56" i="65"/>
  <c r="I465" i="59"/>
  <c r="I1145"/>
  <c r="I785"/>
  <c r="I893"/>
  <c r="I593" i="65"/>
  <c r="I338"/>
  <c r="I1155"/>
  <c r="I1037"/>
  <c r="I101" i="59"/>
  <c r="I185"/>
  <c r="I348"/>
  <c r="I34"/>
  <c r="I909" i="65"/>
  <c r="I12"/>
  <c r="I216" i="59"/>
  <c r="I861" i="65"/>
  <c r="I1195"/>
  <c r="I476"/>
  <c r="I1511"/>
  <c r="I1373"/>
  <c r="I157" i="59"/>
  <c r="I582"/>
  <c r="I1053"/>
  <c r="I315"/>
  <c r="I679"/>
  <c r="I504"/>
  <c r="I80"/>
  <c r="I967" i="65"/>
  <c r="I702" i="59"/>
  <c r="I249"/>
  <c r="I15" i="81"/>
  <c r="I1465" i="65"/>
  <c r="I305"/>
  <c r="I123"/>
  <c r="I1281"/>
  <c r="I745"/>
  <c r="I190"/>
  <c r="I554"/>
  <c r="I12" i="59"/>
  <c r="I1282"/>
  <c r="I750"/>
  <c r="I145" i="65"/>
  <c r="I129" i="59"/>
  <c r="I932" i="65"/>
  <c r="I83" i="81"/>
  <c r="I1099" i="59"/>
  <c r="I543"/>
  <c r="I101" i="65"/>
  <c r="I1115"/>
  <c r="I218"/>
  <c r="I1419"/>
  <c r="I671"/>
  <c r="I23" i="64"/>
  <c r="I933" i="59"/>
  <c r="I710" i="65"/>
  <c r="F73" i="187"/>
  <c r="F17" i="186"/>
  <c r="F522" i="187"/>
  <c r="F1039"/>
  <c r="F300"/>
  <c r="F1123"/>
  <c r="F408"/>
  <c r="F125" i="189"/>
  <c r="F100"/>
  <c r="F236" i="187"/>
  <c r="F889"/>
  <c r="F370"/>
  <c r="F1249"/>
  <c r="F54" i="189"/>
  <c r="F1165" i="187"/>
  <c r="F32" i="189"/>
  <c r="F332" i="187"/>
  <c r="F77" i="189"/>
  <c r="F679" i="187"/>
  <c r="F1291"/>
  <c r="F997"/>
  <c r="F11" i="189"/>
  <c r="F50" i="187"/>
  <c r="F704"/>
  <c r="F598"/>
  <c r="F853"/>
  <c r="F29"/>
  <c r="F656"/>
  <c r="F560"/>
  <c r="F961"/>
  <c r="F1081"/>
  <c r="F17" i="192"/>
  <c r="F484" i="187"/>
  <c r="F268"/>
  <c r="F925"/>
  <c r="F1207"/>
  <c r="F204"/>
  <c r="F446"/>
  <c r="F83" i="81"/>
  <c r="F95" s="1"/>
  <c r="F32" i="82" s="1"/>
  <c r="F36" i="81"/>
  <c r="F593" i="65"/>
  <c r="F169"/>
  <c r="F932"/>
  <c r="F745"/>
  <c r="F757" s="1"/>
  <c r="F61" i="66" s="1"/>
  <c r="F543" i="59"/>
  <c r="F157"/>
  <c r="F426"/>
  <c r="F131" i="81"/>
  <c r="F185" i="59"/>
  <c r="F1237"/>
  <c r="F129"/>
  <c r="F791" i="65"/>
  <c r="F80" i="59"/>
  <c r="F92" s="1"/>
  <c r="F49" i="60" s="1"/>
  <c r="F820" i="59"/>
  <c r="F404" i="65"/>
  <c r="F1557"/>
  <c r="F1511"/>
  <c r="F1327" i="59"/>
  <c r="F621"/>
  <c r="F23" i="80"/>
  <c r="F15" i="81"/>
  <c r="F437" i="65"/>
  <c r="F123"/>
  <c r="F884"/>
  <c r="F671"/>
  <c r="F387" i="59"/>
  <c r="F1373" i="65"/>
  <c r="F282" i="59"/>
  <c r="F12" i="65"/>
  <c r="F22" s="1"/>
  <c r="F31" i="66" s="1"/>
  <c r="F56" i="59"/>
  <c r="F101" i="65"/>
  <c r="F111" s="1"/>
  <c r="F36" i="66" s="1"/>
  <c r="F1002" i="65"/>
  <c r="F190"/>
  <c r="F34" i="59"/>
  <c r="F768" i="65"/>
  <c r="F632"/>
  <c r="F1099" i="59"/>
  <c r="F56" i="65"/>
  <c r="F504" i="59"/>
  <c r="F1235" i="65"/>
  <c r="F1465"/>
  <c r="F305"/>
  <c r="F1419"/>
  <c r="F816"/>
  <c r="F515"/>
  <c r="F249" i="59"/>
  <c r="F34" i="65"/>
  <c r="F12" i="59"/>
  <c r="F22" s="1"/>
  <c r="F46" i="60" s="1"/>
  <c r="F1282" i="59"/>
  <c r="F893"/>
  <c r="F1372"/>
  <c r="F785"/>
  <c r="F710" i="65"/>
  <c r="F1115"/>
  <c r="F218"/>
  <c r="F1075"/>
  <c r="F246"/>
  <c r="F371"/>
  <c r="F23" i="63"/>
  <c r="F23" i="64"/>
  <c r="F476" i="65"/>
  <c r="F933" i="59"/>
  <c r="F1037" i="65"/>
  <c r="F1013" i="59"/>
  <c r="F554" i="65"/>
  <c r="F80"/>
  <c r="F92" s="1"/>
  <c r="F34" i="66" s="1"/>
  <c r="F106" i="81"/>
  <c r="F1191" i="59"/>
  <c r="F838" i="65"/>
  <c r="F850" s="1"/>
  <c r="F66" i="66" s="1"/>
  <c r="F855" i="59"/>
  <c r="F274" i="65"/>
  <c r="F1327"/>
  <c r="F1195"/>
  <c r="F59" i="81"/>
  <c r="F1155" i="65"/>
  <c r="F750" i="59"/>
  <c r="F973"/>
  <c r="F656"/>
  <c r="F668" s="1"/>
  <c r="F71" i="60" s="1"/>
  <c r="F1053" i="59"/>
  <c r="F465"/>
  <c r="F679"/>
  <c r="F348"/>
  <c r="F145" i="65"/>
  <c r="F861"/>
  <c r="F1281"/>
  <c r="F909"/>
  <c r="F727" i="59"/>
  <c r="F101"/>
  <c r="F315"/>
  <c r="F216"/>
  <c r="F967" i="65"/>
  <c r="F702" i="59"/>
  <c r="F582"/>
  <c r="F338" i="65"/>
  <c r="F1145" i="59"/>
  <c r="M125" i="178"/>
  <c r="E144"/>
  <c r="N125"/>
  <c r="E134"/>
  <c r="E133"/>
  <c r="E132"/>
  <c r="C138" i="179" s="1"/>
  <c r="I142" i="65"/>
  <c r="I590"/>
  <c r="I1416"/>
  <c r="I103" i="81"/>
  <c r="I699" i="59"/>
  <c r="I724"/>
  <c r="I279"/>
  <c r="I462"/>
  <c r="I1010"/>
  <c r="I1278" i="65"/>
  <c r="I166"/>
  <c r="I813"/>
  <c r="I618" i="59"/>
  <c r="I33" i="81"/>
  <c r="I434" i="65"/>
  <c r="I1072"/>
  <c r="I1508"/>
  <c r="I540" i="59"/>
  <c r="I335" i="65"/>
  <c r="I53"/>
  <c r="I312" i="59"/>
  <c r="I501"/>
  <c r="I1188"/>
  <c r="I881" i="65"/>
  <c r="I930" i="59"/>
  <c r="I401" i="65"/>
  <c r="I970" i="59"/>
  <c r="I80" i="81"/>
  <c r="I12"/>
  <c r="I302" i="65"/>
  <c r="I788"/>
  <c r="I1152"/>
  <c r="I384" i="59"/>
  <c r="I1370" i="65"/>
  <c r="I1050" i="59"/>
  <c r="I53"/>
  <c r="I345"/>
  <c r="I707" i="65"/>
  <c r="I512"/>
  <c r="I676" i="59"/>
  <c r="I368" i="65"/>
  <c r="I579" i="59"/>
  <c r="I120" i="65"/>
  <c r="I1096" i="59"/>
  <c r="I1369"/>
  <c r="I19" i="80"/>
  <c r="I1462" i="65"/>
  <c r="I77"/>
  <c r="I629"/>
  <c r="I906"/>
  <c r="I246" i="59"/>
  <c r="I31" i="65"/>
  <c r="I473"/>
  <c r="I77" i="59"/>
  <c r="I213"/>
  <c r="I765" i="65"/>
  <c r="I1234" i="59"/>
  <c r="I1324" i="65"/>
  <c r="I890" i="59"/>
  <c r="I1232" i="65"/>
  <c r="I1112"/>
  <c r="I1554"/>
  <c r="I56" i="81"/>
  <c r="I668" i="65"/>
  <c r="I19" i="63"/>
  <c r="I19" i="64"/>
  <c r="I128" i="81"/>
  <c r="I1142" i="59"/>
  <c r="I31"/>
  <c r="I1192" i="65"/>
  <c r="I1279" i="59"/>
  <c r="I551" i="65"/>
  <c r="I1324" i="59"/>
  <c r="I858" i="65"/>
  <c r="I423" i="59"/>
  <c r="M113" i="178"/>
  <c r="C28" i="179" s="1"/>
  <c r="N28" s="1"/>
  <c r="M115" i="178"/>
  <c r="C61" i="179" s="1"/>
  <c r="J61" s="1"/>
  <c r="L61" s="1"/>
  <c r="M114" i="178"/>
  <c r="C59" i="179" s="1"/>
  <c r="O135"/>
  <c r="E135"/>
  <c r="C151"/>
  <c r="S35" i="184"/>
  <c r="I21" i="185" s="1"/>
  <c r="F21"/>
  <c r="T35" i="184"/>
  <c r="J21" i="185" s="1"/>
  <c r="I78" i="189"/>
  <c r="I680" i="187"/>
  <c r="I854"/>
  <c r="I1292"/>
  <c r="I51"/>
  <c r="I126" i="189"/>
  <c r="I1166" i="187"/>
  <c r="I998"/>
  <c r="I705"/>
  <c r="I599"/>
  <c r="I371"/>
  <c r="I1124"/>
  <c r="I205"/>
  <c r="I1040"/>
  <c r="I657"/>
  <c r="I301"/>
  <c r="I561"/>
  <c r="I962"/>
  <c r="I926"/>
  <c r="I333"/>
  <c r="I30"/>
  <c r="I890"/>
  <c r="I12" i="189"/>
  <c r="I1250" i="187"/>
  <c r="I409"/>
  <c r="I55" i="189"/>
  <c r="I269" i="187"/>
  <c r="I447"/>
  <c r="I33" i="189"/>
  <c r="I1082" i="187"/>
  <c r="I18" i="192"/>
  <c r="I485" i="187"/>
  <c r="I74"/>
  <c r="I18" i="186"/>
  <c r="I1208" i="187"/>
  <c r="I523"/>
  <c r="I237"/>
  <c r="I101" i="189"/>
  <c r="N114" i="178"/>
  <c r="N115"/>
  <c r="N113"/>
  <c r="K37" i="11"/>
  <c r="K55" s="1"/>
  <c r="K63" s="1"/>
  <c r="M63" s="1"/>
  <c r="F77" s="1"/>
  <c r="K36"/>
  <c r="K54" s="1"/>
  <c r="K46"/>
  <c r="K45"/>
  <c r="I27" i="15" l="1"/>
  <c r="I30" s="1"/>
  <c r="I39" s="1"/>
  <c r="I47" s="1"/>
  <c r="M61" i="179"/>
  <c r="O61" s="1"/>
  <c r="I515" i="65"/>
  <c r="F1416"/>
  <c r="F1142" i="59"/>
  <c r="F31" i="65"/>
  <c r="F44" s="1"/>
  <c r="F32" i="66" s="1"/>
  <c r="F1369" i="59"/>
  <c r="F668" i="65"/>
  <c r="F103" i="81"/>
  <c r="F120" s="1"/>
  <c r="F33" i="82" s="1"/>
  <c r="F53" i="65"/>
  <c r="F1324"/>
  <c r="F970" i="59"/>
  <c r="F1192" i="65"/>
  <c r="F384" i="59"/>
  <c r="F881" i="65"/>
  <c r="F898" s="1"/>
  <c r="F68" i="66" s="1"/>
  <c r="S31" i="184"/>
  <c r="I17" i="185" s="1"/>
  <c r="F157" i="65"/>
  <c r="F38" i="66" s="1"/>
  <c r="F68" i="65"/>
  <c r="F33" i="66" s="1"/>
  <c r="F1072" i="65"/>
  <c r="F434"/>
  <c r="F31" i="59"/>
  <c r="F44" s="1"/>
  <c r="F47" i="60" s="1"/>
  <c r="F724" i="59"/>
  <c r="F741" s="1"/>
  <c r="F74" i="60" s="1"/>
  <c r="F699" i="59"/>
  <c r="F716" s="1"/>
  <c r="F73" i="60" s="1"/>
  <c r="F930" i="59"/>
  <c r="F707" i="65"/>
  <c r="F501" i="59"/>
  <c r="F765" i="65"/>
  <c r="F780" s="1"/>
  <c r="F62" i="66" s="1"/>
  <c r="F302" i="65"/>
  <c r="F858"/>
  <c r="F873" s="1"/>
  <c r="F67" i="66" s="1"/>
  <c r="T31" i="184"/>
  <c r="J17" i="185" s="1"/>
  <c r="M45" i="11"/>
  <c r="F12" i="81"/>
  <c r="F25" s="1"/>
  <c r="F28" i="82" s="1"/>
  <c r="F629" i="65"/>
  <c r="F368"/>
  <c r="F19" i="63"/>
  <c r="F540" i="59"/>
  <c r="F1462" i="65"/>
  <c r="F1112"/>
  <c r="F33" i="81"/>
  <c r="F47" s="1"/>
  <c r="F29" i="82" s="1"/>
  <c r="F279" i="59"/>
  <c r="F345"/>
  <c r="F512" i="65"/>
  <c r="F335"/>
  <c r="F1508"/>
  <c r="F19" i="64"/>
  <c r="F1188" i="59"/>
  <c r="F906" i="65"/>
  <c r="F923" s="1"/>
  <c r="F69" i="66" s="1"/>
  <c r="F676" i="59"/>
  <c r="F691" s="1"/>
  <c r="F72" i="60" s="1"/>
  <c r="F166" i="65"/>
  <c r="F181" s="1"/>
  <c r="F39" i="66" s="1"/>
  <c r="F1324" i="59"/>
  <c r="F618"/>
  <c r="F120" i="65"/>
  <c r="F133" s="1"/>
  <c r="F37" i="66" s="1"/>
  <c r="F56" i="81"/>
  <c r="F71" s="1"/>
  <c r="F31" i="82" s="1"/>
  <c r="F813" i="65"/>
  <c r="F830" s="1"/>
  <c r="F64" i="66" s="1"/>
  <c r="F53" i="59"/>
  <c r="F68" s="1"/>
  <c r="F48" i="60" s="1"/>
  <c r="F1279" i="59"/>
  <c r="F1370" i="65"/>
  <c r="F551"/>
  <c r="F401"/>
  <c r="I46" i="11"/>
  <c r="M46" s="1"/>
  <c r="I36"/>
  <c r="I54" s="1"/>
  <c r="M54" s="1"/>
  <c r="I37"/>
  <c r="I55" s="1"/>
  <c r="M55" s="1"/>
  <c r="F14" i="24"/>
  <c r="G14" s="1"/>
  <c r="G35" s="1"/>
  <c r="G63" s="1"/>
  <c r="H76" i="184" s="1"/>
  <c r="P76" s="1"/>
  <c r="S76" s="1"/>
  <c r="I300" i="187"/>
  <c r="I1039"/>
  <c r="I268"/>
  <c r="I1165"/>
  <c r="I1123"/>
  <c r="I204"/>
  <c r="I50"/>
  <c r="I997"/>
  <c r="I17" i="186"/>
  <c r="I598" i="187"/>
  <c r="I1291"/>
  <c r="I1081"/>
  <c r="I332"/>
  <c r="I370"/>
  <c r="I77" i="189"/>
  <c r="I73" i="187"/>
  <c r="I484"/>
  <c r="I408"/>
  <c r="I656"/>
  <c r="I11" i="189"/>
  <c r="I32"/>
  <c r="I925" i="187"/>
  <c r="I560"/>
  <c r="I889"/>
  <c r="I446"/>
  <c r="I17" i="192"/>
  <c r="I236" i="187"/>
  <c r="I1249"/>
  <c r="I100" i="189"/>
  <c r="I29" i="187"/>
  <c r="I704"/>
  <c r="I679"/>
  <c r="I522"/>
  <c r="I1207"/>
  <c r="I125" i="189"/>
  <c r="I961" i="187"/>
  <c r="I54" i="189"/>
  <c r="I853" i="187"/>
  <c r="F805" i="65"/>
  <c r="F63" i="66" s="1"/>
  <c r="F145" i="81"/>
  <c r="F34" i="82" s="1"/>
  <c r="G46" i="179"/>
  <c r="G44" s="1"/>
  <c r="G47" s="1"/>
  <c r="C154"/>
  <c r="E138"/>
  <c r="I33" i="24"/>
  <c r="G50"/>
  <c r="I24"/>
  <c r="J53" i="187"/>
  <c r="J525"/>
  <c r="J21" i="192"/>
  <c r="J57" i="189"/>
  <c r="J563" i="187"/>
  <c r="J1294"/>
  <c r="J707"/>
  <c r="J21" i="186"/>
  <c r="J32" i="187"/>
  <c r="J239"/>
  <c r="J1210"/>
  <c r="J487"/>
  <c r="J271"/>
  <c r="J177"/>
  <c r="J729"/>
  <c r="J35" i="189"/>
  <c r="J103"/>
  <c r="J601" i="187"/>
  <c r="J11"/>
  <c r="J21" s="1"/>
  <c r="J29" i="251" s="1"/>
  <c r="J150" i="187"/>
  <c r="J1042"/>
  <c r="J207"/>
  <c r="J76"/>
  <c r="J128" i="189"/>
  <c r="J1084" i="187"/>
  <c r="J1000"/>
  <c r="J822"/>
  <c r="J928"/>
  <c r="J856"/>
  <c r="J1252"/>
  <c r="J80" i="189"/>
  <c r="J892" i="187"/>
  <c r="J1168"/>
  <c r="J964"/>
  <c r="J449"/>
  <c r="J682"/>
  <c r="J791"/>
  <c r="J760"/>
  <c r="J659"/>
  <c r="J303"/>
  <c r="J373"/>
  <c r="J1126"/>
  <c r="J335"/>
  <c r="J636"/>
  <c r="J648" s="1"/>
  <c r="J54" i="251" s="1"/>
  <c r="J123" i="187"/>
  <c r="J14" i="189"/>
  <c r="J411" i="187"/>
  <c r="J96"/>
  <c r="I1294"/>
  <c r="I791"/>
  <c r="I760"/>
  <c r="I659"/>
  <c r="I303"/>
  <c r="I373"/>
  <c r="I177"/>
  <c r="I892"/>
  <c r="I1126"/>
  <c r="I335"/>
  <c r="I636"/>
  <c r="I411"/>
  <c r="I123"/>
  <c r="I96"/>
  <c r="I150"/>
  <c r="I128" i="189"/>
  <c r="I80"/>
  <c r="I964" i="187"/>
  <c r="I53"/>
  <c r="I525"/>
  <c r="I21" i="192"/>
  <c r="I57" i="189"/>
  <c r="I271" i="187"/>
  <c r="I11"/>
  <c r="I1042"/>
  <c r="I563"/>
  <c r="I1252"/>
  <c r="I1168"/>
  <c r="I822"/>
  <c r="I32"/>
  <c r="I239"/>
  <c r="I1210"/>
  <c r="I487"/>
  <c r="I76"/>
  <c r="I449"/>
  <c r="I207"/>
  <c r="I35" i="189"/>
  <c r="I21" i="186"/>
  <c r="I1084" i="187"/>
  <c r="I729"/>
  <c r="I682"/>
  <c r="I1000"/>
  <c r="I14" i="189"/>
  <c r="I928" i="187"/>
  <c r="I601"/>
  <c r="I103" i="189"/>
  <c r="I707" i="187"/>
  <c r="I856"/>
  <c r="N134" i="178"/>
  <c r="N132"/>
  <c r="N133"/>
  <c r="N144"/>
  <c r="M144"/>
  <c r="E152"/>
  <c r="E151"/>
  <c r="C141" i="179" s="1"/>
  <c r="E153" i="178"/>
  <c r="I31" i="15"/>
  <c r="I38"/>
  <c r="F76" i="187"/>
  <c r="F88" s="1"/>
  <c r="F32" i="251" s="1"/>
  <c r="F449" i="187"/>
  <c r="F11"/>
  <c r="F21" s="1"/>
  <c r="F29" i="251" s="1"/>
  <c r="F150" i="187"/>
  <c r="F1042"/>
  <c r="F207"/>
  <c r="F760"/>
  <c r="F335"/>
  <c r="F411"/>
  <c r="F373"/>
  <c r="F128" i="189"/>
  <c r="F142" s="1"/>
  <c r="F31" i="190" s="1"/>
  <c r="B84" i="250" s="1"/>
  <c r="F177" i="187"/>
  <c r="F1252"/>
  <c r="F80" i="189"/>
  <c r="F92" s="1"/>
  <c r="F29" i="190" s="1"/>
  <c r="B82" i="250" s="1"/>
  <c r="F892" i="187"/>
  <c r="F96"/>
  <c r="F659"/>
  <c r="F671" s="1"/>
  <c r="F55" i="251" s="1"/>
  <c r="F35" i="189"/>
  <c r="F46" s="1"/>
  <c r="F26" i="190" s="1"/>
  <c r="B79" i="250" s="1"/>
  <c r="F21" i="186"/>
  <c r="F1084" i="187"/>
  <c r="F729"/>
  <c r="F682"/>
  <c r="F696" s="1"/>
  <c r="F56" i="251" s="1"/>
  <c r="F1000" i="187"/>
  <c r="F791"/>
  <c r="F303"/>
  <c r="F1126"/>
  <c r="F636"/>
  <c r="F648" s="1"/>
  <c r="F54" i="251" s="1"/>
  <c r="F123" i="187"/>
  <c r="F14" i="189"/>
  <c r="F24" s="1"/>
  <c r="F25" i="190" s="1"/>
  <c r="B78" i="250" s="1"/>
  <c r="F103" i="189"/>
  <c r="F117" s="1"/>
  <c r="F30" i="190" s="1"/>
  <c r="B83" i="250" s="1"/>
  <c r="F928" i="187"/>
  <c r="F707"/>
  <c r="F721" s="1"/>
  <c r="F57" i="251" s="1"/>
  <c r="F601" i="187"/>
  <c r="F856"/>
  <c r="F1294"/>
  <c r="F1168"/>
  <c r="F563"/>
  <c r="F964"/>
  <c r="F53"/>
  <c r="F65" s="1"/>
  <c r="F31" i="251" s="1"/>
  <c r="F525" i="187"/>
  <c r="F21" i="192"/>
  <c r="F57" i="189"/>
  <c r="F69" s="1"/>
  <c r="F28" i="190" s="1"/>
  <c r="B81" i="250" s="1"/>
  <c r="F822" i="187"/>
  <c r="F239"/>
  <c r="F487"/>
  <c r="F271"/>
  <c r="F32"/>
  <c r="F42" s="1"/>
  <c r="F30" i="251" s="1"/>
  <c r="F1210" i="187"/>
  <c r="K151" i="179"/>
  <c r="L151"/>
  <c r="D222"/>
  <c r="C186"/>
  <c r="M133" i="178"/>
  <c r="C64" i="179" s="1"/>
  <c r="M132" i="178"/>
  <c r="C32" i="179" s="1"/>
  <c r="N32" s="1"/>
  <c r="M134" i="178"/>
  <c r="C66" i="179" s="1"/>
  <c r="I52" i="15"/>
  <c r="H6" i="184"/>
  <c r="G59" i="179"/>
  <c r="H59" s="1"/>
  <c r="I59" s="1"/>
  <c r="M59" s="1"/>
  <c r="O59" s="1"/>
  <c r="J77" i="11"/>
  <c r="I41" i="29" s="1"/>
  <c r="G41"/>
  <c r="F52" i="184"/>
  <c r="N52" s="1"/>
  <c r="C168" i="179"/>
  <c r="C222"/>
  <c r="I14" i="24"/>
  <c r="I35" s="1"/>
  <c r="G73" s="1"/>
  <c r="H77" i="184" s="1"/>
  <c r="P77" s="1"/>
  <c r="S77" s="1"/>
  <c r="O138" i="179"/>
  <c r="I115"/>
  <c r="N115" s="1"/>
  <c r="O115" s="1"/>
  <c r="P115" s="1"/>
  <c r="M36" i="11" l="1"/>
  <c r="F73"/>
  <c r="J300" i="187"/>
  <c r="J656"/>
  <c r="J73"/>
  <c r="J88" s="1"/>
  <c r="J32" i="251" s="1"/>
  <c r="J1039" i="187"/>
  <c r="J29"/>
  <c r="J100" i="189"/>
  <c r="J117" s="1"/>
  <c r="J30" i="190" s="1"/>
  <c r="D83" i="250" s="1"/>
  <c r="J408" i="187"/>
  <c r="J679"/>
  <c r="J696" s="1"/>
  <c r="J56" i="251" s="1"/>
  <c r="J142" i="255" s="1"/>
  <c r="J704" i="187"/>
  <c r="J54" i="189"/>
  <c r="J69" s="1"/>
  <c r="J28" i="190" s="1"/>
  <c r="D81" i="250" s="1"/>
  <c r="J484" i="187"/>
  <c r="J1123"/>
  <c r="J32" i="189"/>
  <c r="J560" i="187"/>
  <c r="J1165"/>
  <c r="J268"/>
  <c r="J889"/>
  <c r="J853"/>
  <c r="J598"/>
  <c r="J961"/>
  <c r="J925"/>
  <c r="J17" i="186"/>
  <c r="J236" i="187"/>
  <c r="J1249"/>
  <c r="J1291"/>
  <c r="J332"/>
  <c r="J11" i="189"/>
  <c r="J24" s="1"/>
  <c r="J25" i="190" s="1"/>
  <c r="J370" i="187"/>
  <c r="J1081"/>
  <c r="J446"/>
  <c r="J204"/>
  <c r="J522"/>
  <c r="J997"/>
  <c r="J125" i="189"/>
  <c r="J77"/>
  <c r="J50" i="187"/>
  <c r="J65" s="1"/>
  <c r="J31" i="251" s="1"/>
  <c r="J37" i="253" s="1"/>
  <c r="D112" s="1"/>
  <c r="J17" i="192"/>
  <c r="J1207" i="187"/>
  <c r="J142" i="189"/>
  <c r="J31" i="190" s="1"/>
  <c r="D84" i="250" s="1"/>
  <c r="J46" i="189"/>
  <c r="J26" i="190" s="1"/>
  <c r="J42" i="187"/>
  <c r="J30" i="251" s="1"/>
  <c r="J36" i="253" s="1"/>
  <c r="J671" i="187"/>
  <c r="J55" i="251" s="1"/>
  <c r="J141" i="255" s="1"/>
  <c r="J92" i="189"/>
  <c r="J29" i="190" s="1"/>
  <c r="D82" i="250" s="1"/>
  <c r="J721" i="187"/>
  <c r="J57" i="251" s="1"/>
  <c r="J63" i="253" s="1"/>
  <c r="M37" i="11"/>
  <c r="F71" s="1"/>
  <c r="G33" i="24"/>
  <c r="G24"/>
  <c r="J62" i="253"/>
  <c r="D137" s="1"/>
  <c r="F75" i="11"/>
  <c r="F51" i="184" s="1"/>
  <c r="N51" s="1"/>
  <c r="F143" i="255"/>
  <c r="F63" i="253"/>
  <c r="B138" s="1"/>
  <c r="F142" i="255"/>
  <c r="F62" i="253"/>
  <c r="F37"/>
  <c r="B112" s="1"/>
  <c r="F117" i="255"/>
  <c r="F118"/>
  <c r="F38" i="253"/>
  <c r="B113" s="1"/>
  <c r="G38" i="185"/>
  <c r="S52" i="184"/>
  <c r="I38" i="185" s="1"/>
  <c r="G221" i="65"/>
  <c r="G160" i="59"/>
  <c r="G823"/>
  <c r="G970" i="65"/>
  <c r="G858" i="59"/>
  <c r="G188"/>
  <c r="G935" i="65"/>
  <c r="G659" i="59"/>
  <c r="G668" s="1"/>
  <c r="G71" i="60" s="1"/>
  <c r="S71" s="1"/>
  <c r="G249" i="65"/>
  <c r="G40" i="80"/>
  <c r="G15" i="59"/>
  <c r="G22" s="1"/>
  <c r="G46" i="60" s="1"/>
  <c r="S46" s="1"/>
  <c r="G104" i="65"/>
  <c r="G111" s="1"/>
  <c r="G36" i="66" s="1"/>
  <c r="Q36" s="1"/>
  <c r="H13" i="160" s="1"/>
  <c r="R13" s="1"/>
  <c r="D51" i="159" s="1"/>
  <c r="E51" s="1"/>
  <c r="G1040" i="65"/>
  <c r="G104" i="59"/>
  <c r="G748" i="65"/>
  <c r="G757" s="1"/>
  <c r="G61" i="66" s="1"/>
  <c r="Q61" s="1"/>
  <c r="H38" i="160" s="1"/>
  <c r="R38" s="1"/>
  <c r="D76" i="159" s="1"/>
  <c r="E76" s="1"/>
  <c r="G277" i="65"/>
  <c r="G788" i="59"/>
  <c r="G132"/>
  <c r="G15" i="65"/>
  <c r="G22" s="1"/>
  <c r="G31" i="66" s="1"/>
  <c r="Q31" s="1"/>
  <c r="H8" i="160" s="1"/>
  <c r="G841" i="65"/>
  <c r="G850" s="1"/>
  <c r="G66" i="66" s="1"/>
  <c r="Q66" s="1"/>
  <c r="H43" i="160" s="1"/>
  <c r="R43" s="1"/>
  <c r="D81" i="159" s="1"/>
  <c r="E81" s="1"/>
  <c r="G753" i="59"/>
  <c r="G41" i="63"/>
  <c r="G1005" i="65"/>
  <c r="G193"/>
  <c r="G40" i="64"/>
  <c r="F100" i="169"/>
  <c r="F101" s="1"/>
  <c r="F111" s="1"/>
  <c r="F116" s="1"/>
  <c r="F55"/>
  <c r="F56" s="1"/>
  <c r="H4" i="26"/>
  <c r="G30" s="1"/>
  <c r="J6" i="184"/>
  <c r="H3" i="28"/>
  <c r="H3" i="24"/>
  <c r="G30" s="1"/>
  <c r="G34" s="1"/>
  <c r="F140" i="255"/>
  <c r="F60" i="253"/>
  <c r="B135" s="1"/>
  <c r="F115" i="255"/>
  <c r="F35" i="253"/>
  <c r="B110" s="1"/>
  <c r="O141" i="179"/>
  <c r="C157"/>
  <c r="E141"/>
  <c r="F61" i="253"/>
  <c r="B136" s="1"/>
  <c r="F141" i="255"/>
  <c r="M152" i="178"/>
  <c r="C69" i="179" s="1"/>
  <c r="M151" i="178"/>
  <c r="C36" i="179" s="1"/>
  <c r="N36" s="1"/>
  <c r="M153" i="178"/>
  <c r="C71" i="179" s="1"/>
  <c r="J60" i="253"/>
  <c r="J140" i="255"/>
  <c r="I970" i="65"/>
  <c r="I277"/>
  <c r="I160" i="59"/>
  <c r="I1040" i="65"/>
  <c r="I935"/>
  <c r="I858" i="59"/>
  <c r="I104" i="65"/>
  <c r="I111" s="1"/>
  <c r="I36" i="66" s="1"/>
  <c r="I15" i="65"/>
  <c r="I22" s="1"/>
  <c r="I31" i="66" s="1"/>
  <c r="I249" i="65"/>
  <c r="I659" i="59"/>
  <c r="I668" s="1"/>
  <c r="I71" i="60" s="1"/>
  <c r="I788" i="59"/>
  <c r="I193" i="65"/>
  <c r="I40" i="80"/>
  <c r="I15" i="59"/>
  <c r="I22" s="1"/>
  <c r="I46" i="60" s="1"/>
  <c r="I132" i="59"/>
  <c r="I1005" i="65"/>
  <c r="I188" i="59"/>
  <c r="I748" i="65"/>
  <c r="I757" s="1"/>
  <c r="I61" i="66" s="1"/>
  <c r="I104" i="59"/>
  <c r="I41" i="63"/>
  <c r="I841" i="65"/>
  <c r="I850" s="1"/>
  <c r="I66" i="66" s="1"/>
  <c r="I823" i="59"/>
  <c r="I40" i="64"/>
  <c r="I221" i="65"/>
  <c r="I753" i="59"/>
  <c r="N151" i="178"/>
  <c r="N153"/>
  <c r="N152"/>
  <c r="J35" i="253"/>
  <c r="J115" i="255"/>
  <c r="J117"/>
  <c r="C240" i="179"/>
  <c r="G240" s="1"/>
  <c r="L222"/>
  <c r="M222" s="1"/>
  <c r="F116" i="255"/>
  <c r="F36" i="253"/>
  <c r="B111" s="1"/>
  <c r="D225" i="179"/>
  <c r="L154"/>
  <c r="K154"/>
  <c r="C189"/>
  <c r="J66"/>
  <c r="L66" s="1"/>
  <c r="G64"/>
  <c r="H64" s="1"/>
  <c r="I64" s="1"/>
  <c r="J64" s="1"/>
  <c r="L64" s="1"/>
  <c r="M66"/>
  <c r="J73" i="11"/>
  <c r="I39" i="29" s="1"/>
  <c r="F50" i="184"/>
  <c r="N50" s="1"/>
  <c r="G39" i="29"/>
  <c r="F168" i="179"/>
  <c r="H168" s="1"/>
  <c r="D186" s="1"/>
  <c r="E186" s="1"/>
  <c r="C204"/>
  <c r="G204" s="1"/>
  <c r="N204" s="1"/>
  <c r="I40" i="15"/>
  <c r="I48" s="1"/>
  <c r="I46"/>
  <c r="C225" i="179"/>
  <c r="C171"/>
  <c r="F135" i="253"/>
  <c r="D79" i="250"/>
  <c r="J59" i="179"/>
  <c r="L59" s="1"/>
  <c r="N117" i="255"/>
  <c r="N118"/>
  <c r="N143"/>
  <c r="M141"/>
  <c r="M115"/>
  <c r="M116"/>
  <c r="N115"/>
  <c r="N141"/>
  <c r="N142"/>
  <c r="N140"/>
  <c r="N116"/>
  <c r="M118"/>
  <c r="M142"/>
  <c r="M117"/>
  <c r="M143"/>
  <c r="M140"/>
  <c r="J116" l="1"/>
  <c r="J75" i="11"/>
  <c r="I40" i="29" s="1"/>
  <c r="J61" i="253"/>
  <c r="F110"/>
  <c r="D78" i="250"/>
  <c r="J38" i="253"/>
  <c r="J118" i="255"/>
  <c r="G38" i="29"/>
  <c r="J71" i="11"/>
  <c r="I38" i="29" s="1"/>
  <c r="F49" i="184"/>
  <c r="N49" s="1"/>
  <c r="J143" i="255"/>
  <c r="I34" i="24"/>
  <c r="I36" s="1"/>
  <c r="I73" s="1"/>
  <c r="J68" i="29" s="1"/>
  <c r="G40"/>
  <c r="M37" i="253"/>
  <c r="O37" s="1"/>
  <c r="P135"/>
  <c r="Q135" s="1"/>
  <c r="R135" s="1"/>
  <c r="F136"/>
  <c r="F171" i="179"/>
  <c r="H171" s="1"/>
  <c r="D189" s="1"/>
  <c r="E189" s="1"/>
  <c r="C207"/>
  <c r="G207" s="1"/>
  <c r="N207" s="1"/>
  <c r="L225"/>
  <c r="M225" s="1"/>
  <c r="C243"/>
  <c r="G243" s="1"/>
  <c r="D111" i="253"/>
  <c r="M36"/>
  <c r="O36" s="1"/>
  <c r="P36" s="1"/>
  <c r="I51" i="15"/>
  <c r="H5" i="184"/>
  <c r="H7"/>
  <c r="I53" i="15"/>
  <c r="I186" i="179"/>
  <c r="P186" s="1"/>
  <c r="Q186"/>
  <c r="T28" s="1"/>
  <c r="V28" s="1"/>
  <c r="Y28" s="1"/>
  <c r="G914" i="65"/>
  <c r="G923" s="1"/>
  <c r="G69" i="66" s="1"/>
  <c r="Q69" s="1"/>
  <c r="H46" i="160" s="1"/>
  <c r="R46" s="1"/>
  <c r="D84" i="159" s="1"/>
  <c r="E84" s="1"/>
  <c r="G38" i="80"/>
  <c r="G38" i="64"/>
  <c r="G39" i="63"/>
  <c r="G85" i="65"/>
  <c r="G92" s="1"/>
  <c r="G34" i="66" s="1"/>
  <c r="Q34" s="1"/>
  <c r="H11" i="160" s="1"/>
  <c r="R11" s="1"/>
  <c r="D49" i="159" s="1"/>
  <c r="E49" s="1"/>
  <c r="G174" i="65"/>
  <c r="G181" s="1"/>
  <c r="G39" i="66" s="1"/>
  <c r="Q39" s="1"/>
  <c r="H16" i="160" s="1"/>
  <c r="R16" s="1"/>
  <c r="D54" i="159" s="1"/>
  <c r="E54" s="1"/>
  <c r="G821" i="65"/>
  <c r="G830" s="1"/>
  <c r="G64" i="66" s="1"/>
  <c r="Q64" s="1"/>
  <c r="H41" i="160" s="1"/>
  <c r="R41" s="1"/>
  <c r="D79" i="159" s="1"/>
  <c r="E79" s="1"/>
  <c r="G136" i="81"/>
  <c r="G145" s="1"/>
  <c r="G34" i="82" s="1"/>
  <c r="R34" s="1"/>
  <c r="J12" i="163" s="1"/>
  <c r="T12" s="1"/>
  <c r="E59" i="164" s="1"/>
  <c r="G732" i="59"/>
  <c r="G741" s="1"/>
  <c r="G74" i="60" s="1"/>
  <c r="S74" s="1"/>
  <c r="G88" i="81"/>
  <c r="G95" s="1"/>
  <c r="G32" i="82" s="1"/>
  <c r="R32" s="1"/>
  <c r="J10" i="163" s="1"/>
  <c r="T10" s="1"/>
  <c r="E57" i="164" s="1"/>
  <c r="G85" i="59"/>
  <c r="G92" s="1"/>
  <c r="G49" i="60" s="1"/>
  <c r="S49" s="1"/>
  <c r="G36" i="185"/>
  <c r="S50" i="184"/>
  <c r="I36" i="185" s="1"/>
  <c r="I88" i="81"/>
  <c r="I95" s="1"/>
  <c r="I32" i="82" s="1"/>
  <c r="I39" i="63"/>
  <c r="I38" i="64"/>
  <c r="I38" i="80"/>
  <c r="I732" i="59"/>
  <c r="I741" s="1"/>
  <c r="I74" i="60" s="1"/>
  <c r="I821" i="65"/>
  <c r="I830" s="1"/>
  <c r="I64" i="66" s="1"/>
  <c r="I85" i="65"/>
  <c r="I92" s="1"/>
  <c r="I34" i="66" s="1"/>
  <c r="I136" i="81"/>
  <c r="I145" s="1"/>
  <c r="I34" i="82" s="1"/>
  <c r="I914" i="65"/>
  <c r="I923" s="1"/>
  <c r="I69" i="66" s="1"/>
  <c r="I174" i="65"/>
  <c r="I181" s="1"/>
  <c r="I39" i="66" s="1"/>
  <c r="I85" i="59"/>
  <c r="I92" s="1"/>
  <c r="I49" i="60" s="1"/>
  <c r="O66" i="179"/>
  <c r="I118"/>
  <c r="N118" s="1"/>
  <c r="O118" s="1"/>
  <c r="P118" s="1"/>
  <c r="K111" i="253"/>
  <c r="S111"/>
  <c r="K116" i="255"/>
  <c r="N240" i="179"/>
  <c r="O28" s="1"/>
  <c r="P28" s="1"/>
  <c r="Q28" s="1"/>
  <c r="L240"/>
  <c r="D138" i="253"/>
  <c r="M63"/>
  <c r="O63" s="1"/>
  <c r="F73" i="24"/>
  <c r="D110" i="253"/>
  <c r="M35"/>
  <c r="O35" s="1"/>
  <c r="P35" s="1"/>
  <c r="G35" i="185"/>
  <c r="S49" i="184"/>
  <c r="I35" i="185" s="1"/>
  <c r="I889" i="65"/>
  <c r="I898" s="1"/>
  <c r="I68" i="66" s="1"/>
  <c r="I796" i="65"/>
  <c r="I805" s="1"/>
  <c r="I63" i="66" s="1"/>
  <c r="I150" i="65"/>
  <c r="I157" s="1"/>
  <c r="I38" i="66" s="1"/>
  <c r="I64" i="81"/>
  <c r="I71" s="1"/>
  <c r="I31" i="82" s="1"/>
  <c r="I61" i="59"/>
  <c r="I68" s="1"/>
  <c r="I48" i="60" s="1"/>
  <c r="I38" i="63"/>
  <c r="I707" i="59"/>
  <c r="I716" s="1"/>
  <c r="I73" i="60" s="1"/>
  <c r="I111" i="81"/>
  <c r="I120" s="1"/>
  <c r="I33" i="82" s="1"/>
  <c r="I37" i="80"/>
  <c r="I37" i="64"/>
  <c r="I61" i="65"/>
  <c r="I68" s="1"/>
  <c r="I33" i="66" s="1"/>
  <c r="G64" i="81"/>
  <c r="G71" s="1"/>
  <c r="G31" i="82" s="1"/>
  <c r="R31" s="1"/>
  <c r="J9" i="163" s="1"/>
  <c r="T9" s="1"/>
  <c r="E56" i="164" s="1"/>
  <c r="G707" i="59"/>
  <c r="G716" s="1"/>
  <c r="G73" i="60" s="1"/>
  <c r="S73" s="1"/>
  <c r="G61" i="65"/>
  <c r="G68" s="1"/>
  <c r="G33" i="66" s="1"/>
  <c r="Q33" s="1"/>
  <c r="H10" i="160" s="1"/>
  <c r="R10" s="1"/>
  <c r="D48" i="159" s="1"/>
  <c r="E48" s="1"/>
  <c r="G889" i="65"/>
  <c r="G898" s="1"/>
  <c r="G68" i="66" s="1"/>
  <c r="Q68" s="1"/>
  <c r="H45" i="160" s="1"/>
  <c r="R45" s="1"/>
  <c r="D83" i="159" s="1"/>
  <c r="E83" s="1"/>
  <c r="G61" i="59"/>
  <c r="G68" s="1"/>
  <c r="G48" i="60" s="1"/>
  <c r="S48" s="1"/>
  <c r="G37" i="64"/>
  <c r="G111" i="81"/>
  <c r="G120" s="1"/>
  <c r="G33" i="82" s="1"/>
  <c r="R33" s="1"/>
  <c r="J11" i="163" s="1"/>
  <c r="T11" s="1"/>
  <c r="E58" i="164" s="1"/>
  <c r="G37" i="80"/>
  <c r="G796" i="65"/>
  <c r="G805" s="1"/>
  <c r="G63" i="66" s="1"/>
  <c r="Q63" s="1"/>
  <c r="H40" i="160" s="1"/>
  <c r="R40" s="1"/>
  <c r="D78" i="159" s="1"/>
  <c r="E78" s="1"/>
  <c r="G38" i="63"/>
  <c r="G150" i="65"/>
  <c r="G157" s="1"/>
  <c r="G38" i="66" s="1"/>
  <c r="Q38" s="1"/>
  <c r="H15" i="160" s="1"/>
  <c r="R15" s="1"/>
  <c r="D53" i="159" s="1"/>
  <c r="E53" s="1"/>
  <c r="C174" i="179"/>
  <c r="C228"/>
  <c r="G1118" i="65"/>
  <c r="G341"/>
  <c r="G318" i="59"/>
  <c r="G37"/>
  <c r="G44" s="1"/>
  <c r="G47" i="60" s="1"/>
  <c r="S47" s="1"/>
  <c r="G40" i="63"/>
  <c r="G771" i="65"/>
  <c r="G780" s="1"/>
  <c r="G62" i="66" s="1"/>
  <c r="Q62" s="1"/>
  <c r="H39" i="160" s="1"/>
  <c r="R39" s="1"/>
  <c r="D77" i="159" s="1"/>
  <c r="E77" s="1"/>
  <c r="G1158" i="65"/>
  <c r="G407"/>
  <c r="G936" i="59"/>
  <c r="G864" i="65"/>
  <c r="G873" s="1"/>
  <c r="G67" i="66" s="1"/>
  <c r="Q67" s="1"/>
  <c r="H44" i="160" s="1"/>
  <c r="R44" s="1"/>
  <c r="D82" i="159" s="1"/>
  <c r="E82" s="1"/>
  <c r="G374" i="65"/>
  <c r="G682" i="59"/>
  <c r="G691" s="1"/>
  <c r="G72" i="60" s="1"/>
  <c r="S72" s="1"/>
  <c r="G896" i="59"/>
  <c r="G308" i="65"/>
  <c r="G976" i="59"/>
  <c r="G1016"/>
  <c r="G126" i="65"/>
  <c r="G133" s="1"/>
  <c r="G37" i="66" s="1"/>
  <c r="Q37" s="1"/>
  <c r="H14" i="160" s="1"/>
  <c r="R14" s="1"/>
  <c r="D52" i="159" s="1"/>
  <c r="E52" s="1"/>
  <c r="G37" i="65"/>
  <c r="G44" s="1"/>
  <c r="G32" i="66" s="1"/>
  <c r="Q32" s="1"/>
  <c r="H9" i="160" s="1"/>
  <c r="R9" s="1"/>
  <c r="D47" i="159" s="1"/>
  <c r="E47" s="1"/>
  <c r="G39" i="64"/>
  <c r="G219" i="59"/>
  <c r="G39" i="81"/>
  <c r="G47" s="1"/>
  <c r="G29" i="82" s="1"/>
  <c r="R29" s="1"/>
  <c r="J7" i="163" s="1"/>
  <c r="T7" s="1"/>
  <c r="E54" i="164" s="1"/>
  <c r="G39" i="80"/>
  <c r="G18" i="81"/>
  <c r="G25" s="1"/>
  <c r="G28" i="82" s="1"/>
  <c r="R28" s="1"/>
  <c r="J6" i="163" s="1"/>
  <c r="T6" s="1"/>
  <c r="E53" i="164" s="1"/>
  <c r="G1198" i="65"/>
  <c r="G285" i="59"/>
  <c r="G252"/>
  <c r="G1078" i="65"/>
  <c r="G37" i="185"/>
  <c r="S51" i="184"/>
  <c r="I37" i="185" s="1"/>
  <c r="I39" i="80"/>
  <c r="I1118" i="65"/>
  <c r="I18" i="81"/>
  <c r="I25" s="1"/>
  <c r="I28" i="82" s="1"/>
  <c r="I37" i="59"/>
  <c r="I44" s="1"/>
  <c r="I47" i="60" s="1"/>
  <c r="I864" i="65"/>
  <c r="I873" s="1"/>
  <c r="I67" i="66" s="1"/>
  <c r="I407" i="65"/>
  <c r="I771"/>
  <c r="I780" s="1"/>
  <c r="I62" i="66" s="1"/>
  <c r="I374" i="65"/>
  <c r="I39" i="81"/>
  <c r="I47" s="1"/>
  <c r="I29" i="82" s="1"/>
  <c r="I308" i="65"/>
  <c r="I39" i="64"/>
  <c r="I682" i="59"/>
  <c r="I691" s="1"/>
  <c r="I72" i="60" s="1"/>
  <c r="I252" i="59"/>
  <c r="I341" i="65"/>
  <c r="I1198"/>
  <c r="I285" i="59"/>
  <c r="I1016"/>
  <c r="I40" i="63"/>
  <c r="I1158" i="65"/>
  <c r="I126"/>
  <c r="I133" s="1"/>
  <c r="I37" i="66" s="1"/>
  <c r="I976" i="59"/>
  <c r="I219"/>
  <c r="I936"/>
  <c r="I1078" i="65"/>
  <c r="I37"/>
  <c r="I44" s="1"/>
  <c r="I32" i="66" s="1"/>
  <c r="I896" i="59"/>
  <c r="I318"/>
  <c r="M66" i="66"/>
  <c r="D43" i="160" s="1"/>
  <c r="L66" i="66"/>
  <c r="C43" i="160" s="1"/>
  <c r="N66" i="66"/>
  <c r="E43" i="160" s="1"/>
  <c r="P66" i="66"/>
  <c r="G43" i="160" s="1"/>
  <c r="O66" i="66"/>
  <c r="F43" i="160" s="1"/>
  <c r="K66" i="66"/>
  <c r="B43" i="160" s="1"/>
  <c r="M61" i="66"/>
  <c r="D38" i="160" s="1"/>
  <c r="O61" i="66"/>
  <c r="F38" i="160" s="1"/>
  <c r="N61" i="66"/>
  <c r="E38" i="160" s="1"/>
  <c r="P61" i="66"/>
  <c r="G38" i="160" s="1"/>
  <c r="L61" i="66"/>
  <c r="C38" i="160" s="1"/>
  <c r="K61" i="66"/>
  <c r="B38" i="160" s="1"/>
  <c r="L46" i="60"/>
  <c r="N46"/>
  <c r="M46"/>
  <c r="O46"/>
  <c r="K46"/>
  <c r="P46"/>
  <c r="K71"/>
  <c r="M71"/>
  <c r="O71"/>
  <c r="L71"/>
  <c r="N71"/>
  <c r="P71"/>
  <c r="P31" i="66"/>
  <c r="G8" i="160" s="1"/>
  <c r="O31" i="66"/>
  <c r="F8" i="160" s="1"/>
  <c r="N31" i="66"/>
  <c r="E8" i="160" s="1"/>
  <c r="M31" i="66"/>
  <c r="D8" i="160" s="1"/>
  <c r="L31" i="66"/>
  <c r="C8" i="160" s="1"/>
  <c r="K31" i="66"/>
  <c r="B8" i="160" s="1"/>
  <c r="N36" i="66"/>
  <c r="E13" i="160" s="1"/>
  <c r="P36" i="66"/>
  <c r="G13" i="160" s="1"/>
  <c r="L36" i="66"/>
  <c r="C13" i="160" s="1"/>
  <c r="M36" i="66"/>
  <c r="D13" i="160" s="1"/>
  <c r="K36" i="66"/>
  <c r="B13" i="160" s="1"/>
  <c r="O36" i="66"/>
  <c r="F13" i="160" s="1"/>
  <c r="M60" i="253"/>
  <c r="O60" s="1"/>
  <c r="D135"/>
  <c r="M71" i="179"/>
  <c r="J71"/>
  <c r="L71" s="1"/>
  <c r="G69"/>
  <c r="H69" s="1"/>
  <c r="I69" s="1"/>
  <c r="M69" s="1"/>
  <c r="O69" s="1"/>
  <c r="K141" i="255"/>
  <c r="S136" i="253"/>
  <c r="K136"/>
  <c r="P110"/>
  <c r="Q110" s="1"/>
  <c r="R110" s="1"/>
  <c r="F111"/>
  <c r="C192" i="179"/>
  <c r="D228"/>
  <c r="L157"/>
  <c r="K157"/>
  <c r="K110" i="253"/>
  <c r="S110"/>
  <c r="K115" i="255"/>
  <c r="S135" i="253"/>
  <c r="K135"/>
  <c r="K140" i="255"/>
  <c r="F63" i="24"/>
  <c r="G36"/>
  <c r="I63" s="1"/>
  <c r="J67" i="29" s="1"/>
  <c r="G24" i="28"/>
  <c r="G27" s="1"/>
  <c r="J24"/>
  <c r="J27" s="1"/>
  <c r="G34" i="26"/>
  <c r="G40"/>
  <c r="J40"/>
  <c r="J34"/>
  <c r="F64" i="169"/>
  <c r="G71" s="1"/>
  <c r="R8" i="160"/>
  <c r="D46" i="159" s="1"/>
  <c r="E46" s="1"/>
  <c r="D136" i="253"/>
  <c r="M61"/>
  <c r="O61" s="1"/>
  <c r="I794" i="187"/>
  <c r="I99"/>
  <c r="I732"/>
  <c r="I126"/>
  <c r="I14"/>
  <c r="I21" s="1"/>
  <c r="I29" i="251" s="1"/>
  <c r="I38" i="186"/>
  <c r="I38" i="192"/>
  <c r="I825" i="187"/>
  <c r="I763"/>
  <c r="I180"/>
  <c r="I639"/>
  <c r="I648" s="1"/>
  <c r="I54" i="251" s="1"/>
  <c r="I153" i="187"/>
  <c r="G639"/>
  <c r="G648" s="1"/>
  <c r="G54" i="251" s="1"/>
  <c r="G38" i="192"/>
  <c r="G153" i="187"/>
  <c r="G825"/>
  <c r="G732"/>
  <c r="G180"/>
  <c r="G126"/>
  <c r="G794"/>
  <c r="G99"/>
  <c r="G763"/>
  <c r="G14"/>
  <c r="G21" s="1"/>
  <c r="G29" i="251" s="1"/>
  <c r="G38" i="186"/>
  <c r="S113" i="253"/>
  <c r="K113"/>
  <c r="K118" i="255"/>
  <c r="D113" i="253"/>
  <c r="M38"/>
  <c r="O38" s="1"/>
  <c r="K117" i="255"/>
  <c r="K112" i="253"/>
  <c r="S112"/>
  <c r="B137"/>
  <c r="M62"/>
  <c r="O62" s="1"/>
  <c r="K142" i="255"/>
  <c r="S138" i="253"/>
  <c r="K138"/>
  <c r="K143" i="255"/>
  <c r="M64" i="179"/>
  <c r="O64" s="1"/>
  <c r="L141" i="255"/>
  <c r="L117"/>
  <c r="L140"/>
  <c r="L142"/>
  <c r="L143"/>
  <c r="L116"/>
  <c r="L115"/>
  <c r="L118"/>
  <c r="N32" i="60" l="1"/>
  <c r="I42" i="161" s="1"/>
  <c r="I45" s="1"/>
  <c r="I49" s="1"/>
  <c r="N8" i="160"/>
  <c r="N13"/>
  <c r="O75"/>
  <c r="N23" i="60"/>
  <c r="G42" i="161" s="1"/>
  <c r="G45" s="1"/>
  <c r="G49" s="1"/>
  <c r="K8" i="160"/>
  <c r="K43"/>
  <c r="K38"/>
  <c r="N43"/>
  <c r="T110" i="253"/>
  <c r="U110" s="1"/>
  <c r="K13" i="160"/>
  <c r="N38"/>
  <c r="T135" i="253"/>
  <c r="U135" s="1"/>
  <c r="J603" i="65"/>
  <c r="J642"/>
  <c r="J1386" i="59"/>
  <c r="J1205"/>
  <c r="J358"/>
  <c r="J436"/>
  <c r="J257"/>
  <c r="J66" i="80"/>
  <c r="J1433" i="65"/>
  <c r="J1341" i="59"/>
  <c r="J1296"/>
  <c r="J905"/>
  <c r="J323"/>
  <c r="J1525" i="65"/>
  <c r="J1249"/>
  <c r="J447"/>
  <c r="J1159" i="59"/>
  <c r="J631"/>
  <c r="J553"/>
  <c r="J1251"/>
  <c r="J1067"/>
  <c r="J1341" i="65"/>
  <c r="J1127"/>
  <c r="J486"/>
  <c r="J1025" i="59"/>
  <c r="J475"/>
  <c r="J397"/>
  <c r="J945"/>
  <c r="J1207" i="65"/>
  <c r="J1479"/>
  <c r="J412"/>
  <c r="J564"/>
  <c r="J224" i="59"/>
  <c r="J290"/>
  <c r="J66" i="64"/>
  <c r="J592" i="59"/>
  <c r="J1571" i="65"/>
  <c r="J1295"/>
  <c r="J681"/>
  <c r="J67" i="63"/>
  <c r="J1387" i="65"/>
  <c r="J1167"/>
  <c r="J379"/>
  <c r="J525"/>
  <c r="J1113" i="59"/>
  <c r="J985"/>
  <c r="J346" i="65"/>
  <c r="J1087"/>
  <c r="J720"/>
  <c r="J313"/>
  <c r="J514" i="59"/>
  <c r="H67" i="29"/>
  <c r="G76" i="184"/>
  <c r="O76" s="1"/>
  <c r="I121" i="179"/>
  <c r="N121" s="1"/>
  <c r="O121" s="1"/>
  <c r="P121" s="1"/>
  <c r="O71"/>
  <c r="L228"/>
  <c r="M228" s="1"/>
  <c r="C246"/>
  <c r="G246" s="1"/>
  <c r="F174"/>
  <c r="H174" s="1"/>
  <c r="D192" s="1"/>
  <c r="E192" s="1"/>
  <c r="C210"/>
  <c r="G210" s="1"/>
  <c r="N210" s="1"/>
  <c r="J1049" i="65"/>
  <c r="J1526"/>
  <c r="J682"/>
  <c r="J526"/>
  <c r="J1252" i="59"/>
  <c r="J762"/>
  <c r="J1160"/>
  <c r="J632"/>
  <c r="J67" i="80"/>
  <c r="J1014" i="65"/>
  <c r="J1342"/>
  <c r="J380"/>
  <c r="J347"/>
  <c r="J1114" i="59"/>
  <c r="J193"/>
  <c r="J1068"/>
  <c r="J476"/>
  <c r="J1572" i="65"/>
  <c r="J979"/>
  <c r="J1208"/>
  <c r="J314"/>
  <c r="J282"/>
  <c r="J515" i="59"/>
  <c r="J165"/>
  <c r="J986"/>
  <c r="J225"/>
  <c r="J1388" i="65"/>
  <c r="J944"/>
  <c r="J67" i="64"/>
  <c r="J1387" i="59"/>
  <c r="J254" i="65"/>
  <c r="J359" i="59"/>
  <c r="J137"/>
  <c r="J1026"/>
  <c r="J68" i="63"/>
  <c r="J1088" i="65"/>
  <c r="J643"/>
  <c r="J487"/>
  <c r="J1297" i="59"/>
  <c r="J226" i="65"/>
  <c r="J258" i="59"/>
  <c r="J109"/>
  <c r="J593"/>
  <c r="J1434" i="65"/>
  <c r="J1480"/>
  <c r="J448"/>
  <c r="J565"/>
  <c r="J198"/>
  <c r="J867" i="59"/>
  <c r="J554"/>
  <c r="J437"/>
  <c r="J1250" i="65"/>
  <c r="J1296"/>
  <c r="J413"/>
  <c r="J1206" i="59"/>
  <c r="J721" i="65"/>
  <c r="J832" i="59"/>
  <c r="J398"/>
  <c r="J324"/>
  <c r="J1128" i="65"/>
  <c r="J1168"/>
  <c r="J604"/>
  <c r="J906" i="59"/>
  <c r="J1342"/>
  <c r="J797"/>
  <c r="J291"/>
  <c r="J946"/>
  <c r="G77" i="184"/>
  <c r="O77" s="1"/>
  <c r="H68" i="29"/>
  <c r="L243" i="179"/>
  <c r="N243"/>
  <c r="O32" s="1"/>
  <c r="P32" s="1"/>
  <c r="Q32" s="1"/>
  <c r="Q189"/>
  <c r="T32" s="1"/>
  <c r="V32" s="1"/>
  <c r="Y32" s="1"/>
  <c r="I189"/>
  <c r="P189" s="1"/>
  <c r="K137" i="253"/>
  <c r="S137"/>
  <c r="G35"/>
  <c r="G115" i="255"/>
  <c r="G140"/>
  <c r="G60" i="253"/>
  <c r="I140" i="255"/>
  <c r="O140" s="1"/>
  <c r="P140" s="1"/>
  <c r="I60" i="253"/>
  <c r="I115" i="255"/>
  <c r="O115" s="1"/>
  <c r="P115" s="1"/>
  <c r="I35" i="253"/>
  <c r="F69" i="169"/>
  <c r="J83" i="29" s="1"/>
  <c r="H83"/>
  <c r="J36" i="26"/>
  <c r="P68" s="1"/>
  <c r="J73" i="29" s="1"/>
  <c r="M68" i="26"/>
  <c r="M80"/>
  <c r="J42"/>
  <c r="P80" s="1"/>
  <c r="J76" i="29" s="1"/>
  <c r="G42" i="26"/>
  <c r="I80" s="1"/>
  <c r="J75" i="29" s="1"/>
  <c r="F80" i="26"/>
  <c r="F68"/>
  <c r="G36"/>
  <c r="I68" s="1"/>
  <c r="J72" i="29" s="1"/>
  <c r="F57" i="28"/>
  <c r="H81" i="29" s="1"/>
  <c r="J29" i="28"/>
  <c r="H57" s="1"/>
  <c r="J81" i="29" s="1"/>
  <c r="F47" i="28"/>
  <c r="G29"/>
  <c r="H47" s="1"/>
  <c r="P111" i="253"/>
  <c r="Q111" s="1"/>
  <c r="R111" s="1"/>
  <c r="T111" s="1"/>
  <c r="U111" s="1"/>
  <c r="F112"/>
  <c r="P13" i="160"/>
  <c r="B51" i="159" s="1"/>
  <c r="Q13" i="160"/>
  <c r="C51" i="159" s="1"/>
  <c r="M13" i="160"/>
  <c r="J13"/>
  <c r="M8"/>
  <c r="J8"/>
  <c r="Q8"/>
  <c r="C46" i="159" s="1"/>
  <c r="P8" i="160"/>
  <c r="B46" i="159" s="1"/>
  <c r="M38" i="160"/>
  <c r="J38"/>
  <c r="Q38"/>
  <c r="C76" i="159" s="1"/>
  <c r="P38" i="160"/>
  <c r="B76" i="159" s="1"/>
  <c r="M43" i="160"/>
  <c r="J43"/>
  <c r="Q43"/>
  <c r="C81" i="159" s="1"/>
  <c r="P43" i="160"/>
  <c r="B81" i="159" s="1"/>
  <c r="O32" i="66"/>
  <c r="F9" i="160" s="1"/>
  <c r="P32" i="66"/>
  <c r="G9" i="160" s="1"/>
  <c r="M32" i="66"/>
  <c r="D9" i="160" s="1"/>
  <c r="N32" i="66"/>
  <c r="E9" i="160" s="1"/>
  <c r="L32" i="66"/>
  <c r="C9" i="160" s="1"/>
  <c r="K32" i="66"/>
  <c r="B9" i="160" s="1"/>
  <c r="O37" i="66"/>
  <c r="F14" i="160" s="1"/>
  <c r="P37" i="66"/>
  <c r="G14" i="160" s="1"/>
  <c r="N37" i="66"/>
  <c r="E14" i="160" s="1"/>
  <c r="L37" i="66"/>
  <c r="C14" i="160" s="1"/>
  <c r="M37" i="66"/>
  <c r="D14" i="160" s="1"/>
  <c r="K37" i="66"/>
  <c r="B14" i="160" s="1"/>
  <c r="P72" i="60"/>
  <c r="O72"/>
  <c r="K72"/>
  <c r="M72"/>
  <c r="L72"/>
  <c r="N72"/>
  <c r="O29" i="82"/>
  <c r="F7" i="163" s="1"/>
  <c r="P29" i="82"/>
  <c r="G7" i="163" s="1"/>
  <c r="N29" i="82"/>
  <c r="E7" i="163" s="1"/>
  <c r="L29" i="82"/>
  <c r="C7" i="163" s="1"/>
  <c r="M29" i="82"/>
  <c r="D7" i="163" s="1"/>
  <c r="K29" i="82"/>
  <c r="B7" i="163" s="1"/>
  <c r="K62" i="66"/>
  <c r="B39" i="160" s="1"/>
  <c r="O62" i="66"/>
  <c r="F39" i="160" s="1"/>
  <c r="N62" i="66"/>
  <c r="E39" i="160" s="1"/>
  <c r="M62" i="66"/>
  <c r="D39" i="160" s="1"/>
  <c r="L62" i="66"/>
  <c r="C39" i="160" s="1"/>
  <c r="P62" i="66"/>
  <c r="G39" i="160" s="1"/>
  <c r="M67" i="66"/>
  <c r="D44" i="160" s="1"/>
  <c r="L67" i="66"/>
  <c r="C44" i="160" s="1"/>
  <c r="O67" i="66"/>
  <c r="F44" i="160" s="1"/>
  <c r="K67" i="66"/>
  <c r="B44" i="160" s="1"/>
  <c r="N67" i="66"/>
  <c r="E44" i="160" s="1"/>
  <c r="P67" i="66"/>
  <c r="G44" i="160" s="1"/>
  <c r="O47" i="60"/>
  <c r="K47"/>
  <c r="L47"/>
  <c r="P47"/>
  <c r="N47"/>
  <c r="M47"/>
  <c r="N28" i="82"/>
  <c r="E6" i="163" s="1"/>
  <c r="P28" i="82"/>
  <c r="G6" i="163" s="1"/>
  <c r="O28" i="82"/>
  <c r="F6" i="163" s="1"/>
  <c r="M28" i="82"/>
  <c r="D6" i="163" s="1"/>
  <c r="L28" i="82"/>
  <c r="C6" i="163" s="1"/>
  <c r="K28" i="82"/>
  <c r="B6" i="163" s="1"/>
  <c r="I895" i="187"/>
  <c r="I17" i="189"/>
  <c r="I24" s="1"/>
  <c r="I25" i="190" s="1"/>
  <c r="I306" i="187"/>
  <c r="I859"/>
  <c r="I210"/>
  <c r="I242"/>
  <c r="I37" i="192"/>
  <c r="I35" i="187"/>
  <c r="I42" s="1"/>
  <c r="I30" i="251" s="1"/>
  <c r="I37" i="186"/>
  <c r="I931" i="187"/>
  <c r="I274"/>
  <c r="I38" i="189"/>
  <c r="I46" s="1"/>
  <c r="I26" i="190" s="1"/>
  <c r="I662" i="187"/>
  <c r="I671" s="1"/>
  <c r="I55" i="251" s="1"/>
  <c r="I967" i="187"/>
  <c r="G37" i="186"/>
  <c r="G210" i="187"/>
  <c r="G37" i="192"/>
  <c r="G35" i="187"/>
  <c r="G42" s="1"/>
  <c r="G30" i="251" s="1"/>
  <c r="G859" i="187"/>
  <c r="G242"/>
  <c r="G931"/>
  <c r="G274"/>
  <c r="G38" i="189"/>
  <c r="G46" s="1"/>
  <c r="G26" i="190" s="1"/>
  <c r="G662" i="187"/>
  <c r="G671" s="1"/>
  <c r="G55" i="251" s="1"/>
  <c r="G967" i="187"/>
  <c r="G17" i="189"/>
  <c r="G24" s="1"/>
  <c r="G25" i="190" s="1"/>
  <c r="G895" i="187"/>
  <c r="G306"/>
  <c r="E62" i="164"/>
  <c r="F53"/>
  <c r="F54"/>
  <c r="E63"/>
  <c r="E67"/>
  <c r="F58"/>
  <c r="F56"/>
  <c r="E65"/>
  <c r="N33" i="66"/>
  <c r="E10" i="160" s="1"/>
  <c r="P33" i="66"/>
  <c r="G10" i="160" s="1"/>
  <c r="M33" i="66"/>
  <c r="D10" i="160" s="1"/>
  <c r="O33" i="66"/>
  <c r="F10" i="160" s="1"/>
  <c r="K33" i="66"/>
  <c r="B10" i="160" s="1"/>
  <c r="L33" i="66"/>
  <c r="C10" i="160" s="1"/>
  <c r="O33" i="82"/>
  <c r="F11" i="163" s="1"/>
  <c r="M33" i="82"/>
  <c r="D11" i="163" s="1"/>
  <c r="L33" i="82"/>
  <c r="C11" i="163" s="1"/>
  <c r="N33" i="82"/>
  <c r="E11" i="163" s="1"/>
  <c r="K33" i="82"/>
  <c r="B11" i="163" s="1"/>
  <c r="P33" i="82"/>
  <c r="G11" i="163" s="1"/>
  <c r="M73" i="60"/>
  <c r="L73"/>
  <c r="K73"/>
  <c r="P73"/>
  <c r="O73"/>
  <c r="N73"/>
  <c r="N48"/>
  <c r="K48"/>
  <c r="O48"/>
  <c r="L48"/>
  <c r="P48"/>
  <c r="M48"/>
  <c r="L31" i="82"/>
  <c r="C9" i="163" s="1"/>
  <c r="O31" i="82"/>
  <c r="F9" i="163" s="1"/>
  <c r="N31" i="82"/>
  <c r="E9" i="163" s="1"/>
  <c r="K31" i="82"/>
  <c r="B9" i="163" s="1"/>
  <c r="M31" i="82"/>
  <c r="D9" i="163" s="1"/>
  <c r="P31" i="82"/>
  <c r="G9" i="163" s="1"/>
  <c r="K38" i="66"/>
  <c r="B15" i="160" s="1"/>
  <c r="L38" i="66"/>
  <c r="C15" i="160" s="1"/>
  <c r="N38" i="66"/>
  <c r="E15" i="160" s="1"/>
  <c r="M38" i="66"/>
  <c r="D15" i="160" s="1"/>
  <c r="P38" i="66"/>
  <c r="G15" i="160" s="1"/>
  <c r="O38" i="66"/>
  <c r="F15" i="160" s="1"/>
  <c r="P63" i="66"/>
  <c r="G40" i="160" s="1"/>
  <c r="O63" i="66"/>
  <c r="F40" i="160" s="1"/>
  <c r="K63" i="66"/>
  <c r="B40" i="160" s="1"/>
  <c r="N63" i="66"/>
  <c r="E40" i="160" s="1"/>
  <c r="M63" i="66"/>
  <c r="D40" i="160" s="1"/>
  <c r="N40" s="1"/>
  <c r="L63" i="66"/>
  <c r="C40" i="160" s="1"/>
  <c r="O68" i="66"/>
  <c r="F45" i="160" s="1"/>
  <c r="M68" i="66"/>
  <c r="D45" i="160" s="1"/>
  <c r="K68" i="66"/>
  <c r="B45" i="160" s="1"/>
  <c r="L68" i="66"/>
  <c r="C45" i="160" s="1"/>
  <c r="P68" i="66"/>
  <c r="G45" i="160" s="1"/>
  <c r="N68" i="66"/>
  <c r="E45" i="160" s="1"/>
  <c r="I108" i="189"/>
  <c r="I117" s="1"/>
  <c r="I30" i="190" s="1"/>
  <c r="C83" i="250" s="1"/>
  <c r="F83" s="1"/>
  <c r="G83" s="1"/>
  <c r="I687" i="187"/>
  <c r="I696" s="1"/>
  <c r="I56" i="251" s="1"/>
  <c r="I62" i="189"/>
  <c r="I69" s="1"/>
  <c r="I28" i="190" s="1"/>
  <c r="C81" i="250" s="1"/>
  <c r="I58" i="187"/>
  <c r="I65" s="1"/>
  <c r="I31" i="251" s="1"/>
  <c r="I35" i="192"/>
  <c r="I35" i="186"/>
  <c r="G687" i="187"/>
  <c r="G696" s="1"/>
  <c r="G56" i="251" s="1"/>
  <c r="G62" i="189"/>
  <c r="G69" s="1"/>
  <c r="G28" i="190" s="1"/>
  <c r="G108" i="189"/>
  <c r="G117" s="1"/>
  <c r="G30" i="190" s="1"/>
  <c r="G35" i="192"/>
  <c r="G35" i="186"/>
  <c r="G58" i="187"/>
  <c r="G65" s="1"/>
  <c r="G31" i="251" s="1"/>
  <c r="P49" i="60"/>
  <c r="O49"/>
  <c r="N49"/>
  <c r="M49"/>
  <c r="L49"/>
  <c r="K49"/>
  <c r="K39" i="66"/>
  <c r="B16" i="160" s="1"/>
  <c r="L39" i="66"/>
  <c r="C16" i="160" s="1"/>
  <c r="P39" i="66"/>
  <c r="G16" i="160" s="1"/>
  <c r="O39" i="66"/>
  <c r="F16" i="160" s="1"/>
  <c r="N39" i="66"/>
  <c r="E16" i="160" s="1"/>
  <c r="M39" i="66"/>
  <c r="D16" i="160" s="1"/>
  <c r="O69" i="66"/>
  <c r="F46" i="160" s="1"/>
  <c r="K69" i="66"/>
  <c r="B46" i="160" s="1"/>
  <c r="N69" i="66"/>
  <c r="E46" i="160" s="1"/>
  <c r="P69" i="66"/>
  <c r="G46" i="160" s="1"/>
  <c r="M69" i="66"/>
  <c r="D46" i="160" s="1"/>
  <c r="L69" i="66"/>
  <c r="C46" i="160" s="1"/>
  <c r="M34" i="82"/>
  <c r="D12" i="163" s="1"/>
  <c r="K34" i="82"/>
  <c r="B12" i="163" s="1"/>
  <c r="N34" i="82"/>
  <c r="E12" i="163" s="1"/>
  <c r="L34" i="82"/>
  <c r="C12" i="163" s="1"/>
  <c r="O34" i="82"/>
  <c r="F12" i="163" s="1"/>
  <c r="P34" i="82"/>
  <c r="G12" i="163" s="1"/>
  <c r="P34" i="66"/>
  <c r="G11" i="160" s="1"/>
  <c r="O34" i="66"/>
  <c r="F11" i="160" s="1"/>
  <c r="N34" i="66"/>
  <c r="E11" i="160" s="1"/>
  <c r="M34" i="66"/>
  <c r="D11" i="160" s="1"/>
  <c r="L34" i="66"/>
  <c r="C11" i="160" s="1"/>
  <c r="K34" i="66"/>
  <c r="B11" i="160" s="1"/>
  <c r="O64" i="66"/>
  <c r="F41" i="160" s="1"/>
  <c r="K64" i="66"/>
  <c r="B41" i="160" s="1"/>
  <c r="N64" i="66"/>
  <c r="E41" i="160" s="1"/>
  <c r="M64" i="66"/>
  <c r="D41" i="160" s="1"/>
  <c r="L64" i="66"/>
  <c r="C41" i="160" s="1"/>
  <c r="P64" i="66"/>
  <c r="G41" i="160" s="1"/>
  <c r="P74" i="60"/>
  <c r="O74"/>
  <c r="N74"/>
  <c r="K74"/>
  <c r="M74"/>
  <c r="L74"/>
  <c r="M32" i="82"/>
  <c r="D10" i="163" s="1"/>
  <c r="L32" i="82"/>
  <c r="C10" i="163" s="1"/>
  <c r="P32" i="82"/>
  <c r="G10" i="163" s="1"/>
  <c r="N32" i="82"/>
  <c r="E10" i="163" s="1"/>
  <c r="K32" i="82"/>
  <c r="B10" i="163" s="1"/>
  <c r="O32" i="82"/>
  <c r="F10" i="163" s="1"/>
  <c r="I712" i="187"/>
  <c r="I721" s="1"/>
  <c r="I57" i="251" s="1"/>
  <c r="I85" i="189"/>
  <c r="I92" s="1"/>
  <c r="I29" i="190" s="1"/>
  <c r="C82" i="250" s="1"/>
  <c r="F82" s="1"/>
  <c r="G82" s="1"/>
  <c r="I81" i="187"/>
  <c r="I88" s="1"/>
  <c r="I32" i="251" s="1"/>
  <c r="I36" i="186"/>
  <c r="I133" i="189"/>
  <c r="I142" s="1"/>
  <c r="I31" i="190" s="1"/>
  <c r="C84" i="250" s="1"/>
  <c r="F84" s="1"/>
  <c r="G84" s="1"/>
  <c r="I36" i="192"/>
  <c r="G85" i="189"/>
  <c r="G92" s="1"/>
  <c r="G29" i="190" s="1"/>
  <c r="G36" i="192"/>
  <c r="G712" i="187"/>
  <c r="G721" s="1"/>
  <c r="G57" i="251" s="1"/>
  <c r="G81" i="187"/>
  <c r="G88" s="1"/>
  <c r="G32" i="251" s="1"/>
  <c r="G133" i="189"/>
  <c r="G142" s="1"/>
  <c r="G31" i="190" s="1"/>
  <c r="G36" i="186"/>
  <c r="E66" i="164"/>
  <c r="F57"/>
  <c r="E68"/>
  <c r="F59"/>
  <c r="H4" i="28"/>
  <c r="J7" i="184"/>
  <c r="H5" i="26"/>
  <c r="G46" s="1"/>
  <c r="H4" i="24"/>
  <c r="G49" s="1"/>
  <c r="H2"/>
  <c r="G21" s="1"/>
  <c r="I25" s="1"/>
  <c r="J5" i="184"/>
  <c r="O90" s="1"/>
  <c r="F32" i="169"/>
  <c r="F33" s="1"/>
  <c r="F41" s="1"/>
  <c r="H3" i="26"/>
  <c r="F78" i="169"/>
  <c r="F79" s="1"/>
  <c r="F89" s="1"/>
  <c r="H2" i="28"/>
  <c r="P136" i="253"/>
  <c r="Q136" s="1"/>
  <c r="R136" s="1"/>
  <c r="T136" s="1"/>
  <c r="U136" s="1"/>
  <c r="F137"/>
  <c r="J69" i="179"/>
  <c r="L69" s="1"/>
  <c r="K11" i="160" l="1"/>
  <c r="K16"/>
  <c r="N11"/>
  <c r="N16"/>
  <c r="K9"/>
  <c r="M9" i="163"/>
  <c r="N10" i="160"/>
  <c r="M12" i="163"/>
  <c r="P11"/>
  <c r="N39" i="160"/>
  <c r="P12" i="163"/>
  <c r="K44" i="160"/>
  <c r="K39"/>
  <c r="N14"/>
  <c r="K10"/>
  <c r="N41"/>
  <c r="K41"/>
  <c r="N46"/>
  <c r="P9" i="163"/>
  <c r="K14" i="160"/>
  <c r="N62" i="184"/>
  <c r="P10" i="163"/>
  <c r="M6"/>
  <c r="K46" i="160"/>
  <c r="N44"/>
  <c r="P7" i="163"/>
  <c r="M10"/>
  <c r="N15" i="160"/>
  <c r="P6" i="163"/>
  <c r="N21" i="60"/>
  <c r="N22"/>
  <c r="N30"/>
  <c r="N31"/>
  <c r="N9" i="160"/>
  <c r="O74"/>
  <c r="O73"/>
  <c r="N45"/>
  <c r="M11" i="163"/>
  <c r="M7"/>
  <c r="K45" i="160"/>
  <c r="G49" i="169"/>
  <c r="F46"/>
  <c r="I63" i="29" s="1"/>
  <c r="G63"/>
  <c r="H1388" i="65"/>
  <c r="H1049"/>
  <c r="H682"/>
  <c r="H314"/>
  <c r="H254"/>
  <c r="H867" i="59"/>
  <c r="H398"/>
  <c r="H946"/>
  <c r="H643" i="65"/>
  <c r="H193" i="59"/>
  <c r="H1434" i="65"/>
  <c r="H165" i="59"/>
  <c r="H1088" i="65"/>
  <c r="H1014"/>
  <c r="H526"/>
  <c r="H1387" i="59"/>
  <c r="H226" i="65"/>
  <c r="H832" i="59"/>
  <c r="H291"/>
  <c r="H906"/>
  <c r="H1342" i="65"/>
  <c r="H515" i="59"/>
  <c r="H487" i="65"/>
  <c r="H67" i="80"/>
  <c r="H604" i="65"/>
  <c r="H979"/>
  <c r="H1342" i="59"/>
  <c r="H1297"/>
  <c r="H198" i="65"/>
  <c r="H797" i="59"/>
  <c r="H1068"/>
  <c r="H632"/>
  <c r="H762"/>
  <c r="H476"/>
  <c r="H67" i="64"/>
  <c r="H593" i="59"/>
  <c r="H1480" i="65"/>
  <c r="H437" i="59"/>
  <c r="H1526" i="65"/>
  <c r="H448"/>
  <c r="H944"/>
  <c r="H1252" i="59"/>
  <c r="H1160"/>
  <c r="H1114"/>
  <c r="H986"/>
  <c r="H347" i="65"/>
  <c r="H1026" i="59"/>
  <c r="H225"/>
  <c r="H1208" i="65"/>
  <c r="H359" i="59"/>
  <c r="H565" i="65"/>
  <c r="H721"/>
  <c r="H1250"/>
  <c r="H1296"/>
  <c r="H413"/>
  <c r="H1206" i="59"/>
  <c r="H258"/>
  <c r="H137"/>
  <c r="H324"/>
  <c r="H1168" i="65"/>
  <c r="H380"/>
  <c r="H282"/>
  <c r="H109" i="59"/>
  <c r="H554"/>
  <c r="H68" i="63"/>
  <c r="H1572" i="65"/>
  <c r="H1128"/>
  <c r="H63" i="185"/>
  <c r="T77" i="184"/>
  <c r="J63" i="185" s="1"/>
  <c r="Q192" i="179"/>
  <c r="T36" s="1"/>
  <c r="V36" s="1"/>
  <c r="Y36" s="1"/>
  <c r="I192"/>
  <c r="P192" s="1"/>
  <c r="L246"/>
  <c r="N246"/>
  <c r="O36" s="1"/>
  <c r="P36" s="1"/>
  <c r="Q36" s="1"/>
  <c r="T76" i="184"/>
  <c r="J62" i="185" s="1"/>
  <c r="H62"/>
  <c r="H681" i="65"/>
  <c r="H1087"/>
  <c r="H346"/>
  <c r="H1296" i="59"/>
  <c r="H475"/>
  <c r="H290"/>
  <c r="H1525" i="65"/>
  <c r="H603"/>
  <c r="H1205" i="59"/>
  <c r="H1159"/>
  <c r="H224"/>
  <c r="H1067"/>
  <c r="H1341" i="65"/>
  <c r="H1433"/>
  <c r="H447"/>
  <c r="H66" i="64"/>
  <c r="H514" i="59"/>
  <c r="H985"/>
  <c r="H436"/>
  <c r="H1207" i="65"/>
  <c r="H1249"/>
  <c r="H412"/>
  <c r="H1251" i="59"/>
  <c r="H358"/>
  <c r="H592"/>
  <c r="H66" i="80"/>
  <c r="H720" i="65"/>
  <c r="H1127"/>
  <c r="H1113" i="59"/>
  <c r="H945"/>
  <c r="H257"/>
  <c r="H1479" i="65"/>
  <c r="H564"/>
  <c r="H642"/>
  <c r="H379"/>
  <c r="H1341" i="59"/>
  <c r="H1025"/>
  <c r="H323"/>
  <c r="H1295" i="65"/>
  <c r="H1571"/>
  <c r="H486"/>
  <c r="H313"/>
  <c r="H905" i="59"/>
  <c r="H553"/>
  <c r="H67" i="63"/>
  <c r="H1167" i="65"/>
  <c r="H1387"/>
  <c r="H525"/>
  <c r="H1386" i="59"/>
  <c r="H631"/>
  <c r="H397"/>
  <c r="G16" i="28"/>
  <c r="G19" s="1"/>
  <c r="J16"/>
  <c r="J19" s="1"/>
  <c r="N72" i="184"/>
  <c r="F94" i="169"/>
  <c r="T90" i="184"/>
  <c r="J76" i="185" s="1"/>
  <c r="H76"/>
  <c r="I27" i="24"/>
  <c r="H71" s="1"/>
  <c r="I52" i="29" s="1"/>
  <c r="E71" i="24"/>
  <c r="I53"/>
  <c r="D75" s="1"/>
  <c r="G53"/>
  <c r="D65" s="1"/>
  <c r="G54"/>
  <c r="I65" s="1"/>
  <c r="G55"/>
  <c r="H65" s="1"/>
  <c r="I54"/>
  <c r="I75" s="1"/>
  <c r="I55"/>
  <c r="H75" s="1"/>
  <c r="J51" i="26"/>
  <c r="P70" s="1"/>
  <c r="G52"/>
  <c r="H70" s="1"/>
  <c r="G56"/>
  <c r="D82" s="1"/>
  <c r="G58"/>
  <c r="H82" s="1"/>
  <c r="J58"/>
  <c r="O82" s="1"/>
  <c r="G50"/>
  <c r="D70" s="1"/>
  <c r="J57"/>
  <c r="P82" s="1"/>
  <c r="G51"/>
  <c r="I70" s="1"/>
  <c r="J52"/>
  <c r="O70" s="1"/>
  <c r="J56"/>
  <c r="K82" s="1"/>
  <c r="J50"/>
  <c r="K70" s="1"/>
  <c r="G57"/>
  <c r="I82" s="1"/>
  <c r="J32" i="28"/>
  <c r="J35" s="1"/>
  <c r="G32"/>
  <c r="G35" s="1"/>
  <c r="G38" i="253"/>
  <c r="G118" i="255"/>
  <c r="G63" i="253"/>
  <c r="G143" i="255"/>
  <c r="I118"/>
  <c r="O118" s="1"/>
  <c r="P118" s="1"/>
  <c r="I38" i="253"/>
  <c r="I143" i="255"/>
  <c r="O143" s="1"/>
  <c r="P143" s="1"/>
  <c r="I63" i="253"/>
  <c r="F54" i="250"/>
  <c r="F81"/>
  <c r="G81" s="1"/>
  <c r="Q10" i="160"/>
  <c r="C48" i="159" s="1"/>
  <c r="P10" i="160"/>
  <c r="B48" i="159" s="1"/>
  <c r="M10" i="160"/>
  <c r="J10"/>
  <c r="H87" i="184"/>
  <c r="P87" s="1"/>
  <c r="S87" s="1"/>
  <c r="J78" i="29"/>
  <c r="G87" i="184"/>
  <c r="O87" s="1"/>
  <c r="H78" i="29"/>
  <c r="J1170" i="65"/>
  <c r="J1346"/>
  <c r="J1256" i="59"/>
  <c r="J869"/>
  <c r="J80" i="80"/>
  <c r="J1438" i="65"/>
  <c r="J1130"/>
  <c r="J1164" i="59"/>
  <c r="J834"/>
  <c r="J1051" i="65"/>
  <c r="J1254"/>
  <c r="J80" i="64"/>
  <c r="J1028" i="59"/>
  <c r="J799"/>
  <c r="J1016" i="65"/>
  <c r="J1210"/>
  <c r="J1391" i="59"/>
  <c r="J81" i="63"/>
  <c r="J764" i="59"/>
  <c r="J981" i="65"/>
  <c r="J1484"/>
  <c r="J1301" i="59"/>
  <c r="J948"/>
  <c r="J946" i="65"/>
  <c r="J1300"/>
  <c r="J1210" i="59"/>
  <c r="J1118"/>
  <c r="J1576" i="65"/>
  <c r="J1090"/>
  <c r="J988" i="59"/>
  <c r="J908"/>
  <c r="J1392" i="65"/>
  <c r="J1530"/>
  <c r="J1346" i="59"/>
  <c r="J1072"/>
  <c r="H1530" i="65"/>
  <c r="H1392"/>
  <c r="H1346" i="59"/>
  <c r="H1028"/>
  <c r="H799"/>
  <c r="H1346" i="65"/>
  <c r="H1170"/>
  <c r="H1256" i="59"/>
  <c r="H81" i="63"/>
  <c r="H764" i="59"/>
  <c r="H1130" i="65"/>
  <c r="H1438"/>
  <c r="H80" i="64"/>
  <c r="H948" i="59"/>
  <c r="H1051" i="65"/>
  <c r="H1254"/>
  <c r="H1391" i="59"/>
  <c r="H1118"/>
  <c r="H1016" i="65"/>
  <c r="H1210"/>
  <c r="H1301" i="59"/>
  <c r="H908"/>
  <c r="H981" i="65"/>
  <c r="H1484"/>
  <c r="H1164" i="59"/>
  <c r="H1072"/>
  <c r="H946" i="65"/>
  <c r="H1300"/>
  <c r="H1210" i="59"/>
  <c r="H869"/>
  <c r="H80" i="80"/>
  <c r="H1576" i="65"/>
  <c r="H1090"/>
  <c r="H988" i="59"/>
  <c r="H834"/>
  <c r="J1389" i="65"/>
  <c r="J1207" i="59"/>
  <c r="J488" i="65"/>
  <c r="J1161" i="59"/>
  <c r="J71" i="64"/>
  <c r="J438" i="59"/>
  <c r="J566" i="65"/>
  <c r="J477" i="59"/>
  <c r="J71" i="80"/>
  <c r="J527" i="65"/>
  <c r="J1115" i="59"/>
  <c r="J1251" i="65"/>
  <c r="J1069" i="59"/>
  <c r="J360"/>
  <c r="J1297" i="65"/>
  <c r="J449"/>
  <c r="J72" i="63"/>
  <c r="J1343" i="65"/>
  <c r="J399" i="59"/>
  <c r="G81" i="184"/>
  <c r="O81" s="1"/>
  <c r="H72" i="29"/>
  <c r="G84" i="184"/>
  <c r="O84" s="1"/>
  <c r="H75" i="29"/>
  <c r="J1527" i="65"/>
  <c r="J722"/>
  <c r="J1573"/>
  <c r="J74" i="64"/>
  <c r="J644" i="65"/>
  <c r="J555" i="59"/>
  <c r="J605" i="65"/>
  <c r="J75" i="63"/>
  <c r="J74" i="80"/>
  <c r="J1388" i="59"/>
  <c r="J594"/>
  <c r="J1435" i="65"/>
  <c r="J1298" i="59"/>
  <c r="J633"/>
  <c r="J1481" i="65"/>
  <c r="J1343" i="59"/>
  <c r="J516"/>
  <c r="J683" i="65"/>
  <c r="J1253" i="59"/>
  <c r="J1482" i="65"/>
  <c r="J75" i="64"/>
  <c r="J556" i="59"/>
  <c r="J1528" i="65"/>
  <c r="J645"/>
  <c r="J76" i="63"/>
  <c r="J723" i="65"/>
  <c r="J606"/>
  <c r="J1574"/>
  <c r="J1389" i="59"/>
  <c r="J1436" i="65"/>
  <c r="J1299" i="59"/>
  <c r="J684" i="65"/>
  <c r="J595" i="59"/>
  <c r="J1344"/>
  <c r="J634"/>
  <c r="J75" i="80"/>
  <c r="J1254" i="59"/>
  <c r="J517"/>
  <c r="G85" i="184"/>
  <c r="O85" s="1"/>
  <c r="H76" i="29"/>
  <c r="G82" i="184"/>
  <c r="O82" s="1"/>
  <c r="H73" i="29"/>
  <c r="J72" i="80"/>
  <c r="J450" i="65"/>
  <c r="J361" i="59"/>
  <c r="J1116"/>
  <c r="J478"/>
  <c r="J1298" i="65"/>
  <c r="J400" i="59"/>
  <c r="J1344" i="65"/>
  <c r="J489"/>
  <c r="J1208" i="59"/>
  <c r="J1162"/>
  <c r="J73" i="63"/>
  <c r="J1390" i="65"/>
  <c r="J528"/>
  <c r="J1252"/>
  <c r="J439" i="59"/>
  <c r="J72" i="64"/>
  <c r="J567" i="65"/>
  <c r="J1070" i="59"/>
  <c r="H82" i="80"/>
  <c r="H1301" i="65"/>
  <c r="H947"/>
  <c r="H870" i="59"/>
  <c r="H1577" i="65"/>
  <c r="H1091"/>
  <c r="H1211" i="59"/>
  <c r="H835"/>
  <c r="H1393" i="65"/>
  <c r="H1531"/>
  <c r="H82" i="64"/>
  <c r="H800" i="59"/>
  <c r="H1171" i="65"/>
  <c r="H1347"/>
  <c r="H949" i="59"/>
  <c r="H765"/>
  <c r="H1439" i="65"/>
  <c r="H1131"/>
  <c r="H83" i="63"/>
  <c r="H1165" i="59"/>
  <c r="H1255" i="65"/>
  <c r="H1052"/>
  <c r="H1119" i="59"/>
  <c r="H1029"/>
  <c r="H1211" i="65"/>
  <c r="H1017"/>
  <c r="H909" i="59"/>
  <c r="H989"/>
  <c r="H1485" i="65"/>
  <c r="H982"/>
  <c r="H1073" i="59"/>
  <c r="J1531" i="65"/>
  <c r="J1393"/>
  <c r="J909" i="59"/>
  <c r="J82" i="80"/>
  <c r="J1347" i="65"/>
  <c r="J1171"/>
  <c r="J870" i="59"/>
  <c r="J1439" i="65"/>
  <c r="J1131"/>
  <c r="J82" i="64"/>
  <c r="J835" i="59"/>
  <c r="J1255" i="65"/>
  <c r="J1052"/>
  <c r="J1073" i="59"/>
  <c r="J800"/>
  <c r="J1211" i="65"/>
  <c r="J1017"/>
  <c r="J1029" i="59"/>
  <c r="J765"/>
  <c r="J1485" i="65"/>
  <c r="J982"/>
  <c r="J949" i="59"/>
  <c r="J1211"/>
  <c r="J1301" i="65"/>
  <c r="J947"/>
  <c r="J83" i="63"/>
  <c r="J1165" i="59"/>
  <c r="J1091" i="65"/>
  <c r="J1577"/>
  <c r="J1119" i="59"/>
  <c r="J989"/>
  <c r="P137" i="253"/>
  <c r="Q137" s="1"/>
  <c r="R137" s="1"/>
  <c r="T137" s="1"/>
  <c r="U137" s="1"/>
  <c r="F138"/>
  <c r="F68" i="164"/>
  <c r="R8" i="162"/>
  <c r="R14" s="1"/>
  <c r="R6"/>
  <c r="R12" s="1"/>
  <c r="F66" i="164"/>
  <c r="S10" i="163"/>
  <c r="D66" i="164" s="1"/>
  <c r="Q12" i="162" s="1"/>
  <c r="R10" i="163"/>
  <c r="D57" i="164" s="1"/>
  <c r="Q6" i="162" s="1"/>
  <c r="O10" i="163"/>
  <c r="L10"/>
  <c r="M41" i="160"/>
  <c r="J41"/>
  <c r="P41"/>
  <c r="B79" i="159" s="1"/>
  <c r="Q41" i="160"/>
  <c r="C79" i="159" s="1"/>
  <c r="M11" i="160"/>
  <c r="J11"/>
  <c r="Q11"/>
  <c r="C49" i="159" s="1"/>
  <c r="P11" i="160"/>
  <c r="B49" i="159" s="1"/>
  <c r="O12" i="163"/>
  <c r="L12"/>
  <c r="S12"/>
  <c r="D68" i="164" s="1"/>
  <c r="Q14" i="162" s="1"/>
  <c r="R12" i="163"/>
  <c r="D59" i="164" s="1"/>
  <c r="Q8" i="162" s="1"/>
  <c r="J46" i="160"/>
  <c r="P46"/>
  <c r="B84" i="159" s="1"/>
  <c r="Q46" i="160"/>
  <c r="C84" i="159" s="1"/>
  <c r="M46" i="160"/>
  <c r="M16"/>
  <c r="J16"/>
  <c r="Q16"/>
  <c r="C54" i="159" s="1"/>
  <c r="P16" i="160"/>
  <c r="B54" i="159" s="1"/>
  <c r="G117" i="255"/>
  <c r="G37" i="253"/>
  <c r="G62"/>
  <c r="G142" i="255"/>
  <c r="I117"/>
  <c r="O117" s="1"/>
  <c r="P117" s="1"/>
  <c r="I37" i="253"/>
  <c r="I142" i="255"/>
  <c r="O142" s="1"/>
  <c r="P142" s="1"/>
  <c r="I62" i="253"/>
  <c r="P45" i="160"/>
  <c r="B83" i="159" s="1"/>
  <c r="J45" i="160"/>
  <c r="Q45"/>
  <c r="C83" i="159" s="1"/>
  <c r="M45" i="160"/>
  <c r="M40"/>
  <c r="K40"/>
  <c r="Q40"/>
  <c r="C78" i="159" s="1"/>
  <c r="P40" i="160"/>
  <c r="B78" i="159" s="1"/>
  <c r="J40" i="160"/>
  <c r="M15"/>
  <c r="K15"/>
  <c r="P15"/>
  <c r="B53" i="159" s="1"/>
  <c r="Q15" i="160"/>
  <c r="C53" i="159" s="1"/>
  <c r="J15" i="160"/>
  <c r="R9" i="163"/>
  <c r="D56" i="164" s="1"/>
  <c r="Q5" i="162" s="1"/>
  <c r="O9" i="163"/>
  <c r="L9"/>
  <c r="S9"/>
  <c r="D65" i="164" s="1"/>
  <c r="Q11" i="162" s="1"/>
  <c r="O11" i="163"/>
  <c r="L11"/>
  <c r="R11"/>
  <c r="D58" i="164" s="1"/>
  <c r="Q7" i="162" s="1"/>
  <c r="S11" i="163"/>
  <c r="D67" i="164" s="1"/>
  <c r="Q13" i="162" s="1"/>
  <c r="R5"/>
  <c r="R11" s="1"/>
  <c r="F65" i="164"/>
  <c r="F24"/>
  <c r="R7" i="162"/>
  <c r="R13" s="1"/>
  <c r="F67" i="164"/>
  <c r="F63"/>
  <c r="R4" i="162"/>
  <c r="R10" s="1"/>
  <c r="F62" i="164"/>
  <c r="F25"/>
  <c r="R3" i="162"/>
  <c r="R9" s="1"/>
  <c r="G61" i="253"/>
  <c r="G141" i="255"/>
  <c r="G36" i="253"/>
  <c r="G116" i="255"/>
  <c r="I141"/>
  <c r="O141" s="1"/>
  <c r="P141" s="1"/>
  <c r="I61" i="253"/>
  <c r="C79" i="250"/>
  <c r="F79" s="1"/>
  <c r="G79" s="1"/>
  <c r="E135" i="253"/>
  <c r="I116" i="255"/>
  <c r="O116" s="1"/>
  <c r="P116" s="1"/>
  <c r="I36" i="253"/>
  <c r="E110"/>
  <c r="C78" i="250"/>
  <c r="O6" i="163"/>
  <c r="L6"/>
  <c r="R6"/>
  <c r="D53" i="164" s="1"/>
  <c r="Q3" i="162" s="1"/>
  <c r="S6" i="163"/>
  <c r="D62" i="164" s="1"/>
  <c r="Q9" i="162" s="1"/>
  <c r="J44" i="160"/>
  <c r="Q44"/>
  <c r="C82" i="159" s="1"/>
  <c r="P44" i="160"/>
  <c r="B82" i="159" s="1"/>
  <c r="M44" i="160"/>
  <c r="P39"/>
  <c r="B77" i="159" s="1"/>
  <c r="M39" i="160"/>
  <c r="J39"/>
  <c r="Q39"/>
  <c r="C77" i="159" s="1"/>
  <c r="O7" i="163"/>
  <c r="S7"/>
  <c r="D63" i="164" s="1"/>
  <c r="Q10" i="162" s="1"/>
  <c r="L7" i="163"/>
  <c r="R7"/>
  <c r="D54" i="164" s="1"/>
  <c r="Q4" i="162" s="1"/>
  <c r="M14" i="160"/>
  <c r="J14"/>
  <c r="Q14"/>
  <c r="C52" i="159" s="1"/>
  <c r="P14" i="160"/>
  <c r="B52" i="159" s="1"/>
  <c r="J9" i="160"/>
  <c r="P9"/>
  <c r="B47" i="159" s="1"/>
  <c r="M9" i="160"/>
  <c r="Q9"/>
  <c r="C47" i="159" s="1"/>
  <c r="F113" i="253"/>
  <c r="P112"/>
  <c r="Q112" s="1"/>
  <c r="R112" s="1"/>
  <c r="T112" s="1"/>
  <c r="U112" s="1"/>
  <c r="C110"/>
  <c r="L35"/>
  <c r="N35" s="1"/>
  <c r="Q35" s="1"/>
  <c r="R35" s="1"/>
  <c r="C135"/>
  <c r="L60"/>
  <c r="N60" s="1"/>
  <c r="K78" i="250"/>
  <c r="I92"/>
  <c r="E92"/>
  <c r="J79"/>
  <c r="L78"/>
  <c r="J78"/>
  <c r="L79"/>
  <c r="K79"/>
  <c r="I91"/>
  <c r="E91"/>
  <c r="M43" i="163" l="1"/>
  <c r="M47" s="1"/>
  <c r="M48" s="1"/>
  <c r="J80"/>
  <c r="J84" s="1"/>
  <c r="J85" s="1"/>
  <c r="P43"/>
  <c r="P47" s="1"/>
  <c r="P48" s="1"/>
  <c r="P50" s="1"/>
  <c r="P71" s="1"/>
  <c r="J43"/>
  <c r="J47" s="1"/>
  <c r="J48" s="1"/>
  <c r="J50" s="1"/>
  <c r="J71" s="1"/>
  <c r="P80"/>
  <c r="P84" s="1"/>
  <c r="P85" s="1"/>
  <c r="P108" s="1"/>
  <c r="S62" i="184"/>
  <c r="I48" i="185" s="1"/>
  <c r="G48"/>
  <c r="F27" i="164"/>
  <c r="I37" s="1"/>
  <c r="I40" s="1"/>
  <c r="H56" s="1"/>
  <c r="H65" s="1"/>
  <c r="G80" i="163"/>
  <c r="G84" s="1"/>
  <c r="G85" s="1"/>
  <c r="M80"/>
  <c r="M84" s="1"/>
  <c r="M85" s="1"/>
  <c r="M87" s="1"/>
  <c r="M109" s="1"/>
  <c r="M91" i="250"/>
  <c r="H91"/>
  <c r="H92"/>
  <c r="M92"/>
  <c r="I154" s="1"/>
  <c r="D155" s="1"/>
  <c r="F159" s="1"/>
  <c r="F162" s="1"/>
  <c r="D163" s="1"/>
  <c r="D150" s="1"/>
  <c r="L92"/>
  <c r="H1055" i="187"/>
  <c r="H867"/>
  <c r="H247"/>
  <c r="H939"/>
  <c r="H1181"/>
  <c r="H345"/>
  <c r="H1097"/>
  <c r="H903"/>
  <c r="H311"/>
  <c r="H1307"/>
  <c r="H1265"/>
  <c r="H459"/>
  <c r="H535"/>
  <c r="H611"/>
  <c r="H62" i="186"/>
  <c r="H975" i="187"/>
  <c r="H421"/>
  <c r="H497"/>
  <c r="H215"/>
  <c r="H1139"/>
  <c r="H573"/>
  <c r="H62" i="192"/>
  <c r="H1013" i="187"/>
  <c r="H279"/>
  <c r="H383"/>
  <c r="H1223"/>
  <c r="J108" i="163"/>
  <c r="J87"/>
  <c r="J109" s="1"/>
  <c r="P60" i="253"/>
  <c r="Q60"/>
  <c r="J1265" i="187"/>
  <c r="J1139"/>
  <c r="J247"/>
  <c r="J279"/>
  <c r="J1223"/>
  <c r="J1181"/>
  <c r="J62" i="186"/>
  <c r="J611" i="187"/>
  <c r="J497"/>
  <c r="J215"/>
  <c r="J975"/>
  <c r="J421"/>
  <c r="J867"/>
  <c r="J535"/>
  <c r="J1055"/>
  <c r="J1013"/>
  <c r="J573"/>
  <c r="J62" i="192"/>
  <c r="J903" i="187"/>
  <c r="J1307"/>
  <c r="J459"/>
  <c r="J383"/>
  <c r="J939"/>
  <c r="J1097"/>
  <c r="J311"/>
  <c r="J345"/>
  <c r="G43" i="163"/>
  <c r="G47" s="1"/>
  <c r="G48" s="1"/>
  <c r="G1247" i="65"/>
  <c r="G1569"/>
  <c r="G1294" i="59"/>
  <c r="G943"/>
  <c r="G983"/>
  <c r="G1125" i="65"/>
  <c r="G1085"/>
  <c r="G1339" i="59"/>
  <c r="G830"/>
  <c r="G1477" i="65"/>
  <c r="G1047"/>
  <c r="G1249" i="59"/>
  <c r="G795"/>
  <c r="G1203"/>
  <c r="G1293" i="65"/>
  <c r="G1012"/>
  <c r="G1065" i="59"/>
  <c r="G760"/>
  <c r="G1384"/>
  <c r="G1165" i="65"/>
  <c r="G977"/>
  <c r="G1111" i="59"/>
  <c r="G1023"/>
  <c r="G1523" i="65"/>
  <c r="G942"/>
  <c r="G63" i="63"/>
  <c r="G1339" i="65"/>
  <c r="G62" i="64"/>
  <c r="G903" i="59"/>
  <c r="G865"/>
  <c r="G1205" i="65"/>
  <c r="G62" i="80"/>
  <c r="G1431" i="65"/>
  <c r="G1157" i="59"/>
  <c r="G1385" i="65"/>
  <c r="J976" i="187"/>
  <c r="J904"/>
  <c r="J248"/>
  <c r="J536"/>
  <c r="J1140"/>
  <c r="J833"/>
  <c r="J158"/>
  <c r="J280"/>
  <c r="J868"/>
  <c r="J802"/>
  <c r="J346"/>
  <c r="J131"/>
  <c r="J574"/>
  <c r="J771"/>
  <c r="J312"/>
  <c r="J612"/>
  <c r="J460"/>
  <c r="J740"/>
  <c r="J104"/>
  <c r="J384"/>
  <c r="J1308"/>
  <c r="J1182"/>
  <c r="J1056"/>
  <c r="J216"/>
  <c r="J63" i="186"/>
  <c r="J422" i="187"/>
  <c r="J185"/>
  <c r="J498"/>
  <c r="J1098"/>
  <c r="J1266"/>
  <c r="J1224"/>
  <c r="J1014"/>
  <c r="J63" i="192"/>
  <c r="J940" i="187"/>
  <c r="I1569" i="65"/>
  <c r="I1247"/>
  <c r="I1294" i="59"/>
  <c r="I795"/>
  <c r="I62" i="80"/>
  <c r="I1385" i="65"/>
  <c r="I1125"/>
  <c r="I1157" i="59"/>
  <c r="I760"/>
  <c r="I1477" i="65"/>
  <c r="I1085"/>
  <c r="I62" i="64"/>
  <c r="I63" i="63"/>
  <c r="I1023" i="59"/>
  <c r="I1293" i="65"/>
  <c r="I1047"/>
  <c r="I1339" i="59"/>
  <c r="I943"/>
  <c r="I1065"/>
  <c r="I1165" i="65"/>
  <c r="I1012"/>
  <c r="I1249" i="59"/>
  <c r="I1203"/>
  <c r="I1339" i="65"/>
  <c r="I942"/>
  <c r="I983" i="59"/>
  <c r="I865"/>
  <c r="I977" i="65"/>
  <c r="I1431"/>
  <c r="I1111" i="59"/>
  <c r="I1384"/>
  <c r="I903"/>
  <c r="I1523" i="65"/>
  <c r="I1205"/>
  <c r="I830" i="59"/>
  <c r="H1140" i="187"/>
  <c r="H771"/>
  <c r="H104"/>
  <c r="H460"/>
  <c r="H63" i="192"/>
  <c r="H868" i="187"/>
  <c r="H1224"/>
  <c r="H422"/>
  <c r="H384"/>
  <c r="H1266"/>
  <c r="H574"/>
  <c r="H1056"/>
  <c r="H216"/>
  <c r="H63" i="186"/>
  <c r="H1308" i="187"/>
  <c r="H1182"/>
  <c r="H940"/>
  <c r="H185"/>
  <c r="H612"/>
  <c r="H1014"/>
  <c r="H248"/>
  <c r="H536"/>
  <c r="H976"/>
  <c r="H833"/>
  <c r="H346"/>
  <c r="H280"/>
  <c r="H158"/>
  <c r="H312"/>
  <c r="H740"/>
  <c r="H131"/>
  <c r="H1098"/>
  <c r="H904"/>
  <c r="H498"/>
  <c r="H802"/>
  <c r="D166" i="250"/>
  <c r="L91"/>
  <c r="G50" i="163"/>
  <c r="G71" s="1"/>
  <c r="G70"/>
  <c r="H528" i="65"/>
  <c r="H1116" i="59"/>
  <c r="H1344" i="65"/>
  <c r="H489"/>
  <c r="H567"/>
  <c r="H1208" i="59"/>
  <c r="H1390" i="65"/>
  <c r="H439" i="59"/>
  <c r="H1162"/>
  <c r="H73" i="63"/>
  <c r="H72" i="80"/>
  <c r="H72" i="64"/>
  <c r="H478" i="59"/>
  <c r="H1252" i="65"/>
  <c r="H1070" i="59"/>
  <c r="H361"/>
  <c r="H1298" i="65"/>
  <c r="H450"/>
  <c r="H400" i="59"/>
  <c r="H68" i="185"/>
  <c r="T82" i="184"/>
  <c r="J68" i="185" s="1"/>
  <c r="H1436" i="65"/>
  <c r="H1389" i="59"/>
  <c r="H76" i="63"/>
  <c r="H645" i="65"/>
  <c r="H1299" i="59"/>
  <c r="H556"/>
  <c r="H1482" i="65"/>
  <c r="H1344" i="59"/>
  <c r="H684" i="65"/>
  <c r="H1254" i="59"/>
  <c r="H1528" i="65"/>
  <c r="H75" i="64"/>
  <c r="H723" i="65"/>
  <c r="H595" i="59"/>
  <c r="H1574" i="65"/>
  <c r="H634" i="59"/>
  <c r="H75" i="80"/>
  <c r="H606" i="65"/>
  <c r="H517" i="59"/>
  <c r="H71" i="185"/>
  <c r="T85" i="184"/>
  <c r="J71" i="185" s="1"/>
  <c r="H644" i="65"/>
  <c r="H74" i="64"/>
  <c r="H1481" i="65"/>
  <c r="H555" i="59"/>
  <c r="H683" i="65"/>
  <c r="H1298" i="59"/>
  <c r="H1527" i="65"/>
  <c r="H594" i="59"/>
  <c r="H722" i="65"/>
  <c r="H633" i="59"/>
  <c r="H74" i="80"/>
  <c r="H605" i="65"/>
  <c r="H1388" i="59"/>
  <c r="H1573" i="65"/>
  <c r="H1343" i="59"/>
  <c r="H516"/>
  <c r="H1253"/>
  <c r="H75" i="63"/>
  <c r="H1435" i="65"/>
  <c r="T84" i="184"/>
  <c r="J70" i="185" s="1"/>
  <c r="H70"/>
  <c r="H449" i="65"/>
  <c r="H477" i="59"/>
  <c r="H71" i="80"/>
  <c r="H71" i="64"/>
  <c r="H1115" i="59"/>
  <c r="H1389" i="65"/>
  <c r="H1207" i="59"/>
  <c r="H360"/>
  <c r="H1251" i="65"/>
  <c r="H527"/>
  <c r="H72" i="63"/>
  <c r="H488" i="65"/>
  <c r="H399" i="59"/>
  <c r="H1297" i="65"/>
  <c r="H1161" i="59"/>
  <c r="H1343" i="65"/>
  <c r="H1069" i="59"/>
  <c r="H438"/>
  <c r="H566" i="65"/>
  <c r="H67" i="185"/>
  <c r="T81" i="184"/>
  <c r="J67" i="185" s="1"/>
  <c r="H77" i="80"/>
  <c r="H1050" i="65"/>
  <c r="H1063" s="1"/>
  <c r="H74" i="66" s="1"/>
  <c r="H1391" i="65"/>
  <c r="H414"/>
  <c r="H425" s="1"/>
  <c r="H49" i="66" s="1"/>
  <c r="H283" i="65"/>
  <c r="H293" s="1"/>
  <c r="H44" i="66" s="1"/>
  <c r="H1071" i="59"/>
  <c r="H110"/>
  <c r="H120" s="1"/>
  <c r="H51" i="60" s="1"/>
  <c r="H325" i="59"/>
  <c r="H336" s="1"/>
  <c r="H59" i="60" s="1"/>
  <c r="H440" i="59"/>
  <c r="H1483" i="65"/>
  <c r="H1015"/>
  <c r="H1028" s="1"/>
  <c r="H73" i="66" s="1"/>
  <c r="H1169" i="65"/>
  <c r="H1183" s="1"/>
  <c r="H78" i="66" s="1"/>
  <c r="H1209" i="59"/>
  <c r="H255" i="65"/>
  <c r="H265" s="1"/>
  <c r="H43" i="66" s="1"/>
  <c r="H868" i="59"/>
  <c r="H881" s="1"/>
  <c r="H79" i="60" s="1"/>
  <c r="H635" i="59"/>
  <c r="H947"/>
  <c r="H961" s="1"/>
  <c r="H82" i="60" s="1"/>
  <c r="H259" i="59"/>
  <c r="H270" s="1"/>
  <c r="H57" i="60" s="1"/>
  <c r="H1299" i="65"/>
  <c r="H980"/>
  <c r="H993" s="1"/>
  <c r="H72" i="66" s="1"/>
  <c r="H607" i="65"/>
  <c r="H529"/>
  <c r="H227"/>
  <c r="H237" s="1"/>
  <c r="H42" i="66" s="1"/>
  <c r="H833" i="59"/>
  <c r="H846" s="1"/>
  <c r="H78" i="60" s="1"/>
  <c r="H479" i="59"/>
  <c r="H557"/>
  <c r="H78" i="63"/>
  <c r="H1089" i="65"/>
  <c r="H1103" s="1"/>
  <c r="H76" i="66" s="1"/>
  <c r="H945" i="65"/>
  <c r="H958" s="1"/>
  <c r="H71" i="66" s="1"/>
  <c r="H1437" i="65"/>
  <c r="H315"/>
  <c r="H326" s="1"/>
  <c r="H46" i="66" s="1"/>
  <c r="H199" i="65"/>
  <c r="H209" s="1"/>
  <c r="H41" i="66" s="1"/>
  <c r="H798" i="59"/>
  <c r="H811" s="1"/>
  <c r="H77" i="60" s="1"/>
  <c r="H292" i="59"/>
  <c r="H303" s="1"/>
  <c r="H58" i="60" s="1"/>
  <c r="H401" i="59"/>
  <c r="H685" i="65"/>
  <c r="H724"/>
  <c r="H1253"/>
  <c r="H77" i="64"/>
  <c r="H1390" i="59"/>
  <c r="H763"/>
  <c r="H776" s="1"/>
  <c r="H76" i="60" s="1"/>
  <c r="H987" i="59"/>
  <c r="H1001" s="1"/>
  <c r="H83" i="60" s="1"/>
  <c r="H226" i="59"/>
  <c r="H237" s="1"/>
  <c r="H56" i="60" s="1"/>
  <c r="H1529" i="65"/>
  <c r="H568"/>
  <c r="H1209"/>
  <c r="H1223" s="1"/>
  <c r="H79" i="66" s="1"/>
  <c r="H451" i="65"/>
  <c r="H1300" i="59"/>
  <c r="H194"/>
  <c r="H204" s="1"/>
  <c r="H54" i="60" s="1"/>
  <c r="H1027" i="59"/>
  <c r="H1041" s="1"/>
  <c r="H84" i="60" s="1"/>
  <c r="H1255" i="59"/>
  <c r="H1345" i="65"/>
  <c r="H381"/>
  <c r="H392" s="1"/>
  <c r="H48" i="66" s="1"/>
  <c r="H646" i="65"/>
  <c r="H1117" i="59"/>
  <c r="H1163"/>
  <c r="H166"/>
  <c r="H176" s="1"/>
  <c r="H53" i="60" s="1"/>
  <c r="H518" i="59"/>
  <c r="H907"/>
  <c r="H921" s="1"/>
  <c r="H81" i="60" s="1"/>
  <c r="H1129" i="65"/>
  <c r="H1143" s="1"/>
  <c r="H77" i="66" s="1"/>
  <c r="H490" i="65"/>
  <c r="H348"/>
  <c r="H359" s="1"/>
  <c r="H47" i="66" s="1"/>
  <c r="H1345" i="59"/>
  <c r="H1575" i="65"/>
  <c r="H138" i="59"/>
  <c r="H148" s="1"/>
  <c r="H52" i="60" s="1"/>
  <c r="H362" i="59"/>
  <c r="H596"/>
  <c r="H73" i="185"/>
  <c r="T87" i="184"/>
  <c r="J73" i="185" s="1"/>
  <c r="J1345" i="65"/>
  <c r="J1169"/>
  <c r="J685"/>
  <c r="J348"/>
  <c r="J1300" i="59"/>
  <c r="J292"/>
  <c r="J226"/>
  <c r="J868"/>
  <c r="J78" i="63"/>
  <c r="J1345" i="59"/>
  <c r="J1129" i="65"/>
  <c r="J607"/>
  <c r="J568"/>
  <c r="J283"/>
  <c r="J1163" i="59"/>
  <c r="J987"/>
  <c r="J1255"/>
  <c r="J833"/>
  <c r="J1209" i="65"/>
  <c r="J194" i="59"/>
  <c r="J1050" i="65"/>
  <c r="J1437"/>
  <c r="J529"/>
  <c r="J255"/>
  <c r="J947" i="59"/>
  <c r="J1027"/>
  <c r="J1117"/>
  <c r="J798"/>
  <c r="J414" i="65"/>
  <c r="J362" i="59"/>
  <c r="J1015" i="65"/>
  <c r="J1253"/>
  <c r="J315"/>
  <c r="J227"/>
  <c r="J646"/>
  <c r="J518" i="59"/>
  <c r="J907"/>
  <c r="J763"/>
  <c r="J980" i="65"/>
  <c r="J199"/>
  <c r="J596" i="59"/>
  <c r="J945" i="65"/>
  <c r="J1483"/>
  <c r="J381"/>
  <c r="J724"/>
  <c r="J1209" i="59"/>
  <c r="J325"/>
  <c r="J440"/>
  <c r="J166"/>
  <c r="J77" i="80"/>
  <c r="J1575" i="65"/>
  <c r="J1299"/>
  <c r="J77" i="64"/>
  <c r="J490" i="65"/>
  <c r="J635" i="59"/>
  <c r="J557"/>
  <c r="J259"/>
  <c r="J138"/>
  <c r="J401"/>
  <c r="J1529" i="65"/>
  <c r="J110" i="59"/>
  <c r="J1391" i="65"/>
  <c r="J1089"/>
  <c r="J451"/>
  <c r="J1390" i="59"/>
  <c r="J479"/>
  <c r="J1071"/>
  <c r="C138" i="253"/>
  <c r="L63"/>
  <c r="N63" s="1"/>
  <c r="C113"/>
  <c r="L38"/>
  <c r="N38" s="1"/>
  <c r="G39" i="28"/>
  <c r="H49" s="1"/>
  <c r="G40"/>
  <c r="G49" s="1"/>
  <c r="D49"/>
  <c r="J39"/>
  <c r="H59" s="1"/>
  <c r="J101" i="29" s="1"/>
  <c r="J40" i="28"/>
  <c r="G59" s="1"/>
  <c r="I101" i="29" s="1"/>
  <c r="D59" i="28"/>
  <c r="F101" i="29" s="1"/>
  <c r="J102" i="184"/>
  <c r="R102" s="1"/>
  <c r="J95" i="29"/>
  <c r="E100" i="184"/>
  <c r="M100" s="1"/>
  <c r="F93" i="29"/>
  <c r="E103" i="184"/>
  <c r="M103" s="1"/>
  <c r="F96" i="29"/>
  <c r="I93"/>
  <c r="I100" i="184"/>
  <c r="Q100" s="1"/>
  <c r="J99"/>
  <c r="R99" s="1"/>
  <c r="J92" i="29"/>
  <c r="J103" i="184"/>
  <c r="R103" s="1"/>
  <c r="J96" i="29"/>
  <c r="E99" i="184"/>
  <c r="M99" s="1"/>
  <c r="F92" i="29"/>
  <c r="I103" i="184"/>
  <c r="Q103" s="1"/>
  <c r="I96" i="29"/>
  <c r="I95"/>
  <c r="I102" i="184"/>
  <c r="Q102" s="1"/>
  <c r="E102"/>
  <c r="M102" s="1"/>
  <c r="F95" i="29"/>
  <c r="I99" i="184"/>
  <c r="Q99" s="1"/>
  <c r="I92" i="29"/>
  <c r="J93"/>
  <c r="J100" i="184"/>
  <c r="R100" s="1"/>
  <c r="I95"/>
  <c r="Q95" s="1"/>
  <c r="I88" i="29"/>
  <c r="J88"/>
  <c r="J95" i="184"/>
  <c r="R95" s="1"/>
  <c r="I94"/>
  <c r="Q94" s="1"/>
  <c r="I87" i="29"/>
  <c r="J94" i="184"/>
  <c r="R94" s="1"/>
  <c r="J87" i="29"/>
  <c r="E94" i="184"/>
  <c r="M94" s="1"/>
  <c r="F87" i="29"/>
  <c r="E95" i="184"/>
  <c r="M95" s="1"/>
  <c r="F88" i="29"/>
  <c r="F63" i="184"/>
  <c r="N63" s="1"/>
  <c r="G52" i="29"/>
  <c r="I1082" i="65"/>
  <c r="I1122"/>
  <c r="I310"/>
  <c r="I343"/>
  <c r="I1380" i="59"/>
  <c r="I827"/>
  <c r="I432"/>
  <c r="I627"/>
  <c r="I1044" i="65"/>
  <c r="I1427"/>
  <c r="I560"/>
  <c r="I1335" i="59"/>
  <c r="I1290"/>
  <c r="I792"/>
  <c r="I221"/>
  <c r="I471"/>
  <c r="I51" i="80"/>
  <c r="I1009" i="65"/>
  <c r="I1243"/>
  <c r="I279"/>
  <c r="I1245" i="59"/>
  <c r="I1153"/>
  <c r="I757"/>
  <c r="I1061"/>
  <c r="I254"/>
  <c r="I1473" i="65"/>
  <c r="I974"/>
  <c r="I1162"/>
  <c r="I251"/>
  <c r="I521"/>
  <c r="I900" i="59"/>
  <c r="I549"/>
  <c r="I190"/>
  <c r="I1199"/>
  <c r="I1289" i="65"/>
  <c r="I939"/>
  <c r="I677"/>
  <c r="I223"/>
  <c r="I1107" i="59"/>
  <c r="I510"/>
  <c r="I393"/>
  <c r="I162"/>
  <c r="I52" i="63"/>
  <c r="I1202" i="65"/>
  <c r="I638"/>
  <c r="I482"/>
  <c r="I195"/>
  <c r="I1020" i="59"/>
  <c r="I354"/>
  <c r="I320"/>
  <c r="I134"/>
  <c r="I1519" i="65"/>
  <c r="I1565"/>
  <c r="I443"/>
  <c r="I51" i="64"/>
  <c r="I599" i="65"/>
  <c r="I287" i="59"/>
  <c r="I980"/>
  <c r="I106"/>
  <c r="I862"/>
  <c r="I940"/>
  <c r="I1335" i="65"/>
  <c r="I1381"/>
  <c r="I588" i="59"/>
  <c r="I376" i="65"/>
  <c r="I716"/>
  <c r="I409"/>
  <c r="H835" i="187"/>
  <c r="H978"/>
  <c r="H804"/>
  <c r="H1060"/>
  <c r="H1270"/>
  <c r="H773"/>
  <c r="H870"/>
  <c r="H1312"/>
  <c r="H742"/>
  <c r="H76" i="186"/>
  <c r="H76" i="192"/>
  <c r="H1144" i="187"/>
  <c r="H1228"/>
  <c r="H942"/>
  <c r="H1102"/>
  <c r="H1186"/>
  <c r="H1018"/>
  <c r="H906"/>
  <c r="J1270"/>
  <c r="J942"/>
  <c r="J804"/>
  <c r="J1102"/>
  <c r="J1186"/>
  <c r="J870"/>
  <c r="J906"/>
  <c r="J1018"/>
  <c r="J1060"/>
  <c r="J835"/>
  <c r="J978"/>
  <c r="J773"/>
  <c r="J1312"/>
  <c r="J742"/>
  <c r="J1228"/>
  <c r="J76" i="192"/>
  <c r="J1144" i="187"/>
  <c r="J76" i="186"/>
  <c r="S72" i="184"/>
  <c r="I58" i="185" s="1"/>
  <c r="G58"/>
  <c r="E55" i="28"/>
  <c r="G61" i="29" s="1"/>
  <c r="J21" i="28"/>
  <c r="G55" s="1"/>
  <c r="I61" i="29" s="1"/>
  <c r="E45" i="28"/>
  <c r="G21"/>
  <c r="G45" s="1"/>
  <c r="F115" i="253"/>
  <c r="P113"/>
  <c r="Q113" s="1"/>
  <c r="R113" s="1"/>
  <c r="T113" s="1"/>
  <c r="U113" s="1"/>
  <c r="M50" i="163"/>
  <c r="M71" s="1"/>
  <c r="Q74" s="1"/>
  <c r="F46" i="183" s="1"/>
  <c r="J75" s="1"/>
  <c r="M70" i="163"/>
  <c r="F55" i="250"/>
  <c r="F57" s="1"/>
  <c r="I68" s="1"/>
  <c r="I71" s="1"/>
  <c r="E81" s="1"/>
  <c r="F78"/>
  <c r="G78" s="1"/>
  <c r="E111" i="253"/>
  <c r="E112" s="1"/>
  <c r="E113" s="1"/>
  <c r="E115" s="1"/>
  <c r="E116" s="1"/>
  <c r="E117" s="1"/>
  <c r="E118" s="1"/>
  <c r="E120" s="1"/>
  <c r="E121" s="1"/>
  <c r="E122" s="1"/>
  <c r="E123" s="1"/>
  <c r="E125" s="1"/>
  <c r="E126" s="1"/>
  <c r="E127" s="1"/>
  <c r="E128" s="1"/>
  <c r="E130" s="1"/>
  <c r="E131" s="1"/>
  <c r="E132" s="1"/>
  <c r="E133" s="1"/>
  <c r="H110"/>
  <c r="I110" s="1"/>
  <c r="J110" s="1"/>
  <c r="L110" s="1"/>
  <c r="M110" s="1"/>
  <c r="L36"/>
  <c r="N36" s="1"/>
  <c r="Q36" s="1"/>
  <c r="R36" s="1"/>
  <c r="C111"/>
  <c r="E136"/>
  <c r="E137" s="1"/>
  <c r="E138" s="1"/>
  <c r="E140" s="1"/>
  <c r="E141" s="1"/>
  <c r="E142" s="1"/>
  <c r="E143" s="1"/>
  <c r="E145" s="1"/>
  <c r="E146" s="1"/>
  <c r="E147" s="1"/>
  <c r="E148" s="1"/>
  <c r="E150" s="1"/>
  <c r="E151" s="1"/>
  <c r="E152" s="1"/>
  <c r="E153" s="1"/>
  <c r="E155" s="1"/>
  <c r="E156" s="1"/>
  <c r="E157" s="1"/>
  <c r="E158" s="1"/>
  <c r="H135"/>
  <c r="I135" s="1"/>
  <c r="J135" s="1"/>
  <c r="L135" s="1"/>
  <c r="M135" s="1"/>
  <c r="C136"/>
  <c r="L61"/>
  <c r="N61" s="1"/>
  <c r="H57" i="164"/>
  <c r="G108" i="163"/>
  <c r="G87"/>
  <c r="G109" s="1"/>
  <c r="M108"/>
  <c r="L62" i="253"/>
  <c r="N62" s="1"/>
  <c r="C137"/>
  <c r="C112"/>
  <c r="L37"/>
  <c r="N37" s="1"/>
  <c r="F140"/>
  <c r="P138"/>
  <c r="Q138" s="1"/>
  <c r="R138" s="1"/>
  <c r="T138" s="1"/>
  <c r="U138" s="1"/>
  <c r="L81" i="250"/>
  <c r="J81"/>
  <c r="E94"/>
  <c r="K81"/>
  <c r="I94"/>
  <c r="H137" i="253" l="1"/>
  <c r="I137" s="1"/>
  <c r="J137" s="1"/>
  <c r="L137" s="1"/>
  <c r="M137" s="1"/>
  <c r="D74" i="163"/>
  <c r="F45" i="70" s="1"/>
  <c r="J74" s="1"/>
  <c r="S5" i="162"/>
  <c r="S11" s="1"/>
  <c r="J70" i="163"/>
  <c r="H1087" i="59"/>
  <c r="H86" i="60" s="1"/>
  <c r="H1407" i="65"/>
  <c r="H84" i="66" s="1"/>
  <c r="H503" i="65"/>
  <c r="H52" i="66" s="1"/>
  <c r="H111" i="253"/>
  <c r="I111" s="1"/>
  <c r="J111" s="1"/>
  <c r="L111" s="1"/>
  <c r="M111" s="1"/>
  <c r="H581" i="65"/>
  <c r="H54" i="66" s="1"/>
  <c r="P87" i="163"/>
  <c r="P109" s="1"/>
  <c r="O112" s="1"/>
  <c r="F45" i="183" s="1"/>
  <c r="H453" i="59"/>
  <c r="H63" i="60" s="1"/>
  <c r="H1269" i="65"/>
  <c r="H81" i="66" s="1"/>
  <c r="P70" i="163"/>
  <c r="Q73" s="1"/>
  <c r="H1179" i="59"/>
  <c r="H88" i="60" s="1"/>
  <c r="H1225" i="59"/>
  <c r="H89" i="60" s="1"/>
  <c r="H620" i="65"/>
  <c r="H56" i="66" s="1"/>
  <c r="H570" i="59"/>
  <c r="H67" i="60" s="1"/>
  <c r="H1499" i="65"/>
  <c r="H87" i="66" s="1"/>
  <c r="D111" i="163"/>
  <c r="O111"/>
  <c r="D73"/>
  <c r="H1315" i="65"/>
  <c r="H82" i="66" s="1"/>
  <c r="H1453" i="65"/>
  <c r="H86" i="66" s="1"/>
  <c r="D180" i="250"/>
  <c r="D183" s="1"/>
  <c r="D112" i="163"/>
  <c r="F44" i="70" s="1"/>
  <c r="F47" s="1"/>
  <c r="I58" s="1"/>
  <c r="I61" s="1"/>
  <c r="F79" s="1"/>
  <c r="H414" i="59"/>
  <c r="H62" i="60" s="1"/>
  <c r="H1133" i="59"/>
  <c r="H87" i="60" s="1"/>
  <c r="H648" i="59"/>
  <c r="H69" i="60" s="1"/>
  <c r="H109" i="64"/>
  <c r="H1270" i="59"/>
  <c r="H91" i="60" s="1"/>
  <c r="H737" i="65"/>
  <c r="H59" i="66" s="1"/>
  <c r="H659" i="65"/>
  <c r="H57" i="66" s="1"/>
  <c r="H609" i="59"/>
  <c r="H68" i="60" s="1"/>
  <c r="H110" i="63"/>
  <c r="H108" i="80"/>
  <c r="H531" i="59"/>
  <c r="H66" i="60" s="1"/>
  <c r="G48" i="192"/>
  <c r="G48" i="186"/>
  <c r="H542" i="65"/>
  <c r="H53" i="66" s="1"/>
  <c r="H492" i="59"/>
  <c r="H64" i="60" s="1"/>
  <c r="H1360" i="59"/>
  <c r="H93" i="60" s="1"/>
  <c r="H1545" i="65"/>
  <c r="H88" i="66" s="1"/>
  <c r="I48" i="186"/>
  <c r="I48" i="192"/>
  <c r="H464" i="65"/>
  <c r="H51" i="66" s="1"/>
  <c r="H1591" i="65"/>
  <c r="H89" i="66" s="1"/>
  <c r="H1315" i="59"/>
  <c r="H92" i="60" s="1"/>
  <c r="H1361" i="65"/>
  <c r="H83" i="66" s="1"/>
  <c r="H375" i="59"/>
  <c r="H61" i="60" s="1"/>
  <c r="H1405" i="59"/>
  <c r="H94" i="60" s="1"/>
  <c r="H698" i="65"/>
  <c r="H58" i="66" s="1"/>
  <c r="H94" i="250"/>
  <c r="M94"/>
  <c r="L94"/>
  <c r="S95" i="184"/>
  <c r="I81" i="185" s="1"/>
  <c r="T95" i="184"/>
  <c r="J81" i="185" s="1"/>
  <c r="F81"/>
  <c r="T100" i="184"/>
  <c r="J86" i="185" s="1"/>
  <c r="F86"/>
  <c r="S100" i="184"/>
  <c r="I86" i="185" s="1"/>
  <c r="G58" i="29"/>
  <c r="F69" i="184"/>
  <c r="N69" s="1"/>
  <c r="F1441" i="65"/>
  <c r="F453"/>
  <c r="F1173"/>
  <c r="F492"/>
  <c r="F1303" i="59"/>
  <c r="F1213"/>
  <c r="F481"/>
  <c r="F1257" i="65"/>
  <c r="F416"/>
  <c r="F687"/>
  <c r="F1075" i="59"/>
  <c r="F520"/>
  <c r="F991"/>
  <c r="F294"/>
  <c r="F726" i="65"/>
  <c r="F1349"/>
  <c r="F570"/>
  <c r="F86" i="64"/>
  <c r="F327" i="59"/>
  <c r="F442"/>
  <c r="F1093" i="65"/>
  <c r="F1579"/>
  <c r="F383"/>
  <c r="F1121" i="59"/>
  <c r="F403"/>
  <c r="F951"/>
  <c r="F1533" i="65"/>
  <c r="F1031" i="59"/>
  <c r="F598"/>
  <c r="F1133" i="65"/>
  <c r="F1348" i="59"/>
  <c r="F261"/>
  <c r="F317" i="65"/>
  <c r="F648"/>
  <c r="F1258" i="59"/>
  <c r="F1393"/>
  <c r="F1487" i="65"/>
  <c r="F86" i="80"/>
  <c r="F1395" i="65"/>
  <c r="F911" i="59"/>
  <c r="F637"/>
  <c r="F87" i="63"/>
  <c r="F1213" i="65"/>
  <c r="F531"/>
  <c r="F364" i="59"/>
  <c r="F559"/>
  <c r="F228"/>
  <c r="F1303" i="65"/>
  <c r="F609"/>
  <c r="F350"/>
  <c r="F1167" i="59"/>
  <c r="I1534" i="65"/>
  <c r="I532"/>
  <c r="I949"/>
  <c r="I87" i="64"/>
  <c r="I384" i="65"/>
  <c r="I837" i="59"/>
  <c r="I482"/>
  <c r="I196"/>
  <c r="I404"/>
  <c r="I1350" i="65"/>
  <c r="I351"/>
  <c r="I727"/>
  <c r="I285"/>
  <c r="I1394" i="59"/>
  <c r="I802"/>
  <c r="I295"/>
  <c r="I168"/>
  <c r="I229"/>
  <c r="I1134" i="65"/>
  <c r="I1442"/>
  <c r="I571"/>
  <c r="I257"/>
  <c r="I1304" i="59"/>
  <c r="I767"/>
  <c r="I1259"/>
  <c r="I140"/>
  <c r="I649" i="65"/>
  <c r="I1258"/>
  <c r="I1488"/>
  <c r="I229"/>
  <c r="I1214" i="59"/>
  <c r="I599"/>
  <c r="I952"/>
  <c r="I112"/>
  <c r="I1580" i="65"/>
  <c r="I1214"/>
  <c r="I1304"/>
  <c r="I201"/>
  <c r="I454"/>
  <c r="I443" i="59"/>
  <c r="I912"/>
  <c r="I88" i="63"/>
  <c r="I1174" i="65"/>
  <c r="I1019"/>
  <c r="I610"/>
  <c r="I318"/>
  <c r="I992" i="59"/>
  <c r="I1032"/>
  <c r="I365"/>
  <c r="I1122"/>
  <c r="I1094" i="65"/>
  <c r="I521" i="59"/>
  <c r="I493" i="65"/>
  <c r="I328" i="59"/>
  <c r="I417" i="65"/>
  <c r="I1349" i="59"/>
  <c r="I87" i="80"/>
  <c r="I1168" i="59"/>
  <c r="I560"/>
  <c r="I1396" i="65"/>
  <c r="I1076" i="59"/>
  <c r="I1054" i="65"/>
  <c r="I262" i="59"/>
  <c r="I688" i="65"/>
  <c r="I984"/>
  <c r="I872" i="59"/>
  <c r="I638"/>
  <c r="J533" i="65"/>
  <c r="J92" i="63"/>
  <c r="J1169" i="59"/>
  <c r="J1215"/>
  <c r="J91" i="80"/>
  <c r="J572" i="65"/>
  <c r="J405" i="59"/>
  <c r="J1305" i="65"/>
  <c r="J91" i="64"/>
  <c r="J483" i="59"/>
  <c r="J366"/>
  <c r="J1259" i="65"/>
  <c r="J444" i="59"/>
  <c r="J1351" i="65"/>
  <c r="J1397"/>
  <c r="J494"/>
  <c r="J455"/>
  <c r="J1077" i="59"/>
  <c r="J1123"/>
  <c r="J1443" i="65"/>
  <c r="J1350" i="59"/>
  <c r="J639"/>
  <c r="J650" i="65"/>
  <c r="J1395" i="59"/>
  <c r="J1581" i="65"/>
  <c r="J600" i="59"/>
  <c r="J94" i="80"/>
  <c r="J1260" i="59"/>
  <c r="J728" i="65"/>
  <c r="J94" i="64"/>
  <c r="J611" i="65"/>
  <c r="J522" i="59"/>
  <c r="J561"/>
  <c r="J95" i="63"/>
  <c r="J689" i="65"/>
  <c r="J1489"/>
  <c r="J1535"/>
  <c r="J1305" i="59"/>
  <c r="P38" i="253"/>
  <c r="Q38"/>
  <c r="J1268" i="187"/>
  <c r="J71" i="186"/>
  <c r="J1184" i="187"/>
  <c r="J576"/>
  <c r="J538"/>
  <c r="J1226"/>
  <c r="J614"/>
  <c r="J500"/>
  <c r="J71" i="192"/>
  <c r="J1310" i="187"/>
  <c r="H69" i="184"/>
  <c r="P69" s="1"/>
  <c r="T69" s="1"/>
  <c r="I58" i="29"/>
  <c r="T102" i="184"/>
  <c r="J88" i="185" s="1"/>
  <c r="S102" i="184"/>
  <c r="I88" i="185" s="1"/>
  <c r="F88"/>
  <c r="J105" i="184"/>
  <c r="R105" s="1"/>
  <c r="J98" i="29"/>
  <c r="H67" i="192"/>
  <c r="H385" i="187"/>
  <c r="H67" i="186"/>
  <c r="H423" i="187"/>
  <c r="H461"/>
  <c r="H1057"/>
  <c r="H1141"/>
  <c r="H1015"/>
  <c r="H1099"/>
  <c r="H347"/>
  <c r="H112" i="253"/>
  <c r="I112" s="1"/>
  <c r="J112" s="1"/>
  <c r="L112" s="1"/>
  <c r="M112" s="1"/>
  <c r="I1011" i="65"/>
  <c r="I1164"/>
  <c r="I1293" i="59"/>
  <c r="I1110"/>
  <c r="I61" i="63"/>
  <c r="I976" i="65"/>
  <c r="I1522"/>
  <c r="I60" i="64"/>
  <c r="I1202" i="59"/>
  <c r="I941" i="65"/>
  <c r="I1338"/>
  <c r="I1338" i="59"/>
  <c r="I1156"/>
  <c r="I1430" i="65"/>
  <c r="I1204"/>
  <c r="I1248" i="59"/>
  <c r="I902"/>
  <c r="I1246" i="65"/>
  <c r="I1568"/>
  <c r="I1064" i="59"/>
  <c r="I864"/>
  <c r="I60" i="80"/>
  <c r="I1476" i="65"/>
  <c r="I1084"/>
  <c r="I1022" i="59"/>
  <c r="I794"/>
  <c r="I942"/>
  <c r="I982"/>
  <c r="I829"/>
  <c r="I1046" i="65"/>
  <c r="I759" i="59"/>
  <c r="I1124" i="65"/>
  <c r="I1384"/>
  <c r="I1383" i="59"/>
  <c r="I1292" i="65"/>
  <c r="S94" i="184"/>
  <c r="I80" i="185" s="1"/>
  <c r="T94" i="184"/>
  <c r="J80" i="185" s="1"/>
  <c r="F80"/>
  <c r="I1535" i="65"/>
  <c r="I1350" i="59"/>
  <c r="I94" i="64"/>
  <c r="I639" i="59"/>
  <c r="I1443" i="65"/>
  <c r="I1395" i="59"/>
  <c r="I600"/>
  <c r="I1489" i="65"/>
  <c r="I522" i="59"/>
  <c r="I611" i="65"/>
  <c r="I561" i="59"/>
  <c r="I1581" i="65"/>
  <c r="I95" i="63"/>
  <c r="I728" i="65"/>
  <c r="I1305" i="59"/>
  <c r="I650" i="65"/>
  <c r="I689"/>
  <c r="I1260" i="59"/>
  <c r="I94" i="80"/>
  <c r="H113" i="253"/>
  <c r="I113" s="1"/>
  <c r="J113" s="1"/>
  <c r="L113" s="1"/>
  <c r="M113" s="1"/>
  <c r="J73" i="192"/>
  <c r="J905" i="187"/>
  <c r="J1017"/>
  <c r="J577"/>
  <c r="J159"/>
  <c r="J1059"/>
  <c r="J741"/>
  <c r="J105"/>
  <c r="J425"/>
  <c r="J869"/>
  <c r="J1143"/>
  <c r="J217"/>
  <c r="J249"/>
  <c r="J539"/>
  <c r="J1227"/>
  <c r="J941"/>
  <c r="J186"/>
  <c r="J73" i="186"/>
  <c r="J615" i="187"/>
  <c r="J1185"/>
  <c r="J501"/>
  <c r="J1101"/>
  <c r="J977"/>
  <c r="J463"/>
  <c r="J834"/>
  <c r="J349"/>
  <c r="J132"/>
  <c r="J281"/>
  <c r="J1269"/>
  <c r="J1311"/>
  <c r="J803"/>
  <c r="J772"/>
  <c r="J387"/>
  <c r="J313"/>
  <c r="H71" i="186"/>
  <c r="H538" i="187"/>
  <c r="H614"/>
  <c r="H500"/>
  <c r="H1268"/>
  <c r="H1310"/>
  <c r="H576"/>
  <c r="H71" i="192"/>
  <c r="H1184" i="187"/>
  <c r="H1226"/>
  <c r="G1568" i="65"/>
  <c r="G1246"/>
  <c r="G60" i="64"/>
  <c r="G1293" i="59"/>
  <c r="G759"/>
  <c r="G1384" i="65"/>
  <c r="G1124"/>
  <c r="G1202" i="59"/>
  <c r="G942"/>
  <c r="G61" i="63"/>
  <c r="G1084" i="65"/>
  <c r="G1476"/>
  <c r="G1338" i="59"/>
  <c r="G1110"/>
  <c r="G1011" i="65"/>
  <c r="G1164"/>
  <c r="G1383" i="59"/>
  <c r="G902"/>
  <c r="G60" i="80"/>
  <c r="G1204" i="65"/>
  <c r="G794" i="59"/>
  <c r="G1046" i="65"/>
  <c r="G1248" i="59"/>
  <c r="G941" i="65"/>
  <c r="G1022" i="59"/>
  <c r="G1430" i="65"/>
  <c r="G982" i="59"/>
  <c r="G1522" i="65"/>
  <c r="G864" i="59"/>
  <c r="G829"/>
  <c r="G976" i="65"/>
  <c r="G1292"/>
  <c r="G1338"/>
  <c r="G1064" i="59"/>
  <c r="G1156"/>
  <c r="J1303" i="65"/>
  <c r="J1395"/>
  <c r="J1393" i="59"/>
  <c r="J1121"/>
  <c r="J403"/>
  <c r="J951"/>
  <c r="J87" i="63"/>
  <c r="J1093" i="65"/>
  <c r="J1173"/>
  <c r="J1303" i="59"/>
  <c r="J609" i="65"/>
  <c r="J228" i="59"/>
  <c r="J637"/>
  <c r="J1533" i="65"/>
  <c r="J687"/>
  <c r="J1213" i="59"/>
  <c r="J416" i="65"/>
  <c r="J1075" i="59"/>
  <c r="J481"/>
  <c r="J1349" i="65"/>
  <c r="J1441"/>
  <c r="J453"/>
  <c r="J317"/>
  <c r="J991" i="59"/>
  <c r="J294"/>
  <c r="J1133" i="65"/>
  <c r="J1257"/>
  <c r="J350"/>
  <c r="J1167" i="59"/>
  <c r="J598"/>
  <c r="J911"/>
  <c r="J86" i="80"/>
  <c r="J492" i="65"/>
  <c r="J726"/>
  <c r="J1348" i="59"/>
  <c r="J383" i="65"/>
  <c r="J261" i="59"/>
  <c r="J364"/>
  <c r="J1213" i="65"/>
  <c r="J520" i="59"/>
  <c r="J570" i="65"/>
  <c r="J327" i="59"/>
  <c r="J86" i="64"/>
  <c r="J1258" i="59"/>
  <c r="J531" i="65"/>
  <c r="J648"/>
  <c r="J442" i="59"/>
  <c r="J1487" i="65"/>
  <c r="J1579"/>
  <c r="J559" i="59"/>
  <c r="J1031"/>
  <c r="I690" i="65"/>
  <c r="I95" i="64"/>
  <c r="I95" i="80"/>
  <c r="I1306" i="59"/>
  <c r="I523"/>
  <c r="I1490" i="65"/>
  <c r="I612"/>
  <c r="I1351" i="59"/>
  <c r="I1536" i="65"/>
  <c r="I96" i="63"/>
  <c r="I651" i="65"/>
  <c r="I1261" i="59"/>
  <c r="I1582" i="65"/>
  <c r="I562" i="59"/>
  <c r="I1444" i="65"/>
  <c r="I1396" i="59"/>
  <c r="I640"/>
  <c r="I729" i="65"/>
  <c r="I601" i="59"/>
  <c r="F1538" i="65"/>
  <c r="F986"/>
  <c r="F1263" i="59"/>
  <c r="F994"/>
  <c r="F100" i="80"/>
  <c r="F1354" i="65"/>
  <c r="F951"/>
  <c r="F1218" i="59"/>
  <c r="F1126"/>
  <c r="F1446" i="65"/>
  <c r="F1176"/>
  <c r="F100" i="64"/>
  <c r="F1172" i="59"/>
  <c r="F954"/>
  <c r="F1262" i="65"/>
  <c r="F1584"/>
  <c r="F1398" i="59"/>
  <c r="F1034"/>
  <c r="F101" i="63"/>
  <c r="F1096" i="65"/>
  <c r="F1400"/>
  <c r="F1308" i="59"/>
  <c r="F874"/>
  <c r="F1308" i="65"/>
  <c r="F1056"/>
  <c r="F1216"/>
  <c r="F1021"/>
  <c r="F914" i="59"/>
  <c r="F1353"/>
  <c r="F1492" i="65"/>
  <c r="F804" i="59"/>
  <c r="F1080"/>
  <c r="F839"/>
  <c r="F1136" i="65"/>
  <c r="F769" i="59"/>
  <c r="Q63" i="253"/>
  <c r="P63"/>
  <c r="H869" i="187"/>
  <c r="H881" s="1"/>
  <c r="H64" i="251" s="1"/>
  <c r="H772" i="187"/>
  <c r="H783" s="1"/>
  <c r="H60" i="251" s="1"/>
  <c r="H66" i="253" s="1"/>
  <c r="H539" i="187"/>
  <c r="H349"/>
  <c r="H1227"/>
  <c r="H741"/>
  <c r="H752" s="1"/>
  <c r="H59" i="251" s="1"/>
  <c r="H387" i="187"/>
  <c r="H281"/>
  <c r="H1101"/>
  <c r="H941"/>
  <c r="H953" s="1"/>
  <c r="H66" i="251" s="1"/>
  <c r="H105" i="187"/>
  <c r="H115" s="1"/>
  <c r="H34" i="251" s="1"/>
  <c r="H425" i="187"/>
  <c r="H1269"/>
  <c r="H834"/>
  <c r="H845" s="1"/>
  <c r="H62" i="251" s="1"/>
  <c r="H977" i="187"/>
  <c r="H989" s="1"/>
  <c r="H67" i="251" s="1"/>
  <c r="H73" i="253" s="1"/>
  <c r="H577" i="187"/>
  <c r="H1143"/>
  <c r="H132"/>
  <c r="H142" s="1"/>
  <c r="H35" i="251" s="1"/>
  <c r="H73" i="192"/>
  <c r="H1185" i="187"/>
  <c r="H249"/>
  <c r="H260" s="1"/>
  <c r="H40" i="251" s="1"/>
  <c r="H217" i="187"/>
  <c r="H228" s="1"/>
  <c r="H39" i="251" s="1"/>
  <c r="H1311" i="187"/>
  <c r="H1017"/>
  <c r="H159"/>
  <c r="H169" s="1"/>
  <c r="H36" i="251" s="1"/>
  <c r="H1059" i="187"/>
  <c r="H73" i="186"/>
  <c r="H615" i="187"/>
  <c r="H313"/>
  <c r="H324" s="1"/>
  <c r="H42" i="251" s="1"/>
  <c r="H905" i="187"/>
  <c r="H917" s="1"/>
  <c r="H65" i="251" s="1"/>
  <c r="H186" i="187"/>
  <c r="H196" s="1"/>
  <c r="H37" i="251" s="1"/>
  <c r="H463" i="187"/>
  <c r="H803"/>
  <c r="H814" s="1"/>
  <c r="H61" i="251" s="1"/>
  <c r="H501" i="187"/>
  <c r="P61" i="253"/>
  <c r="Q61"/>
  <c r="G1263" i="187"/>
  <c r="G1221"/>
  <c r="G831"/>
  <c r="G937"/>
  <c r="G800"/>
  <c r="G1095"/>
  <c r="G1011"/>
  <c r="G769"/>
  <c r="G973"/>
  <c r="G58" i="186"/>
  <c r="G738" i="187"/>
  <c r="G1137"/>
  <c r="G1179"/>
  <c r="G865"/>
  <c r="G1053"/>
  <c r="G1305"/>
  <c r="G58" i="192"/>
  <c r="G901" i="187"/>
  <c r="J534" i="65"/>
  <c r="J445" i="59"/>
  <c r="J573" i="65"/>
  <c r="J1124" i="59"/>
  <c r="J456" i="65"/>
  <c r="J1078" i="59"/>
  <c r="J92" i="80"/>
  <c r="J92" i="64"/>
  <c r="J484" i="59"/>
  <c r="J1352" i="65"/>
  <c r="J495"/>
  <c r="J367" i="59"/>
  <c r="J1260" i="65"/>
  <c r="J1216" i="59"/>
  <c r="J1398" i="65"/>
  <c r="J1306"/>
  <c r="J1170" i="59"/>
  <c r="J406"/>
  <c r="J93" i="63"/>
  <c r="I1306" i="65"/>
  <c r="I456"/>
  <c r="I367" i="59"/>
  <c r="I1352" i="65"/>
  <c r="I92" i="64"/>
  <c r="I93" i="63"/>
  <c r="I495" i="65"/>
  <c r="I1124" i="59"/>
  <c r="I1260" i="65"/>
  <c r="I92" i="80"/>
  <c r="I1078" i="59"/>
  <c r="I1398" i="65"/>
  <c r="I484" i="59"/>
  <c r="I1216"/>
  <c r="I534" i="65"/>
  <c r="I406" i="59"/>
  <c r="I1170"/>
  <c r="I445"/>
  <c r="I573" i="65"/>
  <c r="I100" i="80"/>
  <c r="I1354" i="65"/>
  <c r="I1176"/>
  <c r="I1172" i="59"/>
  <c r="I839"/>
  <c r="I1034"/>
  <c r="I1446" i="65"/>
  <c r="I1584"/>
  <c r="I1080" i="59"/>
  <c r="I804"/>
  <c r="I101" i="63"/>
  <c r="I1096" i="65"/>
  <c r="I1216"/>
  <c r="I1263" i="59"/>
  <c r="I1398"/>
  <c r="I1136" i="65"/>
  <c r="I986"/>
  <c r="I914" i="59"/>
  <c r="I1308"/>
  <c r="I1400" i="65"/>
  <c r="I769" i="59"/>
  <c r="I1056" i="65"/>
  <c r="I994" i="59"/>
  <c r="I1021" i="65"/>
  <c r="I954" i="59"/>
  <c r="I951" i="65"/>
  <c r="I1218" i="59"/>
  <c r="I1492" i="65"/>
  <c r="I1308"/>
  <c r="I1262"/>
  <c r="I1353" i="59"/>
  <c r="I1126"/>
  <c r="I100" i="64"/>
  <c r="I1538" i="65"/>
  <c r="I874" i="59"/>
  <c r="H138" i="253"/>
  <c r="I138" s="1"/>
  <c r="J138" s="1"/>
  <c r="L138" s="1"/>
  <c r="M138" s="1"/>
  <c r="H1183" i="187"/>
  <c r="H537"/>
  <c r="H70" i="186"/>
  <c r="H1309" i="187"/>
  <c r="H613"/>
  <c r="H70" i="192"/>
  <c r="H499" i="187"/>
  <c r="H575"/>
  <c r="H1225"/>
  <c r="H1267"/>
  <c r="H1283" s="1"/>
  <c r="H76" i="251" s="1"/>
  <c r="J86" i="70"/>
  <c r="J83"/>
  <c r="L84" s="1"/>
  <c r="J1396" i="65"/>
  <c r="J949"/>
  <c r="J493"/>
  <c r="J610"/>
  <c r="J1214" i="59"/>
  <c r="J767"/>
  <c r="J1259"/>
  <c r="J140"/>
  <c r="J88" i="63"/>
  <c r="J1174" i="65"/>
  <c r="J727"/>
  <c r="J87" i="64"/>
  <c r="J318" i="65"/>
  <c r="J992" i="59"/>
  <c r="J599"/>
  <c r="J952"/>
  <c r="J112"/>
  <c r="J1258" i="65"/>
  <c r="J1304"/>
  <c r="J257"/>
  <c r="J384"/>
  <c r="J688"/>
  <c r="J262" i="59"/>
  <c r="J521"/>
  <c r="J1122"/>
  <c r="J87" i="80"/>
  <c r="J1019" i="65"/>
  <c r="J1350"/>
  <c r="J1349" i="59"/>
  <c r="J1394"/>
  <c r="J837"/>
  <c r="J482"/>
  <c r="J196"/>
  <c r="J229"/>
  <c r="J1488" i="65"/>
  <c r="J649"/>
  <c r="J443" i="59"/>
  <c r="J1168"/>
  <c r="J365"/>
  <c r="J1094" i="65"/>
  <c r="J571"/>
  <c r="J1032" i="59"/>
  <c r="J560"/>
  <c r="J351" i="65"/>
  <c r="J1534"/>
  <c r="J532"/>
  <c r="J638" i="59"/>
  <c r="J404"/>
  <c r="J1580" i="65"/>
  <c r="J1134"/>
  <c r="J1304" i="59"/>
  <c r="J295"/>
  <c r="J1076"/>
  <c r="J1214" i="65"/>
  <c r="J1442"/>
  <c r="J285"/>
  <c r="J454"/>
  <c r="J912" i="59"/>
  <c r="J229" i="65"/>
  <c r="J328" i="59"/>
  <c r="J168"/>
  <c r="J1054" i="65"/>
  <c r="J984"/>
  <c r="J417"/>
  <c r="J802" i="59"/>
  <c r="J201" i="65"/>
  <c r="J872" i="59"/>
  <c r="H136" i="253"/>
  <c r="I136" s="1"/>
  <c r="J136" s="1"/>
  <c r="L136" s="1"/>
  <c r="M136" s="1"/>
  <c r="I1221" i="187"/>
  <c r="I800"/>
  <c r="I1053"/>
  <c r="I769"/>
  <c r="I58" i="192"/>
  <c r="I937" i="187"/>
  <c r="I738"/>
  <c r="I1263"/>
  <c r="I1095"/>
  <c r="I58" i="186"/>
  <c r="I1305" i="187"/>
  <c r="I973"/>
  <c r="I1011"/>
  <c r="I865"/>
  <c r="I1179"/>
  <c r="I1137"/>
  <c r="I901"/>
  <c r="I831"/>
  <c r="G1202" i="65"/>
  <c r="G1009"/>
  <c r="G521"/>
  <c r="G251"/>
  <c r="G1107" i="59"/>
  <c r="G827"/>
  <c r="G588"/>
  <c r="G627"/>
  <c r="G1427" i="65"/>
  <c r="G443"/>
  <c r="G939"/>
  <c r="G716"/>
  <c r="G1335"/>
  <c r="G1381"/>
  <c r="G310"/>
  <c r="G1335" i="59"/>
  <c r="G599" i="65"/>
  <c r="G1122"/>
  <c r="G223"/>
  <c r="G900" i="59"/>
  <c r="G549"/>
  <c r="G134"/>
  <c r="G974" i="65"/>
  <c r="G376"/>
  <c r="G677"/>
  <c r="G195"/>
  <c r="G510" i="59"/>
  <c r="G393"/>
  <c r="G106"/>
  <c r="G482" i="65"/>
  <c r="G52" i="63"/>
  <c r="G1519" i="65"/>
  <c r="G1380" i="59"/>
  <c r="G51" i="64"/>
  <c r="G354" i="59"/>
  <c r="G320"/>
  <c r="G940"/>
  <c r="G1061"/>
  <c r="G51" i="80"/>
  <c r="G1082" i="65"/>
  <c r="G1290" i="59"/>
  <c r="G343" i="65"/>
  <c r="G287" i="59"/>
  <c r="G980"/>
  <c r="G471"/>
  <c r="G1162" i="65"/>
  <c r="G221" i="59"/>
  <c r="G1243" i="65"/>
  <c r="G1044"/>
  <c r="G1153" i="59"/>
  <c r="G1245"/>
  <c r="G862"/>
  <c r="G432"/>
  <c r="G254"/>
  <c r="G792"/>
  <c r="G638" i="65"/>
  <c r="G190" i="59"/>
  <c r="G1565" i="65"/>
  <c r="G162" i="59"/>
  <c r="G560" i="65"/>
  <c r="G279"/>
  <c r="G1020" i="59"/>
  <c r="G409" i="65"/>
  <c r="G1199" i="59"/>
  <c r="G1473" i="65"/>
  <c r="G757" i="59"/>
  <c r="G1289" i="65"/>
  <c r="I1349"/>
  <c r="I1213"/>
  <c r="I492"/>
  <c r="I416"/>
  <c r="I559" i="59"/>
  <c r="I261"/>
  <c r="I1133" i="65"/>
  <c r="I687"/>
  <c r="I726"/>
  <c r="I570"/>
  <c r="I403" i="59"/>
  <c r="I1031"/>
  <c r="I648" i="65"/>
  <c r="I531"/>
  <c r="I86" i="64"/>
  <c r="I317" i="65"/>
  <c r="I228" i="59"/>
  <c r="I951"/>
  <c r="I86" i="80"/>
  <c r="I1579" i="65"/>
  <c r="I383"/>
  <c r="I1348" i="59"/>
  <c r="I1167"/>
  <c r="I1075"/>
  <c r="I637"/>
  <c r="I1487" i="65"/>
  <c r="I1395"/>
  <c r="I1393" i="59"/>
  <c r="I1258"/>
  <c r="I520"/>
  <c r="I1213"/>
  <c r="I481"/>
  <c r="I1093" i="65"/>
  <c r="I1441"/>
  <c r="I453"/>
  <c r="I911" i="59"/>
  <c r="I327"/>
  <c r="I598"/>
  <c r="I1173" i="65"/>
  <c r="I991" i="59"/>
  <c r="I1257" i="65"/>
  <c r="I442" i="59"/>
  <c r="I1303"/>
  <c r="I294"/>
  <c r="I350" i="65"/>
  <c r="I1121" i="59"/>
  <c r="I1303" i="65"/>
  <c r="I364" i="59"/>
  <c r="I1533" i="65"/>
  <c r="I609"/>
  <c r="I87" i="63"/>
  <c r="I1305" i="65"/>
  <c r="I494"/>
  <c r="I444" i="59"/>
  <c r="I1351" i="65"/>
  <c r="I483" i="59"/>
  <c r="I1397" i="65"/>
  <c r="I92" i="63"/>
  <c r="I533" i="65"/>
  <c r="I366" i="59"/>
  <c r="I572" i="65"/>
  <c r="I1215" i="59"/>
  <c r="I91" i="80"/>
  <c r="I1077" i="59"/>
  <c r="I1123"/>
  <c r="I1259" i="65"/>
  <c r="I91" i="64"/>
  <c r="I1169" i="59"/>
  <c r="I455" i="65"/>
  <c r="I405" i="59"/>
  <c r="F1305" i="65"/>
  <c r="F366" i="59"/>
  <c r="F1351" i="65"/>
  <c r="F1169" i="59"/>
  <c r="F494" i="65"/>
  <c r="F1123" i="59"/>
  <c r="F533" i="65"/>
  <c r="F405" i="59"/>
  <c r="F91" i="80"/>
  <c r="F1215" i="59"/>
  <c r="F1077"/>
  <c r="F1259" i="65"/>
  <c r="F91" i="64"/>
  <c r="F92" i="63"/>
  <c r="F1397" i="65"/>
  <c r="F572"/>
  <c r="F455"/>
  <c r="F483" i="59"/>
  <c r="F444"/>
  <c r="F729" i="65"/>
  <c r="F523" i="59"/>
  <c r="F1396"/>
  <c r="F1306"/>
  <c r="F601"/>
  <c r="F612" i="65"/>
  <c r="F640" i="59"/>
  <c r="F1490" i="65"/>
  <c r="F1351" i="59"/>
  <c r="F1536" i="65"/>
  <c r="F1261" i="59"/>
  <c r="F1582" i="65"/>
  <c r="F96" i="63"/>
  <c r="F95" i="80"/>
  <c r="F690" i="65"/>
  <c r="F651"/>
  <c r="F1444"/>
  <c r="F95" i="64"/>
  <c r="F562" i="59"/>
  <c r="J1176" i="65"/>
  <c r="J1446"/>
  <c r="J954" i="59"/>
  <c r="J1584" i="65"/>
  <c r="J1262"/>
  <c r="J100" i="64"/>
  <c r="J1218" i="59"/>
  <c r="J1492" i="65"/>
  <c r="J1216"/>
  <c r="J1398" i="59"/>
  <c r="J101" i="63"/>
  <c r="J1080" i="59"/>
  <c r="J1538" i="65"/>
  <c r="J986"/>
  <c r="J1263" i="59"/>
  <c r="J804"/>
  <c r="J1400" i="65"/>
  <c r="J1172" i="59"/>
  <c r="J1056" i="65"/>
  <c r="J874" i="59"/>
  <c r="J1308"/>
  <c r="J1021" i="65"/>
  <c r="J839" i="59"/>
  <c r="J951" i="65"/>
  <c r="J769" i="59"/>
  <c r="J100" i="80"/>
  <c r="J1096" i="65"/>
  <c r="J994" i="59"/>
  <c r="J1308" i="65"/>
  <c r="J1034" i="59"/>
  <c r="J1136" i="65"/>
  <c r="J1126" i="59"/>
  <c r="J1354" i="65"/>
  <c r="J1353" i="59"/>
  <c r="J914"/>
  <c r="J1309" i="187"/>
  <c r="J613"/>
  <c r="J499"/>
  <c r="J1267"/>
  <c r="J1183"/>
  <c r="J1225"/>
  <c r="J70" i="192"/>
  <c r="J537" i="187"/>
  <c r="J70" i="186"/>
  <c r="J575" i="187"/>
  <c r="H292"/>
  <c r="H41" i="251" s="1"/>
  <c r="S63" i="184"/>
  <c r="I49" i="185" s="1"/>
  <c r="G49"/>
  <c r="T99" i="184"/>
  <c r="J85" i="185" s="1"/>
  <c r="S99" i="184"/>
  <c r="I85" i="185" s="1"/>
  <c r="F85"/>
  <c r="T103" i="184"/>
  <c r="J89" i="185" s="1"/>
  <c r="F89"/>
  <c r="S103" i="184"/>
  <c r="I89" i="185" s="1"/>
  <c r="F98" i="29"/>
  <c r="E105" i="184"/>
  <c r="M105" s="1"/>
  <c r="J1100" i="187"/>
  <c r="J1142"/>
  <c r="J386"/>
  <c r="J348"/>
  <c r="J1016"/>
  <c r="J1058"/>
  <c r="J424"/>
  <c r="J462"/>
  <c r="J68" i="186"/>
  <c r="J68" i="192"/>
  <c r="F1580" i="65"/>
  <c r="F1019"/>
  <c r="F493"/>
  <c r="F1259" i="59"/>
  <c r="F532" i="65"/>
  <c r="F229" i="59"/>
  <c r="F443"/>
  <c r="F365"/>
  <c r="F1396" i="65"/>
  <c r="F984"/>
  <c r="F87" i="64"/>
  <c r="F610" i="65"/>
  <c r="F384"/>
  <c r="F1076" i="59"/>
  <c r="F262"/>
  <c r="F328"/>
  <c r="F688" i="65"/>
  <c r="F1488"/>
  <c r="F285"/>
  <c r="F649"/>
  <c r="F1304" i="59"/>
  <c r="F872"/>
  <c r="F638"/>
  <c r="F168"/>
  <c r="F1350" i="65"/>
  <c r="F1214"/>
  <c r="F454"/>
  <c r="F201"/>
  <c r="F952" i="59"/>
  <c r="F560"/>
  <c r="F767"/>
  <c r="F912"/>
  <c r="F88" i="63"/>
  <c r="F1174" i="65"/>
  <c r="F727"/>
  <c r="F1394" i="59"/>
  <c r="F1032"/>
  <c r="F1442" i="65"/>
  <c r="F257"/>
  <c r="F1214" i="59"/>
  <c r="F482"/>
  <c r="F318" i="65"/>
  <c r="F1258"/>
  <c r="F229"/>
  <c r="F1122" i="59"/>
  <c r="F295"/>
  <c r="F1054" i="65"/>
  <c r="F1349" i="59"/>
  <c r="F404"/>
  <c r="F521"/>
  <c r="F87" i="80"/>
  <c r="F837" i="59"/>
  <c r="F949" i="65"/>
  <c r="F417"/>
  <c r="F992" i="59"/>
  <c r="F196"/>
  <c r="F1304" i="65"/>
  <c r="F140" i="59"/>
  <c r="F802"/>
  <c r="F571" i="65"/>
  <c r="F599" i="59"/>
  <c r="F1534" i="65"/>
  <c r="F112" i="59"/>
  <c r="F351" i="65"/>
  <c r="F1134"/>
  <c r="F1094"/>
  <c r="F1168" i="59"/>
  <c r="F728" i="65"/>
  <c r="F1395" i="59"/>
  <c r="F1489" i="65"/>
  <c r="F1305" i="59"/>
  <c r="F611" i="65"/>
  <c r="F639" i="59"/>
  <c r="F1535" i="65"/>
  <c r="F522" i="59"/>
  <c r="F94" i="80"/>
  <c r="F650" i="65"/>
  <c r="F561" i="59"/>
  <c r="F1581" i="65"/>
  <c r="F689"/>
  <c r="F1350" i="59"/>
  <c r="F1260"/>
  <c r="F95" i="63"/>
  <c r="F1443" i="65"/>
  <c r="F94" i="64"/>
  <c r="F600" i="59"/>
  <c r="J1536" i="65"/>
  <c r="J1351" i="59"/>
  <c r="J640"/>
  <c r="J1582" i="65"/>
  <c r="J1261" i="59"/>
  <c r="J523"/>
  <c r="J1444" i="65"/>
  <c r="J1396" i="59"/>
  <c r="J612" i="65"/>
  <c r="J96" i="63"/>
  <c r="J95" i="64"/>
  <c r="J1306" i="59"/>
  <c r="J562"/>
  <c r="J95" i="80"/>
  <c r="J601" i="59"/>
  <c r="J690" i="65"/>
  <c r="J1490"/>
  <c r="J729"/>
  <c r="J651"/>
  <c r="F1352"/>
  <c r="F1124" i="59"/>
  <c r="F484"/>
  <c r="F1398" i="65"/>
  <c r="F1170" i="59"/>
  <c r="F1260" i="65"/>
  <c r="F367" i="59"/>
  <c r="F573" i="65"/>
  <c r="F93" i="63"/>
  <c r="F534" i="65"/>
  <c r="F1216" i="59"/>
  <c r="F92" i="80"/>
  <c r="F92" i="64"/>
  <c r="F445" i="59"/>
  <c r="F456" i="65"/>
  <c r="F495"/>
  <c r="F406" i="59"/>
  <c r="F1078"/>
  <c r="F1306" i="65"/>
  <c r="I98" i="29"/>
  <c r="I105" i="184"/>
  <c r="Q105" s="1"/>
  <c r="J1057" i="187"/>
  <c r="J461"/>
  <c r="J1015"/>
  <c r="J1099"/>
  <c r="J423"/>
  <c r="J385"/>
  <c r="J347"/>
  <c r="J67" i="192"/>
  <c r="J1141" i="187"/>
  <c r="J67" i="186"/>
  <c r="H386" i="187"/>
  <c r="H400" s="1"/>
  <c r="H45" i="251" s="1"/>
  <c r="H462" i="187"/>
  <c r="H476" s="1"/>
  <c r="H47" i="251" s="1"/>
  <c r="H1016" i="187"/>
  <c r="H68" i="186"/>
  <c r="H1142" i="187"/>
  <c r="H348"/>
  <c r="H362" s="1"/>
  <c r="H44" i="251" s="1"/>
  <c r="H50" i="253" s="1"/>
  <c r="H1058" i="187"/>
  <c r="H68" i="192"/>
  <c r="H1100" i="187"/>
  <c r="H424"/>
  <c r="H438" s="1"/>
  <c r="H46" i="251" s="1"/>
  <c r="R60" i="253"/>
  <c r="F141"/>
  <c r="P140"/>
  <c r="Q140" s="1"/>
  <c r="R140" s="1"/>
  <c r="P37"/>
  <c r="Q37"/>
  <c r="P62"/>
  <c r="Q62"/>
  <c r="F74" i="70"/>
  <c r="H66" i="164"/>
  <c r="S6" i="162"/>
  <c r="S12" s="1"/>
  <c r="H58" i="164"/>
  <c r="J87" i="183"/>
  <c r="J84"/>
  <c r="L85" s="1"/>
  <c r="P115" i="253"/>
  <c r="Q115" s="1"/>
  <c r="R115" s="1"/>
  <c r="F116"/>
  <c r="I183" i="250"/>
  <c r="F183"/>
  <c r="E82"/>
  <c r="J82"/>
  <c r="E95"/>
  <c r="L82"/>
  <c r="K82"/>
  <c r="I95"/>
  <c r="H40" i="253" l="1"/>
  <c r="H120" i="255"/>
  <c r="H552" i="187"/>
  <c r="H50" i="251" s="1"/>
  <c r="H590" i="187"/>
  <c r="H51" i="251" s="1"/>
  <c r="H41" i="253"/>
  <c r="H121" i="255"/>
  <c r="H145"/>
  <c r="H65" i="253"/>
  <c r="H1115" i="187"/>
  <c r="H71" i="251" s="1"/>
  <c r="H77" i="253" s="1"/>
  <c r="H1241" i="187"/>
  <c r="H75" i="251" s="1"/>
  <c r="H81" i="253" s="1"/>
  <c r="H101" i="192"/>
  <c r="H1031" i="187"/>
  <c r="H69" i="251" s="1"/>
  <c r="H75" i="253" s="1"/>
  <c r="H102" i="186"/>
  <c r="H1325" i="187"/>
  <c r="H77" i="251" s="1"/>
  <c r="H163" i="255" s="1"/>
  <c r="R62" i="253"/>
  <c r="R38"/>
  <c r="H157" i="255"/>
  <c r="F75" i="183"/>
  <c r="F48"/>
  <c r="I59" s="1"/>
  <c r="I62" s="1"/>
  <c r="F80" s="1"/>
  <c r="F81" s="1"/>
  <c r="F82" s="1"/>
  <c r="H514" i="187"/>
  <c r="H49" i="251" s="1"/>
  <c r="H135" i="255" s="1"/>
  <c r="R63" i="253"/>
  <c r="H1157" i="187"/>
  <c r="H72" i="251" s="1"/>
  <c r="H78" i="253" s="1"/>
  <c r="R37"/>
  <c r="H1073" i="187"/>
  <c r="H70" i="251" s="1"/>
  <c r="H76" i="253" s="1"/>
  <c r="H628" i="187"/>
  <c r="H52" i="251" s="1"/>
  <c r="H138" i="255" s="1"/>
  <c r="H1199" i="187"/>
  <c r="H74" i="251" s="1"/>
  <c r="H80" i="253" s="1"/>
  <c r="H57"/>
  <c r="H137" i="255"/>
  <c r="H51" i="253"/>
  <c r="H131" i="255"/>
  <c r="H52" i="253"/>
  <c r="H132" i="255"/>
  <c r="H43" i="253"/>
  <c r="H123" i="255"/>
  <c r="H68" i="253"/>
  <c r="H148" i="255"/>
  <c r="H83" i="253"/>
  <c r="H82"/>
  <c r="H162" i="255"/>
  <c r="H56" i="253"/>
  <c r="H136" i="255"/>
  <c r="H152"/>
  <c r="H72" i="253"/>
  <c r="H53"/>
  <c r="H133" i="255"/>
  <c r="H67" i="253"/>
  <c r="H147" i="255"/>
  <c r="H70" i="253"/>
  <c r="H150" i="255"/>
  <c r="H161"/>
  <c r="H146"/>
  <c r="H153"/>
  <c r="R61" i="253"/>
  <c r="L95" i="250"/>
  <c r="M95"/>
  <c r="H95"/>
  <c r="H42" i="253"/>
  <c r="H122" i="255"/>
  <c r="H130"/>
  <c r="H155"/>
  <c r="F117" i="253"/>
  <c r="P116"/>
  <c r="Q116" s="1"/>
  <c r="R116" s="1"/>
  <c r="D144" i="183"/>
  <c r="D158" s="1"/>
  <c r="D161" s="1"/>
  <c r="L88"/>
  <c r="S7" i="162"/>
  <c r="S13" s="1"/>
  <c r="H59" i="164"/>
  <c r="H67"/>
  <c r="F80" i="70"/>
  <c r="F81" s="1"/>
  <c r="F142" i="253"/>
  <c r="P141"/>
  <c r="Q141" s="1"/>
  <c r="R141" s="1"/>
  <c r="I1055" i="65"/>
  <c r="I1491"/>
  <c r="I652"/>
  <c r="I1397" i="59"/>
  <c r="I258" i="65"/>
  <c r="I1125" i="59"/>
  <c r="I197"/>
  <c r="I803"/>
  <c r="I496" i="65"/>
  <c r="I524" i="59"/>
  <c r="I1175" i="65"/>
  <c r="I230" i="59"/>
  <c r="I418" i="65"/>
  <c r="I1020"/>
  <c r="I1307"/>
  <c r="I319"/>
  <c r="I1307" i="59"/>
  <c r="I230" i="65"/>
  <c r="I1079" i="59"/>
  <c r="I169"/>
  <c r="I768"/>
  <c r="I985" i="65"/>
  <c r="I1135"/>
  <c r="I1352" i="59"/>
  <c r="I1217"/>
  <c r="I202" i="65"/>
  <c r="I953" i="59"/>
  <c r="I141"/>
  <c r="I563"/>
  <c r="I602"/>
  <c r="I407"/>
  <c r="I1261" i="65"/>
  <c r="I296" i="59"/>
  <c r="I993"/>
  <c r="I730" i="65"/>
  <c r="I950"/>
  <c r="I1537"/>
  <c r="I1033" i="59"/>
  <c r="I1171"/>
  <c r="I1583" i="65"/>
  <c r="I535"/>
  <c r="I641" i="59"/>
  <c r="I97" i="80"/>
  <c r="I1445" i="65"/>
  <c r="I1353"/>
  <c r="I97" i="64"/>
  <c r="I613" i="65"/>
  <c r="I446" i="59"/>
  <c r="I913"/>
  <c r="I368"/>
  <c r="I263"/>
  <c r="I352" i="65"/>
  <c r="I329" i="59"/>
  <c r="I385" i="65"/>
  <c r="I286"/>
  <c r="I838" i="59"/>
  <c r="I1399" i="65"/>
  <c r="I1095"/>
  <c r="I574"/>
  <c r="I691"/>
  <c r="I457"/>
  <c r="I113" i="59"/>
  <c r="I485"/>
  <c r="I873"/>
  <c r="I98" i="63"/>
  <c r="I1215" i="65"/>
  <c r="I1262" i="59"/>
  <c r="T105" i="184"/>
  <c r="J91" i="185" s="1"/>
  <c r="F91"/>
  <c r="S105" i="184"/>
  <c r="I91" i="185" s="1"/>
  <c r="F97" i="80"/>
  <c r="F108" s="1"/>
  <c r="F1055" i="65"/>
  <c r="F1063" s="1"/>
  <c r="F74" i="66" s="1"/>
  <c r="F1261" i="65"/>
  <c r="F1269" s="1"/>
  <c r="F81" i="66" s="1"/>
  <c r="F457" i="65"/>
  <c r="F464" s="1"/>
  <c r="F51" i="66" s="1"/>
  <c r="F97" i="64"/>
  <c r="F109" s="1"/>
  <c r="F602" i="59"/>
  <c r="F609" s="1"/>
  <c r="F68" i="60" s="1"/>
  <c r="F641" i="59"/>
  <c r="F648" s="1"/>
  <c r="F69" i="60" s="1"/>
  <c r="F1352" i="59"/>
  <c r="F1360" s="1"/>
  <c r="F93" i="60" s="1"/>
  <c r="F98" i="63"/>
  <c r="F110" s="1"/>
  <c r="F1537" i="65"/>
  <c r="F1545" s="1"/>
  <c r="F88" i="66" s="1"/>
  <c r="F1020" i="65"/>
  <c r="F1028" s="1"/>
  <c r="F73" i="66" s="1"/>
  <c r="F1095" i="65"/>
  <c r="F1103" s="1"/>
  <c r="F76" i="66" s="1"/>
  <c r="F286" i="65"/>
  <c r="F293" s="1"/>
  <c r="F44" i="66" s="1"/>
  <c r="F1171" i="59"/>
  <c r="F1179" s="1"/>
  <c r="F88" i="60" s="1"/>
  <c r="F446" i="59"/>
  <c r="F453" s="1"/>
  <c r="F63" i="60" s="1"/>
  <c r="F485" i="59"/>
  <c r="F492" s="1"/>
  <c r="F64" i="60" s="1"/>
  <c r="F873" i="59"/>
  <c r="F881" s="1"/>
  <c r="F79" i="60" s="1"/>
  <c r="F141" i="59"/>
  <c r="F148" s="1"/>
  <c r="F52" i="60" s="1"/>
  <c r="F1353" i="65"/>
  <c r="F1361" s="1"/>
  <c r="F83" i="66" s="1"/>
  <c r="F985" i="65"/>
  <c r="F993" s="1"/>
  <c r="F72" i="66" s="1"/>
  <c r="F730" i="65"/>
  <c r="F737" s="1"/>
  <c r="F59" i="66" s="1"/>
  <c r="F258" i="65"/>
  <c r="F265" s="1"/>
  <c r="F43" i="66" s="1"/>
  <c r="F352" i="65"/>
  <c r="F359" s="1"/>
  <c r="F47" i="66" s="1"/>
  <c r="F296" i="59"/>
  <c r="F303" s="1"/>
  <c r="F58" i="60" s="1"/>
  <c r="F329" i="59"/>
  <c r="F336" s="1"/>
  <c r="F59" i="60" s="1"/>
  <c r="F838" i="59"/>
  <c r="F846" s="1"/>
  <c r="F78" i="60" s="1"/>
  <c r="F113" i="59"/>
  <c r="F120" s="1"/>
  <c r="F51" i="60" s="1"/>
  <c r="F1175" i="65"/>
  <c r="F1183" s="1"/>
  <c r="F78" i="66" s="1"/>
  <c r="F950" i="65"/>
  <c r="F958" s="1"/>
  <c r="F71" i="66" s="1"/>
  <c r="F574" i="65"/>
  <c r="F581" s="1"/>
  <c r="F54" i="66" s="1"/>
  <c r="F230" i="65"/>
  <c r="F237" s="1"/>
  <c r="F42" i="66" s="1"/>
  <c r="F1397" i="59"/>
  <c r="F1405" s="1"/>
  <c r="F94" i="60" s="1"/>
  <c r="F1262" i="59"/>
  <c r="F1270" s="1"/>
  <c r="F91" i="60" s="1"/>
  <c r="F197" i="59"/>
  <c r="F204" s="1"/>
  <c r="F54" i="60" s="1"/>
  <c r="F803" i="59"/>
  <c r="F811" s="1"/>
  <c r="F77" i="60" s="1"/>
  <c r="F652" i="65"/>
  <c r="F659" s="1"/>
  <c r="F57" i="66" s="1"/>
  <c r="F691" i="65"/>
  <c r="F698" s="1"/>
  <c r="F58" i="66" s="1"/>
  <c r="F1491" i="65"/>
  <c r="F1499" s="1"/>
  <c r="F87" i="66" s="1"/>
  <c r="F202" i="65"/>
  <c r="F209" s="1"/>
  <c r="F41" i="66" s="1"/>
  <c r="F1307" i="59"/>
  <c r="F1315" s="1"/>
  <c r="F92" i="60" s="1"/>
  <c r="F1125" i="59"/>
  <c r="F1133" s="1"/>
  <c r="F87" i="60" s="1"/>
  <c r="F169" i="59"/>
  <c r="F176" s="1"/>
  <c r="F53" i="60" s="1"/>
  <c r="F768" i="59"/>
  <c r="F776" s="1"/>
  <c r="F76" i="60" s="1"/>
  <c r="F1399" i="65"/>
  <c r="F1407" s="1"/>
  <c r="F84" i="66" s="1"/>
  <c r="F385" i="65"/>
  <c r="F392" s="1"/>
  <c r="F48" i="66" s="1"/>
  <c r="F1135" i="65"/>
  <c r="F1143" s="1"/>
  <c r="F77" i="66" s="1"/>
  <c r="F319" i="65"/>
  <c r="F326" s="1"/>
  <c r="F46" i="66" s="1"/>
  <c r="F993" i="59"/>
  <c r="F1001" s="1"/>
  <c r="F83" i="60" s="1"/>
  <c r="F953" i="59"/>
  <c r="F961" s="1"/>
  <c r="F82" i="60" s="1"/>
  <c r="F368" i="59"/>
  <c r="F375" s="1"/>
  <c r="F61" i="60" s="1"/>
  <c r="F407" i="59"/>
  <c r="F414" s="1"/>
  <c r="F62" i="60" s="1"/>
  <c r="F418" i="65"/>
  <c r="F425" s="1"/>
  <c r="F49" i="66" s="1"/>
  <c r="F563" i="59"/>
  <c r="F570" s="1"/>
  <c r="F67" i="60" s="1"/>
  <c r="F496" i="65"/>
  <c r="F503" s="1"/>
  <c r="F52" i="66" s="1"/>
  <c r="F263" i="59"/>
  <c r="F270" s="1"/>
  <c r="F57" i="60" s="1"/>
  <c r="F1215" i="65"/>
  <c r="F1223" s="1"/>
  <c r="F79" i="66" s="1"/>
  <c r="F1583" i="65"/>
  <c r="F1591" s="1"/>
  <c r="F89" i="66" s="1"/>
  <c r="F1217" i="59"/>
  <c r="F1225" s="1"/>
  <c r="F89" i="60" s="1"/>
  <c r="F913" i="59"/>
  <c r="F921" s="1"/>
  <c r="F81" i="60" s="1"/>
  <c r="F1033" i="59"/>
  <c r="F1041" s="1"/>
  <c r="F84" i="60" s="1"/>
  <c r="F535" i="65"/>
  <c r="F542" s="1"/>
  <c r="F53" i="66" s="1"/>
  <c r="F1079" i="59"/>
  <c r="F1087" s="1"/>
  <c r="F86" i="60" s="1"/>
  <c r="F1445" i="65"/>
  <c r="F1453" s="1"/>
  <c r="F86" i="66" s="1"/>
  <c r="F1307" i="65"/>
  <c r="F1315" s="1"/>
  <c r="F82" i="66" s="1"/>
  <c r="F524" i="59"/>
  <c r="F531" s="1"/>
  <c r="F66" i="60" s="1"/>
  <c r="F613" i="65"/>
  <c r="F620" s="1"/>
  <c r="F56" i="66" s="1"/>
  <c r="F230" i="59"/>
  <c r="F237" s="1"/>
  <c r="F56" i="60" s="1"/>
  <c r="I1275" i="187"/>
  <c r="I89" i="192"/>
  <c r="I1317" i="187"/>
  <c r="I1233"/>
  <c r="I1191"/>
  <c r="I582"/>
  <c r="I544"/>
  <c r="I89" i="186"/>
  <c r="I506" i="187"/>
  <c r="I620"/>
  <c r="F1191"/>
  <c r="F1233"/>
  <c r="F544"/>
  <c r="F89" i="186"/>
  <c r="F1317" i="187"/>
  <c r="F89" i="192"/>
  <c r="F620" i="187"/>
  <c r="F1275"/>
  <c r="F582"/>
  <c r="F506"/>
  <c r="J89" i="192"/>
  <c r="J89" i="186"/>
  <c r="J506" i="187"/>
  <c r="J1317"/>
  <c r="J1191"/>
  <c r="J544"/>
  <c r="J1275"/>
  <c r="J1233"/>
  <c r="J582"/>
  <c r="J620"/>
  <c r="F1064"/>
  <c r="F391"/>
  <c r="F85" i="186"/>
  <c r="F353" i="187"/>
  <c r="F85" i="192"/>
  <c r="F467" i="187"/>
  <c r="F1148"/>
  <c r="F1106"/>
  <c r="F1022"/>
  <c r="F429"/>
  <c r="I1022"/>
  <c r="I391"/>
  <c r="I85" i="186"/>
  <c r="I353" i="187"/>
  <c r="I1148"/>
  <c r="I1064"/>
  <c r="I429"/>
  <c r="I467"/>
  <c r="I1106"/>
  <c r="I85" i="192"/>
  <c r="J1022" i="187"/>
  <c r="J1064"/>
  <c r="J391"/>
  <c r="J1106"/>
  <c r="J85" i="186"/>
  <c r="J1148" i="187"/>
  <c r="J353"/>
  <c r="J467"/>
  <c r="J85" i="192"/>
  <c r="J429" i="187"/>
  <c r="G1302"/>
  <c r="G863"/>
  <c r="G1176"/>
  <c r="G531"/>
  <c r="G49" i="186"/>
  <c r="G607" i="187"/>
  <c r="G569"/>
  <c r="G1008"/>
  <c r="G417"/>
  <c r="G1218"/>
  <c r="G829"/>
  <c r="G935"/>
  <c r="G276"/>
  <c r="G1050"/>
  <c r="G798"/>
  <c r="G182"/>
  <c r="G155"/>
  <c r="G971"/>
  <c r="G767"/>
  <c r="G308"/>
  <c r="G455"/>
  <c r="G1260"/>
  <c r="G1134"/>
  <c r="G212"/>
  <c r="G244"/>
  <c r="G493"/>
  <c r="G1092"/>
  <c r="G736"/>
  <c r="G899"/>
  <c r="G128"/>
  <c r="G341"/>
  <c r="G379"/>
  <c r="G49" i="192"/>
  <c r="G101" i="187"/>
  <c r="I1092"/>
  <c r="I1134"/>
  <c r="I128"/>
  <c r="I244"/>
  <c r="I1260"/>
  <c r="I1008"/>
  <c r="I417"/>
  <c r="I863"/>
  <c r="I899"/>
  <c r="I607"/>
  <c r="I101"/>
  <c r="I1218"/>
  <c r="I155"/>
  <c r="I49" i="192"/>
  <c r="I569" i="187"/>
  <c r="I1176"/>
  <c r="I531"/>
  <c r="I182"/>
  <c r="I829"/>
  <c r="I49" i="186"/>
  <c r="I971" i="187"/>
  <c r="I455"/>
  <c r="I212"/>
  <c r="I1302"/>
  <c r="I798"/>
  <c r="I935"/>
  <c r="I276"/>
  <c r="I767"/>
  <c r="I308"/>
  <c r="I379"/>
  <c r="I1050"/>
  <c r="I736"/>
  <c r="I341"/>
  <c r="I493"/>
  <c r="H71" i="253"/>
  <c r="H151" i="255"/>
  <c r="H47" i="253"/>
  <c r="H127" i="255"/>
  <c r="H48" i="253"/>
  <c r="H128" i="255"/>
  <c r="L87" i="70"/>
  <c r="D143"/>
  <c r="D157" s="1"/>
  <c r="D160" s="1"/>
  <c r="H46" i="253"/>
  <c r="H126" i="255"/>
  <c r="H125"/>
  <c r="H45" i="253"/>
  <c r="F944" i="187"/>
  <c r="F1272"/>
  <c r="F427"/>
  <c r="F1314"/>
  <c r="F1020"/>
  <c r="F219"/>
  <c r="F389"/>
  <c r="F80" i="192"/>
  <c r="F980" i="187"/>
  <c r="F80" i="186"/>
  <c r="F315" i="187"/>
  <c r="F617"/>
  <c r="F908"/>
  <c r="F283"/>
  <c r="F1230"/>
  <c r="F1146"/>
  <c r="F465"/>
  <c r="F1062"/>
  <c r="F503"/>
  <c r="F351"/>
  <c r="F1188"/>
  <c r="F1104"/>
  <c r="F579"/>
  <c r="F251"/>
  <c r="F541"/>
  <c r="F872"/>
  <c r="J1020"/>
  <c r="J1146"/>
  <c r="J251"/>
  <c r="J465"/>
  <c r="J315"/>
  <c r="J980"/>
  <c r="J944"/>
  <c r="J541"/>
  <c r="J80" i="186"/>
  <c r="J579" i="187"/>
  <c r="J503"/>
  <c r="J389"/>
  <c r="J1062"/>
  <c r="J1230"/>
  <c r="J908"/>
  <c r="J1314"/>
  <c r="J872"/>
  <c r="J351"/>
  <c r="J219"/>
  <c r="J80" i="192"/>
  <c r="J283" i="187"/>
  <c r="J427"/>
  <c r="J1272"/>
  <c r="J1104"/>
  <c r="J617"/>
  <c r="J1188"/>
  <c r="I80" i="192"/>
  <c r="I465" i="187"/>
  <c r="I351"/>
  <c r="I219"/>
  <c r="I1146"/>
  <c r="I1062"/>
  <c r="I283"/>
  <c r="I80" i="186"/>
  <c r="I944" i="187"/>
  <c r="I872"/>
  <c r="I617"/>
  <c r="I1314"/>
  <c r="I1272"/>
  <c r="I427"/>
  <c r="I1188"/>
  <c r="I1230"/>
  <c r="I251"/>
  <c r="I1104"/>
  <c r="I541"/>
  <c r="I908"/>
  <c r="I503"/>
  <c r="I1020"/>
  <c r="I389"/>
  <c r="I315"/>
  <c r="I980"/>
  <c r="I579"/>
  <c r="J1215" i="65"/>
  <c r="J1223" s="1"/>
  <c r="J79" i="66" s="1"/>
  <c r="J1095" i="65"/>
  <c r="J1103" s="1"/>
  <c r="J76" i="66" s="1"/>
  <c r="J1537" i="65"/>
  <c r="J1545" s="1"/>
  <c r="J88" i="66" s="1"/>
  <c r="J97" i="64"/>
  <c r="J109" s="1"/>
  <c r="J457" i="65"/>
  <c r="J464" s="1"/>
  <c r="J51" i="66" s="1"/>
  <c r="J1171" i="59"/>
  <c r="J1179" s="1"/>
  <c r="J88" i="60" s="1"/>
  <c r="J113" i="59"/>
  <c r="J120" s="1"/>
  <c r="J51" i="60" s="1"/>
  <c r="J563" i="59"/>
  <c r="J570" s="1"/>
  <c r="J67" i="60" s="1"/>
  <c r="J1055" i="65"/>
  <c r="J1063" s="1"/>
  <c r="J74" i="66" s="1"/>
  <c r="J730" i="65"/>
  <c r="J737" s="1"/>
  <c r="J59" i="66" s="1"/>
  <c r="J1353" i="65"/>
  <c r="J1361" s="1"/>
  <c r="J83" i="66" s="1"/>
  <c r="J385" i="65"/>
  <c r="J392" s="1"/>
  <c r="J48" i="66" s="1"/>
  <c r="J286" i="65"/>
  <c r="J293" s="1"/>
  <c r="J44" i="66" s="1"/>
  <c r="J913" i="59"/>
  <c r="J921" s="1"/>
  <c r="J81" i="60" s="1"/>
  <c r="J524" i="59"/>
  <c r="J531" s="1"/>
  <c r="J66" i="60" s="1"/>
  <c r="J407" i="59"/>
  <c r="J414" s="1"/>
  <c r="J62" i="60" s="1"/>
  <c r="J1020" i="65"/>
  <c r="J1028" s="1"/>
  <c r="J73" i="66" s="1"/>
  <c r="J574" i="65"/>
  <c r="J581" s="1"/>
  <c r="J54" i="66" s="1"/>
  <c r="J1175" i="65"/>
  <c r="J1183" s="1"/>
  <c r="J78" i="66" s="1"/>
  <c r="J352" i="65"/>
  <c r="J359" s="1"/>
  <c r="J47" i="66" s="1"/>
  <c r="J258" i="65"/>
  <c r="J265" s="1"/>
  <c r="J43" i="66" s="1"/>
  <c r="J641" i="59"/>
  <c r="J648" s="1"/>
  <c r="J69" i="60" s="1"/>
  <c r="J368" i="59"/>
  <c r="J375" s="1"/>
  <c r="J61" i="60" s="1"/>
  <c r="J263" i="59"/>
  <c r="J270" s="1"/>
  <c r="J57" i="60" s="1"/>
  <c r="J985" i="65"/>
  <c r="J993" s="1"/>
  <c r="J72" i="66" s="1"/>
  <c r="J418" i="65"/>
  <c r="J425" s="1"/>
  <c r="J49" i="66" s="1"/>
  <c r="J652" i="65"/>
  <c r="J659" s="1"/>
  <c r="J57" i="66" s="1"/>
  <c r="J1397" i="59"/>
  <c r="J1405" s="1"/>
  <c r="J94" i="60" s="1"/>
  <c r="J230" i="65"/>
  <c r="J237" s="1"/>
  <c r="J42" i="66" s="1"/>
  <c r="J485" i="59"/>
  <c r="J492" s="1"/>
  <c r="J64" i="60" s="1"/>
  <c r="J230" i="59"/>
  <c r="J237" s="1"/>
  <c r="J56" i="60" s="1"/>
  <c r="J98" i="63"/>
  <c r="J110" s="1"/>
  <c r="J950" i="65"/>
  <c r="J958" s="1"/>
  <c r="J71" i="66" s="1"/>
  <c r="J1491" i="65"/>
  <c r="J1499" s="1"/>
  <c r="J87" i="66" s="1"/>
  <c r="J496" i="65"/>
  <c r="J503" s="1"/>
  <c r="J52" i="66" s="1"/>
  <c r="J1307" i="59"/>
  <c r="J1315" s="1"/>
  <c r="J92" i="60" s="1"/>
  <c r="J202" i="65"/>
  <c r="J209" s="1"/>
  <c r="J41" i="66" s="1"/>
  <c r="J329" i="59"/>
  <c r="J336" s="1"/>
  <c r="J59" i="60" s="1"/>
  <c r="J873" i="59"/>
  <c r="J881" s="1"/>
  <c r="J79" i="60" s="1"/>
  <c r="J993" i="59"/>
  <c r="J1001" s="1"/>
  <c r="J83" i="60" s="1"/>
  <c r="J1583" i="65"/>
  <c r="J1591" s="1"/>
  <c r="J89" i="66" s="1"/>
  <c r="J1445" i="65"/>
  <c r="J1453" s="1"/>
  <c r="J86" i="66" s="1"/>
  <c r="J1135" i="65"/>
  <c r="J1143" s="1"/>
  <c r="J77" i="66" s="1"/>
  <c r="J1352" i="59"/>
  <c r="J1360" s="1"/>
  <c r="J93" i="60" s="1"/>
  <c r="J1033" i="59"/>
  <c r="J1041" s="1"/>
  <c r="J84" i="60" s="1"/>
  <c r="J1079" i="59"/>
  <c r="J1087" s="1"/>
  <c r="J86" i="60" s="1"/>
  <c r="J169" i="59"/>
  <c r="J176" s="1"/>
  <c r="J53" i="60" s="1"/>
  <c r="J803" i="59"/>
  <c r="J811" s="1"/>
  <c r="J77" i="60" s="1"/>
  <c r="J446" i="59"/>
  <c r="J453" s="1"/>
  <c r="J63" i="60" s="1"/>
  <c r="J97" i="80"/>
  <c r="J108" s="1"/>
  <c r="J1217" i="59"/>
  <c r="J1225" s="1"/>
  <c r="J89" i="60" s="1"/>
  <c r="J602" i="59"/>
  <c r="J609" s="1"/>
  <c r="J68" i="60" s="1"/>
  <c r="J613" i="65"/>
  <c r="J620" s="1"/>
  <c r="J56" i="66" s="1"/>
  <c r="J1399" i="65"/>
  <c r="J1407" s="1"/>
  <c r="J84" i="66" s="1"/>
  <c r="J535" i="65"/>
  <c r="J542" s="1"/>
  <c r="J53" i="66" s="1"/>
  <c r="J296" i="59"/>
  <c r="J303" s="1"/>
  <c r="J58" i="60" s="1"/>
  <c r="J1261" i="65"/>
  <c r="J1269" s="1"/>
  <c r="J81" i="66" s="1"/>
  <c r="J691" i="65"/>
  <c r="J698" s="1"/>
  <c r="J58" i="66" s="1"/>
  <c r="J1125" i="59"/>
  <c r="J1133" s="1"/>
  <c r="J87" i="60" s="1"/>
  <c r="J953" i="59"/>
  <c r="J961" s="1"/>
  <c r="J82" i="60" s="1"/>
  <c r="J1307" i="65"/>
  <c r="J1315" s="1"/>
  <c r="J82" i="66" s="1"/>
  <c r="J197" i="59"/>
  <c r="J204" s="1"/>
  <c r="J54" i="60" s="1"/>
  <c r="J141" i="59"/>
  <c r="J148" s="1"/>
  <c r="J52" i="60" s="1"/>
  <c r="J319" i="65"/>
  <c r="J326" s="1"/>
  <c r="J46" i="66" s="1"/>
  <c r="J838" i="59"/>
  <c r="J846" s="1"/>
  <c r="J78" i="60" s="1"/>
  <c r="J1262" i="59"/>
  <c r="J1270" s="1"/>
  <c r="J91" i="60" s="1"/>
  <c r="J768" i="59"/>
  <c r="J776" s="1"/>
  <c r="J76" i="60" s="1"/>
  <c r="F505" i="187"/>
  <c r="F88" i="186"/>
  <c r="F1190" i="187"/>
  <c r="F543"/>
  <c r="F88" i="192"/>
  <c r="F1316" i="187"/>
  <c r="F1274"/>
  <c r="F581"/>
  <c r="F619"/>
  <c r="F1232"/>
  <c r="I1274"/>
  <c r="I543"/>
  <c r="I88" i="192"/>
  <c r="I88" i="186"/>
  <c r="I505" i="187"/>
  <c r="I581"/>
  <c r="I1190"/>
  <c r="I1316"/>
  <c r="I1232"/>
  <c r="I619"/>
  <c r="J505"/>
  <c r="J1274"/>
  <c r="J1316"/>
  <c r="J88" i="186"/>
  <c r="J1190" i="187"/>
  <c r="J581"/>
  <c r="J619"/>
  <c r="J88" i="192"/>
  <c r="J543" i="187"/>
  <c r="J1232"/>
  <c r="I975" i="65"/>
  <c r="I1163"/>
  <c r="I523"/>
  <c r="I542" s="1"/>
  <c r="I53" i="66" s="1"/>
  <c r="I679" i="65"/>
  <c r="I1247" i="59"/>
  <c r="I629"/>
  <c r="I648" s="1"/>
  <c r="I69" i="60" s="1"/>
  <c r="O69" s="1"/>
  <c r="I255" i="59"/>
  <c r="I270" s="1"/>
  <c r="I57" i="60" s="1"/>
  <c r="I828" i="59"/>
  <c r="I846" s="1"/>
  <c r="I78" i="60" s="1"/>
  <c r="I940" i="65"/>
  <c r="I1521"/>
  <c r="I1545" s="1"/>
  <c r="I88" i="66" s="1"/>
  <c r="M88" s="1"/>
  <c r="D65" i="160" s="1"/>
  <c r="I344" i="65"/>
  <c r="I410"/>
  <c r="I425" s="1"/>
  <c r="I49" i="66" s="1"/>
  <c r="I590" i="59"/>
  <c r="I473"/>
  <c r="I1109"/>
  <c r="I793"/>
  <c r="I811" s="1"/>
  <c r="I77" i="60" s="1"/>
  <c r="I57" i="80"/>
  <c r="I1429" i="65"/>
  <c r="I1337"/>
  <c r="I1361" s="1"/>
  <c r="I83" i="66" s="1"/>
  <c r="I640" i="65"/>
  <c r="I1201" i="59"/>
  <c r="I1225" s="1"/>
  <c r="I89" i="60" s="1"/>
  <c r="I434" i="59"/>
  <c r="I453" s="1"/>
  <c r="I63" i="60" s="1"/>
  <c r="L63" s="1"/>
  <c r="I222" i="59"/>
  <c r="I237" s="1"/>
  <c r="I56" i="60" s="1"/>
  <c r="I1155" i="59"/>
  <c r="I758"/>
  <c r="I776" s="1"/>
  <c r="I76" i="60" s="1"/>
  <c r="I1567" i="65"/>
  <c r="I1591" s="1"/>
  <c r="I89" i="66" s="1"/>
  <c r="I1245" i="65"/>
  <c r="I1269" s="1"/>
  <c r="I81" i="66" s="1"/>
  <c r="I1203" i="65"/>
  <c r="I1223" s="1"/>
  <c r="I79" i="66" s="1"/>
  <c r="I601" i="65"/>
  <c r="I57" i="64"/>
  <c r="I321" i="59"/>
  <c r="I336" s="1"/>
  <c r="I59" i="60" s="1"/>
  <c r="I191" i="59"/>
  <c r="I901"/>
  <c r="I921" s="1"/>
  <c r="I81" i="60" s="1"/>
  <c r="I135" i="59"/>
  <c r="I1383" i="65"/>
  <c r="I1407" s="1"/>
  <c r="I84" i="66" s="1"/>
  <c r="I1123" i="65"/>
  <c r="I280"/>
  <c r="I1382" i="59"/>
  <c r="I562" i="65"/>
  <c r="I581" s="1"/>
  <c r="I54" i="66" s="1"/>
  <c r="I58" i="63"/>
  <c r="I163" i="59"/>
  <c r="I551"/>
  <c r="I570" s="1"/>
  <c r="I67" i="60" s="1"/>
  <c r="I107" i="59"/>
  <c r="I1045" i="65"/>
  <c r="I1063" s="1"/>
  <c r="I74" i="66" s="1"/>
  <c r="M74" s="1"/>
  <c r="D51" i="160" s="1"/>
  <c r="I1475" i="65"/>
  <c r="I1499" s="1"/>
  <c r="I87" i="66" s="1"/>
  <c r="I224" i="65"/>
  <c r="I237" s="1"/>
  <c r="I42" i="66" s="1"/>
  <c r="I484" i="65"/>
  <c r="I503" s="1"/>
  <c r="I52" i="66" s="1"/>
  <c r="I311" i="65"/>
  <c r="I326" s="1"/>
  <c r="I46" i="66" s="1"/>
  <c r="I1021" i="59"/>
  <c r="I512"/>
  <c r="I531" s="1"/>
  <c r="I66" i="60" s="1"/>
  <c r="I288" i="59"/>
  <c r="I303" s="1"/>
  <c r="I58" i="60" s="1"/>
  <c r="I1083" i="65"/>
  <c r="I1103" s="1"/>
  <c r="I76" i="66" s="1"/>
  <c r="I377" i="65"/>
  <c r="I1010"/>
  <c r="I1337" i="59"/>
  <c r="I1360" s="1"/>
  <c r="I93" i="60" s="1"/>
  <c r="I1291" i="65"/>
  <c r="I718"/>
  <c r="I1063" i="59"/>
  <c r="I981"/>
  <c r="I1001" s="1"/>
  <c r="I83" i="60" s="1"/>
  <c r="I196" i="65"/>
  <c r="I209" s="1"/>
  <c r="I41" i="66" s="1"/>
  <c r="K41" s="1"/>
  <c r="B18" i="160" s="1"/>
  <c r="I252" i="65"/>
  <c r="I265" s="1"/>
  <c r="I43" i="66" s="1"/>
  <c r="I941" i="59"/>
  <c r="I356"/>
  <c r="I375" s="1"/>
  <c r="I61" i="60" s="1"/>
  <c r="I1292" i="59"/>
  <c r="I1315" s="1"/>
  <c r="I92" i="60" s="1"/>
  <c r="I395" i="59"/>
  <c r="I445" i="65"/>
  <c r="I464" s="1"/>
  <c r="I51" i="66" s="1"/>
  <c r="I863" i="59"/>
  <c r="I881" s="1"/>
  <c r="I79" i="60" s="1"/>
  <c r="P79" i="66"/>
  <c r="G56" i="160" s="1"/>
  <c r="S69" i="184"/>
  <c r="I55" i="185" s="1"/>
  <c r="G55"/>
  <c r="G57" i="80"/>
  <c r="G108" s="1"/>
  <c r="G1045" i="65"/>
  <c r="G1063" s="1"/>
  <c r="G74" i="66" s="1"/>
  <c r="Q74" s="1"/>
  <c r="H51" i="160" s="1"/>
  <c r="R51" s="1"/>
  <c r="D89" i="159" s="1"/>
  <c r="E89" s="1"/>
  <c r="G1245" i="65"/>
  <c r="G1269" s="1"/>
  <c r="G81" i="66" s="1"/>
  <c r="Q81" s="1"/>
  <c r="H58" i="160" s="1"/>
  <c r="R58" s="1"/>
  <c r="D96" i="159" s="1"/>
  <c r="E96" s="1"/>
  <c r="G377" i="65"/>
  <c r="G392" s="1"/>
  <c r="G48" i="66" s="1"/>
  <c r="Q48" s="1"/>
  <c r="H25" i="160" s="1"/>
  <c r="R25" s="1"/>
  <c r="D63" i="159" s="1"/>
  <c r="E63" s="1"/>
  <c r="G344" i="65"/>
  <c r="G359" s="1"/>
  <c r="G47" i="66" s="1"/>
  <c r="Q47" s="1"/>
  <c r="H24" i="160" s="1"/>
  <c r="R24" s="1"/>
  <c r="D62" i="159" s="1"/>
  <c r="E62" s="1"/>
  <c r="G57" i="64"/>
  <c r="G109" s="1"/>
  <c r="G58" i="63"/>
  <c r="G110" s="1"/>
  <c r="G135" i="59"/>
  <c r="G148" s="1"/>
  <c r="G52" i="60" s="1"/>
  <c r="S52" s="1"/>
  <c r="G551" i="59"/>
  <c r="G570" s="1"/>
  <c r="G67" i="60" s="1"/>
  <c r="S67" s="1"/>
  <c r="G1521" i="65"/>
  <c r="G1545" s="1"/>
  <c r="G88" i="66" s="1"/>
  <c r="Q88" s="1"/>
  <c r="H65" i="160" s="1"/>
  <c r="R65" s="1"/>
  <c r="D103" i="159" s="1"/>
  <c r="E103" s="1"/>
  <c r="G1010" i="65"/>
  <c r="G1028" s="1"/>
  <c r="G73" i="66" s="1"/>
  <c r="Q73" s="1"/>
  <c r="H50" i="160" s="1"/>
  <c r="R50" s="1"/>
  <c r="D88" i="159" s="1"/>
  <c r="E88" s="1"/>
  <c r="G1123" i="65"/>
  <c r="G1143" s="1"/>
  <c r="G77" i="66" s="1"/>
  <c r="Q77" s="1"/>
  <c r="H54" i="160" s="1"/>
  <c r="R54" s="1"/>
  <c r="D92" i="159" s="1"/>
  <c r="E92" s="1"/>
  <c r="G311" i="65"/>
  <c r="G326" s="1"/>
  <c r="G46" i="66" s="1"/>
  <c r="Q46" s="1"/>
  <c r="H23" i="160" s="1"/>
  <c r="R23" s="1"/>
  <c r="D61" i="159" s="1"/>
  <c r="E61" s="1"/>
  <c r="G1382" i="59"/>
  <c r="G1405" s="1"/>
  <c r="G94" i="60" s="1"/>
  <c r="S94" s="1"/>
  <c r="G863" i="59"/>
  <c r="G881" s="1"/>
  <c r="G79" i="60" s="1"/>
  <c r="S79" s="1"/>
  <c r="G1063" i="59"/>
  <c r="G1087" s="1"/>
  <c r="G86" i="60" s="1"/>
  <c r="S86" s="1"/>
  <c r="G107" i="59"/>
  <c r="G120" s="1"/>
  <c r="G51" i="60" s="1"/>
  <c r="S51" s="1"/>
  <c r="G395" i="59"/>
  <c r="G414" s="1"/>
  <c r="G62" i="60" s="1"/>
  <c r="S62" s="1"/>
  <c r="G1337" i="65"/>
  <c r="G1361" s="1"/>
  <c r="G83" i="66" s="1"/>
  <c r="Q83" s="1"/>
  <c r="H60" i="160" s="1"/>
  <c r="R60" s="1"/>
  <c r="D98" i="159" s="1"/>
  <c r="E98" s="1"/>
  <c r="G975" i="65"/>
  <c r="G993" s="1"/>
  <c r="G72" i="66" s="1"/>
  <c r="Q72" s="1"/>
  <c r="H49" i="160" s="1"/>
  <c r="R49" s="1"/>
  <c r="D87" i="159" s="1"/>
  <c r="E87" s="1"/>
  <c r="G718" i="65"/>
  <c r="G737" s="1"/>
  <c r="G59" i="66" s="1"/>
  <c r="Q59" s="1"/>
  <c r="H36" i="160" s="1"/>
  <c r="R36" s="1"/>
  <c r="D74" i="159" s="1"/>
  <c r="E74" s="1"/>
  <c r="G1337" i="59"/>
  <c r="G1360" s="1"/>
  <c r="G93" i="60" s="1"/>
  <c r="S93" s="1"/>
  <c r="G1292" i="59"/>
  <c r="G1315" s="1"/>
  <c r="G92" i="60" s="1"/>
  <c r="S92" s="1"/>
  <c r="G828" i="59"/>
  <c r="G846" s="1"/>
  <c r="G78" i="60" s="1"/>
  <c r="S78" s="1"/>
  <c r="G981" i="59"/>
  <c r="G1001" s="1"/>
  <c r="G83" i="60" s="1"/>
  <c r="S83" s="1"/>
  <c r="G941" i="59"/>
  <c r="G961" s="1"/>
  <c r="G82" i="60" s="1"/>
  <c r="S82" s="1"/>
  <c r="G288" i="59"/>
  <c r="G303" s="1"/>
  <c r="G58" i="60" s="1"/>
  <c r="S58" s="1"/>
  <c r="G1203" i="65"/>
  <c r="G1223" s="1"/>
  <c r="G79" i="66" s="1"/>
  <c r="Q79" s="1"/>
  <c r="H56" i="160" s="1"/>
  <c r="R56" s="1"/>
  <c r="D94" i="159" s="1"/>
  <c r="E94" s="1"/>
  <c r="G940" i="65"/>
  <c r="G958" s="1"/>
  <c r="G71" i="66" s="1"/>
  <c r="Q71" s="1"/>
  <c r="H48" i="160" s="1"/>
  <c r="R48" s="1"/>
  <c r="D86" i="159" s="1"/>
  <c r="E86" s="1"/>
  <c r="G562" i="65"/>
  <c r="G581" s="1"/>
  <c r="G54" i="66" s="1"/>
  <c r="Q54" s="1"/>
  <c r="H31" i="160" s="1"/>
  <c r="R31" s="1"/>
  <c r="D69" i="159" s="1"/>
  <c r="E69" s="1"/>
  <c r="G1247" i="59"/>
  <c r="G1270" s="1"/>
  <c r="G91" i="60" s="1"/>
  <c r="S91" s="1"/>
  <c r="G1155" i="59"/>
  <c r="G1179" s="1"/>
  <c r="G88" i="60" s="1"/>
  <c r="S88" s="1"/>
  <c r="G793" i="59"/>
  <c r="G811" s="1"/>
  <c r="G77" i="60" s="1"/>
  <c r="S77" s="1"/>
  <c r="G629" i="59"/>
  <c r="G648" s="1"/>
  <c r="G69" i="60" s="1"/>
  <c r="S69" s="1"/>
  <c r="G512" i="59"/>
  <c r="G531" s="1"/>
  <c r="G66" i="60" s="1"/>
  <c r="S66" s="1"/>
  <c r="G640" i="65"/>
  <c r="G659" s="1"/>
  <c r="G57" i="66" s="1"/>
  <c r="Q57" s="1"/>
  <c r="H34" i="160" s="1"/>
  <c r="R34" s="1"/>
  <c r="D72" i="159" s="1"/>
  <c r="E72" s="1"/>
  <c r="G679" i="65"/>
  <c r="G698" s="1"/>
  <c r="G58" i="66" s="1"/>
  <c r="Q58" s="1"/>
  <c r="H35" i="160" s="1"/>
  <c r="R35" s="1"/>
  <c r="D73" i="159" s="1"/>
  <c r="E73" s="1"/>
  <c r="G1475" i="65"/>
  <c r="G1499" s="1"/>
  <c r="G87" i="66" s="1"/>
  <c r="Q87" s="1"/>
  <c r="H64" i="160" s="1"/>
  <c r="R64" s="1"/>
  <c r="D102" i="159" s="1"/>
  <c r="E102" s="1"/>
  <c r="G280" i="65"/>
  <c r="G293" s="1"/>
  <c r="G44" i="66" s="1"/>
  <c r="Q44" s="1"/>
  <c r="H21" i="160" s="1"/>
  <c r="R21" s="1"/>
  <c r="D59" i="159" s="1"/>
  <c r="E59" s="1"/>
  <c r="G1021" i="59"/>
  <c r="G1041" s="1"/>
  <c r="G84" i="60" s="1"/>
  <c r="S84" s="1"/>
  <c r="G758" i="59"/>
  <c r="G776" s="1"/>
  <c r="G76" i="60" s="1"/>
  <c r="S76" s="1"/>
  <c r="G473" i="59"/>
  <c r="G492" s="1"/>
  <c r="G64" i="60" s="1"/>
  <c r="S64" s="1"/>
  <c r="G356" i="59"/>
  <c r="G375" s="1"/>
  <c r="G61" i="60" s="1"/>
  <c r="S61" s="1"/>
  <c r="G1383" i="65"/>
  <c r="G1407" s="1"/>
  <c r="G84" i="66" s="1"/>
  <c r="Q84" s="1"/>
  <c r="H61" i="160" s="1"/>
  <c r="R61" s="1"/>
  <c r="D99" i="159" s="1"/>
  <c r="E99" s="1"/>
  <c r="G410" i="65"/>
  <c r="G425" s="1"/>
  <c r="G49" i="66" s="1"/>
  <c r="Q49" s="1"/>
  <c r="H26" i="160" s="1"/>
  <c r="R26" s="1"/>
  <c r="D64" i="159" s="1"/>
  <c r="E64" s="1"/>
  <c r="G1163" i="65"/>
  <c r="G1183" s="1"/>
  <c r="G78" i="66" s="1"/>
  <c r="Q78" s="1"/>
  <c r="H55" i="160" s="1"/>
  <c r="R55" s="1"/>
  <c r="D93" i="159" s="1"/>
  <c r="E93" s="1"/>
  <c r="G224" i="65"/>
  <c r="G237" s="1"/>
  <c r="G42" i="66" s="1"/>
  <c r="Q42" s="1"/>
  <c r="H19" i="160" s="1"/>
  <c r="R19" s="1"/>
  <c r="D57" i="159" s="1"/>
  <c r="E57" s="1"/>
  <c r="G445" i="65"/>
  <c r="G464" s="1"/>
  <c r="G51" i="66" s="1"/>
  <c r="Q51" s="1"/>
  <c r="H28" i="160" s="1"/>
  <c r="R28" s="1"/>
  <c r="D66" i="159" s="1"/>
  <c r="E66" s="1"/>
  <c r="G434" i="59"/>
  <c r="G453" s="1"/>
  <c r="G63" i="60" s="1"/>
  <c r="S63" s="1"/>
  <c r="G191" i="59"/>
  <c r="G204" s="1"/>
  <c r="G54" i="60" s="1"/>
  <c r="S54" s="1"/>
  <c r="G1109" i="59"/>
  <c r="G1133" s="1"/>
  <c r="G87" i="60" s="1"/>
  <c r="S87" s="1"/>
  <c r="G523" i="65"/>
  <c r="G542" s="1"/>
  <c r="G53" i="66" s="1"/>
  <c r="Q53" s="1"/>
  <c r="H30" i="160" s="1"/>
  <c r="R30" s="1"/>
  <c r="D68" i="159" s="1"/>
  <c r="E68" s="1"/>
  <c r="G590" i="59"/>
  <c r="G609" s="1"/>
  <c r="G68" i="60" s="1"/>
  <c r="S68" s="1"/>
  <c r="G901" i="59"/>
  <c r="G921" s="1"/>
  <c r="G81" i="60" s="1"/>
  <c r="S81" s="1"/>
  <c r="G1429" i="65"/>
  <c r="G1453" s="1"/>
  <c r="G86" i="66" s="1"/>
  <c r="Q86" s="1"/>
  <c r="H63" i="160" s="1"/>
  <c r="R63" s="1"/>
  <c r="D101" i="159" s="1"/>
  <c r="E101" s="1"/>
  <c r="G321" i="59"/>
  <c r="G336" s="1"/>
  <c r="G59" i="60" s="1"/>
  <c r="S59" s="1"/>
  <c r="G1291" i="65"/>
  <c r="G1315" s="1"/>
  <c r="G82" i="66" s="1"/>
  <c r="Q82" s="1"/>
  <c r="H59" i="160" s="1"/>
  <c r="R59" s="1"/>
  <c r="D97" i="159" s="1"/>
  <c r="E97" s="1"/>
  <c r="G222" i="59"/>
  <c r="G237" s="1"/>
  <c r="G56" i="60" s="1"/>
  <c r="S56" s="1"/>
  <c r="G601" i="65"/>
  <c r="G620" s="1"/>
  <c r="G56" i="66" s="1"/>
  <c r="Q56" s="1"/>
  <c r="H33" i="160" s="1"/>
  <c r="R33" s="1"/>
  <c r="D71" i="159" s="1"/>
  <c r="E71" s="1"/>
  <c r="G163" i="59"/>
  <c r="G176" s="1"/>
  <c r="G53" i="60" s="1"/>
  <c r="S53" s="1"/>
  <c r="G252" i="65"/>
  <c r="G265" s="1"/>
  <c r="G43" i="66" s="1"/>
  <c r="Q43" s="1"/>
  <c r="H20" i="160" s="1"/>
  <c r="R20" s="1"/>
  <c r="D58" i="159" s="1"/>
  <c r="E58" s="1"/>
  <c r="G255" i="59"/>
  <c r="G270" s="1"/>
  <c r="G57" i="60" s="1"/>
  <c r="S57" s="1"/>
  <c r="G196" i="65"/>
  <c r="G209" s="1"/>
  <c r="G41" i="66" s="1"/>
  <c r="Q41" s="1"/>
  <c r="G1567" i="65"/>
  <c r="G1591" s="1"/>
  <c r="G89" i="66" s="1"/>
  <c r="Q89" s="1"/>
  <c r="H66" i="160" s="1"/>
  <c r="R66" s="1"/>
  <c r="D104" i="159" s="1"/>
  <c r="E104" s="1"/>
  <c r="G484" i="65"/>
  <c r="G503" s="1"/>
  <c r="G52" i="66" s="1"/>
  <c r="Q52" s="1"/>
  <c r="H29" i="160" s="1"/>
  <c r="R29" s="1"/>
  <c r="D67" i="159" s="1"/>
  <c r="E67" s="1"/>
  <c r="G1083" i="65"/>
  <c r="G1103" s="1"/>
  <c r="G76" i="66" s="1"/>
  <c r="Q76" s="1"/>
  <c r="H53" i="160" s="1"/>
  <c r="R53" s="1"/>
  <c r="D91" i="159" s="1"/>
  <c r="E91" s="1"/>
  <c r="G1201" i="59"/>
  <c r="G1225" s="1"/>
  <c r="G89" i="60" s="1"/>
  <c r="S89" s="1"/>
  <c r="I354" i="187"/>
  <c r="I430"/>
  <c r="I86" i="192"/>
  <c r="I392" i="187"/>
  <c r="I1023"/>
  <c r="I86" i="186"/>
  <c r="I1107" i="187"/>
  <c r="I1065"/>
  <c r="I468"/>
  <c r="I1149"/>
  <c r="F1023"/>
  <c r="F468"/>
  <c r="F1107"/>
  <c r="F1065"/>
  <c r="F430"/>
  <c r="F354"/>
  <c r="F86" i="186"/>
  <c r="F1149" i="187"/>
  <c r="F86" i="192"/>
  <c r="F392" i="187"/>
  <c r="J468"/>
  <c r="J1149"/>
  <c r="J86" i="186"/>
  <c r="J430" i="187"/>
  <c r="J392"/>
  <c r="J86" i="192"/>
  <c r="J354" i="187"/>
  <c r="J1023"/>
  <c r="J1107"/>
  <c r="J1065"/>
  <c r="F1315"/>
  <c r="F466"/>
  <c r="F945"/>
  <c r="F316"/>
  <c r="F1189"/>
  <c r="F1063"/>
  <c r="F618"/>
  <c r="F220"/>
  <c r="F1021"/>
  <c r="F873"/>
  <c r="F188"/>
  <c r="F161"/>
  <c r="F981"/>
  <c r="F542"/>
  <c r="F580"/>
  <c r="F504"/>
  <c r="F837"/>
  <c r="F1231"/>
  <c r="F428"/>
  <c r="F352"/>
  <c r="F81" i="192"/>
  <c r="F775" i="187"/>
  <c r="F909"/>
  <c r="F134"/>
  <c r="F107"/>
  <c r="F806"/>
  <c r="F744"/>
  <c r="F1105"/>
  <c r="F1147"/>
  <c r="F390"/>
  <c r="F252"/>
  <c r="F284"/>
  <c r="F1273"/>
  <c r="F81" i="186"/>
  <c r="J81" i="192"/>
  <c r="J909" i="187"/>
  <c r="J806"/>
  <c r="J161"/>
  <c r="J188"/>
  <c r="J1273"/>
  <c r="J618"/>
  <c r="J775"/>
  <c r="J81" i="186"/>
  <c r="J580" i="187"/>
  <c r="J1315"/>
  <c r="J1147"/>
  <c r="J428"/>
  <c r="J744"/>
  <c r="J1063"/>
  <c r="J945"/>
  <c r="J252"/>
  <c r="J504"/>
  <c r="J873"/>
  <c r="J1189"/>
  <c r="J134"/>
  <c r="J352"/>
  <c r="J1231"/>
  <c r="J981"/>
  <c r="J316"/>
  <c r="J107"/>
  <c r="J390"/>
  <c r="J220"/>
  <c r="J284"/>
  <c r="J466"/>
  <c r="J542"/>
  <c r="J1105"/>
  <c r="J1021"/>
  <c r="J837"/>
  <c r="I428"/>
  <c r="I806"/>
  <c r="I542"/>
  <c r="I618"/>
  <c r="I81" i="192"/>
  <c r="I1273" i="187"/>
  <c r="I775"/>
  <c r="I220"/>
  <c r="I466"/>
  <c r="I1315"/>
  <c r="I1147"/>
  <c r="I744"/>
  <c r="I161"/>
  <c r="I188"/>
  <c r="I1063"/>
  <c r="I945"/>
  <c r="I580"/>
  <c r="I81" i="186"/>
  <c r="I873" i="187"/>
  <c r="I1189"/>
  <c r="I252"/>
  <c r="I504"/>
  <c r="I1105"/>
  <c r="I981"/>
  <c r="I390"/>
  <c r="I284"/>
  <c r="I1231"/>
  <c r="I909"/>
  <c r="I1021"/>
  <c r="I837"/>
  <c r="I134"/>
  <c r="I316"/>
  <c r="I352"/>
  <c r="I107"/>
  <c r="E83" i="250"/>
  <c r="E96"/>
  <c r="L83"/>
  <c r="K83"/>
  <c r="J83"/>
  <c r="I96"/>
  <c r="M53" i="66" l="1"/>
  <c r="D30" i="160" s="1"/>
  <c r="I659" i="65"/>
  <c r="I57" i="66" s="1"/>
  <c r="I414" i="59"/>
  <c r="I62" i="60" s="1"/>
  <c r="I737" i="65"/>
  <c r="I59" i="66" s="1"/>
  <c r="P59" s="1"/>
  <c r="G36" i="160" s="1"/>
  <c r="I1270" i="59"/>
  <c r="I91" i="60" s="1"/>
  <c r="P91" s="1"/>
  <c r="I961" i="59"/>
  <c r="I82" i="60" s="1"/>
  <c r="I1087" i="59"/>
  <c r="I86" i="60" s="1"/>
  <c r="P86" s="1"/>
  <c r="I1183" i="65"/>
  <c r="I78" i="66" s="1"/>
  <c r="L78" s="1"/>
  <c r="C55" i="160" s="1"/>
  <c r="H160" i="255"/>
  <c r="H156"/>
  <c r="H158"/>
  <c r="I1405" i="59"/>
  <c r="I94" i="60" s="1"/>
  <c r="P94" s="1"/>
  <c r="L43" i="66"/>
  <c r="C20" i="160" s="1"/>
  <c r="I698" i="65"/>
  <c r="I58" i="66" s="1"/>
  <c r="H55" i="253"/>
  <c r="I359" i="65"/>
  <c r="I47" i="66" s="1"/>
  <c r="K47" s="1"/>
  <c r="B24" i="160" s="1"/>
  <c r="M67" i="60"/>
  <c r="I148" i="59"/>
  <c r="I52" i="60" s="1"/>
  <c r="N52" s="1"/>
  <c r="I1453" i="65"/>
  <c r="I86" i="66" s="1"/>
  <c r="L86" s="1"/>
  <c r="C63" i="160" s="1"/>
  <c r="I176" i="59"/>
  <c r="I53" i="60" s="1"/>
  <c r="O53" s="1"/>
  <c r="I958" i="65"/>
  <c r="I71" i="66" s="1"/>
  <c r="P71" s="1"/>
  <c r="G48" i="160" s="1"/>
  <c r="N76" i="66"/>
  <c r="E53" i="160" s="1"/>
  <c r="F87" i="183"/>
  <c r="H88" s="1"/>
  <c r="K82" i="60"/>
  <c r="I1315" i="65"/>
  <c r="I82" i="66" s="1"/>
  <c r="M82" s="1"/>
  <c r="D59" i="160" s="1"/>
  <c r="I204" i="59"/>
  <c r="I54" i="60" s="1"/>
  <c r="L54" s="1"/>
  <c r="I1179" i="59"/>
  <c r="I88" i="60" s="1"/>
  <c r="N88" s="1"/>
  <c r="I109" i="64"/>
  <c r="F86" i="70"/>
  <c r="H87" s="1"/>
  <c r="H58" i="253"/>
  <c r="I492" i="59"/>
  <c r="I64" i="60" s="1"/>
  <c r="N64" s="1"/>
  <c r="O87" i="66"/>
  <c r="F64" i="160" s="1"/>
  <c r="I293" i="65"/>
  <c r="I44" i="66" s="1"/>
  <c r="M44" s="1"/>
  <c r="D21" i="160" s="1"/>
  <c r="I620" i="65"/>
  <c r="I56" i="66" s="1"/>
  <c r="K56" s="1"/>
  <c r="B33" i="160" s="1"/>
  <c r="I1143" i="65"/>
  <c r="I77" i="66" s="1"/>
  <c r="M77" s="1"/>
  <c r="D54" i="160" s="1"/>
  <c r="N66" i="60"/>
  <c r="K89" i="66"/>
  <c r="B66" i="160" s="1"/>
  <c r="L96" i="250"/>
  <c r="M96"/>
  <c r="H96"/>
  <c r="P51" i="66"/>
  <c r="G28" i="160" s="1"/>
  <c r="M51" i="66"/>
  <c r="D28" i="160" s="1"/>
  <c r="L51" i="66"/>
  <c r="C28" i="160" s="1"/>
  <c r="K51" i="66"/>
  <c r="B28" i="160" s="1"/>
  <c r="O51" i="66"/>
  <c r="F28" i="160" s="1"/>
  <c r="M78" i="66"/>
  <c r="D55" i="160" s="1"/>
  <c r="O78" i="66"/>
  <c r="F55" i="160" s="1"/>
  <c r="N78" i="66"/>
  <c r="E55" i="160" s="1"/>
  <c r="P78" i="66"/>
  <c r="G55" i="160" s="1"/>
  <c r="O71" i="66"/>
  <c r="F48" i="160" s="1"/>
  <c r="K71" i="66"/>
  <c r="B48" i="160" s="1"/>
  <c r="N71" i="66"/>
  <c r="E48" i="160" s="1"/>
  <c r="L71" i="66"/>
  <c r="C48" i="160" s="1"/>
  <c r="P52" i="66"/>
  <c r="G29" i="160" s="1"/>
  <c r="L52" i="66"/>
  <c r="C29" i="160" s="1"/>
  <c r="N52" i="66"/>
  <c r="E29" i="160" s="1"/>
  <c r="M52" i="66"/>
  <c r="D29" i="160" s="1"/>
  <c r="O52" i="66"/>
  <c r="F29" i="160" s="1"/>
  <c r="O49" i="66"/>
  <c r="F26" i="160" s="1"/>
  <c r="M49" i="66"/>
  <c r="D26" i="160" s="1"/>
  <c r="N49" i="66"/>
  <c r="E26" i="160" s="1"/>
  <c r="K49" i="66"/>
  <c r="B26" i="160" s="1"/>
  <c r="P49" i="66"/>
  <c r="G26" i="160" s="1"/>
  <c r="K84" i="66"/>
  <c r="B61" i="160" s="1"/>
  <c r="M84" i="66"/>
  <c r="D61" i="160" s="1"/>
  <c r="N84" i="66"/>
  <c r="E61" i="160" s="1"/>
  <c r="P84" i="66"/>
  <c r="G61" i="160" s="1"/>
  <c r="L84" i="66"/>
  <c r="C61" i="160" s="1"/>
  <c r="L57" i="66"/>
  <c r="C34" i="160" s="1"/>
  <c r="M57" i="66"/>
  <c r="D34" i="160" s="1"/>
  <c r="P57" i="66"/>
  <c r="G34" i="160" s="1"/>
  <c r="N57" i="66"/>
  <c r="E34" i="160" s="1"/>
  <c r="K57" i="66"/>
  <c r="B34" i="160" s="1"/>
  <c r="M76" i="66"/>
  <c r="D53" i="160" s="1"/>
  <c r="K76" i="66"/>
  <c r="B53" i="160" s="1"/>
  <c r="P76" i="66"/>
  <c r="G53" i="160" s="1"/>
  <c r="O76" i="66"/>
  <c r="F53" i="160" s="1"/>
  <c r="L76" i="66"/>
  <c r="C53" i="160" s="1"/>
  <c r="H18"/>
  <c r="M19" i="66"/>
  <c r="F4" i="239" s="1"/>
  <c r="N62" i="60"/>
  <c r="M62"/>
  <c r="L62"/>
  <c r="K62"/>
  <c r="P62"/>
  <c r="O62"/>
  <c r="L77"/>
  <c r="N77"/>
  <c r="O77"/>
  <c r="K77"/>
  <c r="P77"/>
  <c r="K81" i="66"/>
  <c r="B58" i="160" s="1"/>
  <c r="L81" i="66"/>
  <c r="C58" i="160" s="1"/>
  <c r="P81" i="66"/>
  <c r="G58" i="160" s="1"/>
  <c r="O81" i="66"/>
  <c r="F58" i="160" s="1"/>
  <c r="M81" i="66"/>
  <c r="D58" i="160" s="1"/>
  <c r="N51" i="66"/>
  <c r="E28" i="160" s="1"/>
  <c r="M61" i="60"/>
  <c r="P61"/>
  <c r="N61"/>
  <c r="K61"/>
  <c r="O61"/>
  <c r="L78"/>
  <c r="O78"/>
  <c r="K78"/>
  <c r="M78"/>
  <c r="N78"/>
  <c r="P52"/>
  <c r="P88" i="66"/>
  <c r="G65" i="160" s="1"/>
  <c r="N65" s="1"/>
  <c r="O88" i="66"/>
  <c r="F65" i="160" s="1"/>
  <c r="N88" i="66"/>
  <c r="E65" i="160" s="1"/>
  <c r="L88" i="66"/>
  <c r="C65" i="160" s="1"/>
  <c r="K88" i="66"/>
  <c r="B65" i="160" s="1"/>
  <c r="K78" i="66"/>
  <c r="B55" i="160" s="1"/>
  <c r="P82" i="60"/>
  <c r="O82"/>
  <c r="N82"/>
  <c r="M82"/>
  <c r="L82"/>
  <c r="O91"/>
  <c r="N91"/>
  <c r="M91"/>
  <c r="L91"/>
  <c r="K91"/>
  <c r="M59"/>
  <c r="L59"/>
  <c r="P59"/>
  <c r="O59"/>
  <c r="N59"/>
  <c r="P79"/>
  <c r="O79"/>
  <c r="N79"/>
  <c r="K79"/>
  <c r="L79"/>
  <c r="N79" i="66"/>
  <c r="E56" i="160" s="1"/>
  <c r="L79" i="66"/>
  <c r="C56" i="160" s="1"/>
  <c r="M79" i="66"/>
  <c r="D56" i="160" s="1"/>
  <c r="N56" s="1"/>
  <c r="O79" i="66"/>
  <c r="F56" i="160" s="1"/>
  <c r="K79" i="66"/>
  <c r="B56" i="160" s="1"/>
  <c r="M83" i="60"/>
  <c r="L83"/>
  <c r="O83"/>
  <c r="K83"/>
  <c r="N83"/>
  <c r="M92"/>
  <c r="N92"/>
  <c r="K92"/>
  <c r="P92"/>
  <c r="O92"/>
  <c r="K94"/>
  <c r="L94"/>
  <c r="M58"/>
  <c r="N58"/>
  <c r="L58"/>
  <c r="K58"/>
  <c r="O58"/>
  <c r="K93"/>
  <c r="N93"/>
  <c r="L93"/>
  <c r="O93"/>
  <c r="P93"/>
  <c r="L54" i="66"/>
  <c r="C31" i="160" s="1"/>
  <c r="O54" i="66"/>
  <c r="F31" i="160" s="1"/>
  <c r="K54" i="66"/>
  <c r="B31" i="160" s="1"/>
  <c r="M54" i="66"/>
  <c r="D31" i="160" s="1"/>
  <c r="N54" i="66"/>
  <c r="E31" i="160" s="1"/>
  <c r="O86" i="66"/>
  <c r="F63" i="160" s="1"/>
  <c r="N57" i="60"/>
  <c r="K57"/>
  <c r="L57"/>
  <c r="P57"/>
  <c r="O57"/>
  <c r="O46" i="66"/>
  <c r="F23" i="160" s="1"/>
  <c r="N46" i="66"/>
  <c r="E23" i="160" s="1"/>
  <c r="K46" i="66"/>
  <c r="B23" i="160" s="1"/>
  <c r="L46" i="66"/>
  <c r="C23" i="160" s="1"/>
  <c r="P46" i="66"/>
  <c r="G23" i="160" s="1"/>
  <c r="P42" i="66"/>
  <c r="G19" i="160" s="1"/>
  <c r="K42" i="66"/>
  <c r="B19" i="160" s="1"/>
  <c r="O42" i="66"/>
  <c r="F19" i="160" s="1"/>
  <c r="M42" i="66"/>
  <c r="D19" i="160" s="1"/>
  <c r="N42" i="66"/>
  <c r="E19" i="160" s="1"/>
  <c r="K63" i="60"/>
  <c r="P63"/>
  <c r="O63"/>
  <c r="N63"/>
  <c r="M63"/>
  <c r="I1041" i="59"/>
  <c r="I84" i="60" s="1"/>
  <c r="P84" s="1"/>
  <c r="K76"/>
  <c r="M71" i="66"/>
  <c r="D48" i="160" s="1"/>
  <c r="I993" i="65"/>
  <c r="I72" i="66" s="1"/>
  <c r="M72" s="1"/>
  <c r="D49" i="160" s="1"/>
  <c r="L76" i="60"/>
  <c r="N76"/>
  <c r="P76"/>
  <c r="M76"/>
  <c r="O76"/>
  <c r="L92"/>
  <c r="M46" i="66"/>
  <c r="D23" i="160" s="1"/>
  <c r="M77" i="60"/>
  <c r="P78"/>
  <c r="L56" i="66"/>
  <c r="C33" i="160" s="1"/>
  <c r="L89" i="60"/>
  <c r="N89"/>
  <c r="O89"/>
  <c r="M89"/>
  <c r="K89"/>
  <c r="L53"/>
  <c r="P53"/>
  <c r="K74" i="66"/>
  <c r="B51" i="160" s="1"/>
  <c r="L74" i="66"/>
  <c r="C51" i="160" s="1"/>
  <c r="N74" i="66"/>
  <c r="E51" i="160" s="1"/>
  <c r="O74" i="66"/>
  <c r="F51" i="160" s="1"/>
  <c r="P74" i="66"/>
  <c r="G51" i="160" s="1"/>
  <c r="N51" s="1"/>
  <c r="L61" i="60"/>
  <c r="M93"/>
  <c r="K52" i="66"/>
  <c r="B29" i="160" s="1"/>
  <c r="P54" i="66"/>
  <c r="G31" i="160" s="1"/>
  <c r="K59" i="60"/>
  <c r="I1133" i="59"/>
  <c r="I87" i="60" s="1"/>
  <c r="K87" s="1"/>
  <c r="M57"/>
  <c r="O66"/>
  <c r="K66"/>
  <c r="L66"/>
  <c r="P66"/>
  <c r="M66"/>
  <c r="N89" i="66"/>
  <c r="E66" i="160" s="1"/>
  <c r="P89" i="66"/>
  <c r="G66" i="160" s="1"/>
  <c r="M89" i="66"/>
  <c r="D66" i="160" s="1"/>
  <c r="O89" i="66"/>
  <c r="F66" i="160" s="1"/>
  <c r="L89" i="66"/>
  <c r="C66" i="160" s="1"/>
  <c r="I108" i="80"/>
  <c r="I1028" i="65"/>
  <c r="I73" i="66" s="1"/>
  <c r="O73" s="1"/>
  <c r="F50" i="160" s="1"/>
  <c r="L42" i="66"/>
  <c r="C19" i="160" s="1"/>
  <c r="K82" i="66"/>
  <c r="B59" i="160" s="1"/>
  <c r="O82" i="66"/>
  <c r="F59" i="160" s="1"/>
  <c r="N82" i="66"/>
  <c r="E59" i="160" s="1"/>
  <c r="L82" i="66"/>
  <c r="C59" i="160" s="1"/>
  <c r="P82" i="66"/>
  <c r="G59" i="160" s="1"/>
  <c r="N59" s="1"/>
  <c r="F83" i="70"/>
  <c r="H84" s="1"/>
  <c r="I392" i="65"/>
  <c r="I48" i="66" s="1"/>
  <c r="L48" s="1"/>
  <c r="C25" i="160" s="1"/>
  <c r="P89" i="60"/>
  <c r="I609" i="59"/>
  <c r="I68" i="60" s="1"/>
  <c r="L68" s="1"/>
  <c r="M41" i="66"/>
  <c r="D18" i="160" s="1"/>
  <c r="N41" i="66"/>
  <c r="E18" i="160" s="1"/>
  <c r="O41" i="66"/>
  <c r="F18" i="160" s="1"/>
  <c r="P41" i="66"/>
  <c r="G18" i="160" s="1"/>
  <c r="L41" i="66"/>
  <c r="N47"/>
  <c r="E24" i="160" s="1"/>
  <c r="M47" i="66"/>
  <c r="D24" i="160" s="1"/>
  <c r="L47" i="66"/>
  <c r="C24" i="160" s="1"/>
  <c r="P47" i="66"/>
  <c r="G24" i="160" s="1"/>
  <c r="L69" i="60"/>
  <c r="N69"/>
  <c r="K69"/>
  <c r="M69"/>
  <c r="P69"/>
  <c r="I110" i="63"/>
  <c r="Q32" i="60"/>
  <c r="M42" i="161" s="1"/>
  <c r="Q23" i="60"/>
  <c r="K42" i="161" s="1"/>
  <c r="K45" s="1"/>
  <c r="O57" i="66"/>
  <c r="F34" i="160" s="1"/>
  <c r="L49" i="66"/>
  <c r="C26" i="160" s="1"/>
  <c r="N58" i="66"/>
  <c r="E35" i="160" s="1"/>
  <c r="P87" i="66"/>
  <c r="G64" i="160" s="1"/>
  <c r="K87" i="66"/>
  <c r="B64" i="160" s="1"/>
  <c r="M87" i="66"/>
  <c r="D64" i="160" s="1"/>
  <c r="L87" i="66"/>
  <c r="C64" i="160" s="1"/>
  <c r="N87" i="66"/>
  <c r="E64" i="160" s="1"/>
  <c r="N43" i="66"/>
  <c r="E20" i="160" s="1"/>
  <c r="F84" i="183"/>
  <c r="H85" s="1"/>
  <c r="M79" i="60"/>
  <c r="P83"/>
  <c r="P58"/>
  <c r="I120" i="59"/>
  <c r="I51" i="60" s="1"/>
  <c r="N51" s="1"/>
  <c r="O84" i="66"/>
  <c r="F61" i="160" s="1"/>
  <c r="N81" i="66"/>
  <c r="E58" i="160" s="1"/>
  <c r="P83" i="66"/>
  <c r="G60" i="160" s="1"/>
  <c r="P53" i="66"/>
  <c r="G30" i="160" s="1"/>
  <c r="N30" s="1"/>
  <c r="K53" i="66"/>
  <c r="B30" i="160" s="1"/>
  <c r="O53" i="66"/>
  <c r="F30" i="160" s="1"/>
  <c r="N53" i="66"/>
  <c r="E30" i="160" s="1"/>
  <c r="L53" i="66"/>
  <c r="C30" i="160" s="1"/>
  <c r="O67" i="60"/>
  <c r="P67"/>
  <c r="K67"/>
  <c r="L67"/>
  <c r="N67"/>
  <c r="P58" i="66"/>
  <c r="G35" i="160" s="1"/>
  <c r="O58" i="66"/>
  <c r="F35" i="160" s="1"/>
  <c r="K58" i="66"/>
  <c r="B35" i="160" s="1"/>
  <c r="L58" i="66"/>
  <c r="C35" i="160" s="1"/>
  <c r="M58" i="66"/>
  <c r="D35" i="160" s="1"/>
  <c r="M59" i="66"/>
  <c r="D36" i="160" s="1"/>
  <c r="K59" i="66"/>
  <c r="B36" i="160" s="1"/>
  <c r="L59" i="66"/>
  <c r="C36" i="160" s="1"/>
  <c r="N59" i="66"/>
  <c r="E36" i="160" s="1"/>
  <c r="O59" i="66"/>
  <c r="F36" i="160" s="1"/>
  <c r="G55" i="192"/>
  <c r="G101" s="1"/>
  <c r="G1178" i="187"/>
  <c r="G1199" s="1"/>
  <c r="G74" i="251" s="1"/>
  <c r="G972" i="187"/>
  <c r="G989" s="1"/>
  <c r="G67" i="251" s="1"/>
  <c r="G55" i="186"/>
  <c r="G102" s="1"/>
  <c r="G609" i="187"/>
  <c r="G628" s="1"/>
  <c r="G52" i="251" s="1"/>
  <c r="G277" i="187"/>
  <c r="G292" s="1"/>
  <c r="G41" i="251" s="1"/>
  <c r="G1304" i="187"/>
  <c r="G1325" s="1"/>
  <c r="G77" i="251" s="1"/>
  <c r="G1010" i="187"/>
  <c r="G1031" s="1"/>
  <c r="G69" i="251" s="1"/>
  <c r="G533" i="187"/>
  <c r="G552" s="1"/>
  <c r="G50" i="251" s="1"/>
  <c r="G457" i="187"/>
  <c r="G476" s="1"/>
  <c r="G47" i="251" s="1"/>
  <c r="G309" i="187"/>
  <c r="G324" s="1"/>
  <c r="G42" i="251" s="1"/>
  <c r="G1136" i="187"/>
  <c r="G1157" s="1"/>
  <c r="G72" i="251" s="1"/>
  <c r="G900" i="187"/>
  <c r="G917" s="1"/>
  <c r="G65" i="251" s="1"/>
  <c r="G419" i="187"/>
  <c r="G438" s="1"/>
  <c r="G46" i="251" s="1"/>
  <c r="G381" i="187"/>
  <c r="G400" s="1"/>
  <c r="G45" i="251" s="1"/>
  <c r="G737" i="187"/>
  <c r="G752" s="1"/>
  <c r="G59" i="251" s="1"/>
  <c r="G183" i="187"/>
  <c r="G196" s="1"/>
  <c r="G37" i="251" s="1"/>
  <c r="G864" i="187"/>
  <c r="G881" s="1"/>
  <c r="G64" i="251" s="1"/>
  <c r="G1220" i="187"/>
  <c r="G1241" s="1"/>
  <c r="G75" i="251" s="1"/>
  <c r="G213" i="187"/>
  <c r="G228" s="1"/>
  <c r="G39" i="251" s="1"/>
  <c r="G156" i="187"/>
  <c r="G169" s="1"/>
  <c r="G36" i="251" s="1"/>
  <c r="G830" i="187"/>
  <c r="G845" s="1"/>
  <c r="G62" i="251" s="1"/>
  <c r="G1052" i="187"/>
  <c r="G1073" s="1"/>
  <c r="G70" i="251" s="1"/>
  <c r="G129" i="187"/>
  <c r="G142" s="1"/>
  <c r="G35" i="251" s="1"/>
  <c r="G245" i="187"/>
  <c r="G260" s="1"/>
  <c r="G40" i="251" s="1"/>
  <c r="G1094" i="187"/>
  <c r="G1115" s="1"/>
  <c r="G71" i="251" s="1"/>
  <c r="G799" i="187"/>
  <c r="G814" s="1"/>
  <c r="G61" i="251" s="1"/>
  <c r="G936" i="187"/>
  <c r="G953" s="1"/>
  <c r="G66" i="251" s="1"/>
  <c r="G571" i="187"/>
  <c r="G590" s="1"/>
  <c r="G51" i="251" s="1"/>
  <c r="G102" i="187"/>
  <c r="G115" s="1"/>
  <c r="G34" i="251" s="1"/>
  <c r="G768" i="187"/>
  <c r="G783" s="1"/>
  <c r="G60" i="251" s="1"/>
  <c r="G1262" i="187"/>
  <c r="G1283" s="1"/>
  <c r="G76" i="251" s="1"/>
  <c r="G495" i="187"/>
  <c r="G514" s="1"/>
  <c r="G49" i="251" s="1"/>
  <c r="G343" i="187"/>
  <c r="G362" s="1"/>
  <c r="G44" i="251" s="1"/>
  <c r="I737" i="187"/>
  <c r="I1052"/>
  <c r="I457"/>
  <c r="I419"/>
  <c r="I533"/>
  <c r="I936"/>
  <c r="I381"/>
  <c r="I213"/>
  <c r="I55" i="192"/>
  <c r="I1178" i="187"/>
  <c r="I1262"/>
  <c r="I156"/>
  <c r="I129"/>
  <c r="I768"/>
  <c r="I1220"/>
  <c r="I277"/>
  <c r="I1136"/>
  <c r="I1010"/>
  <c r="I1094"/>
  <c r="I245"/>
  <c r="I55" i="186"/>
  <c r="I864" i="187"/>
  <c r="I900"/>
  <c r="I972"/>
  <c r="I102"/>
  <c r="I830"/>
  <c r="I609"/>
  <c r="I571"/>
  <c r="I343"/>
  <c r="I309"/>
  <c r="I799"/>
  <c r="I1304"/>
  <c r="I495"/>
  <c r="I183"/>
  <c r="I160" i="70"/>
  <c r="F160"/>
  <c r="O56" i="60"/>
  <c r="N56"/>
  <c r="M56"/>
  <c r="L56"/>
  <c r="K56"/>
  <c r="P56"/>
  <c r="M81"/>
  <c r="L81"/>
  <c r="K81"/>
  <c r="P81"/>
  <c r="O81"/>
  <c r="N81"/>
  <c r="L51"/>
  <c r="O51"/>
  <c r="K43" i="66"/>
  <c r="B20" i="160" s="1"/>
  <c r="P43" i="66"/>
  <c r="G20" i="160" s="1"/>
  <c r="O43" i="66"/>
  <c r="F20" i="160" s="1"/>
  <c r="M43" i="66"/>
  <c r="D20" i="160" s="1"/>
  <c r="O83" i="66"/>
  <c r="F60" i="160" s="1"/>
  <c r="N83" i="66"/>
  <c r="E60" i="160" s="1"/>
  <c r="L83" i="66"/>
  <c r="C60" i="160" s="1"/>
  <c r="K83" i="66"/>
  <c r="B60" i="160" s="1"/>
  <c r="M83" i="66"/>
  <c r="D60" i="160" s="1"/>
  <c r="I545" i="187"/>
  <c r="I807"/>
  <c r="I431"/>
  <c r="I355"/>
  <c r="I1108"/>
  <c r="I776"/>
  <c r="I221"/>
  <c r="I91" i="186"/>
  <c r="I946" i="187"/>
  <c r="I745"/>
  <c r="I162"/>
  <c r="I253"/>
  <c r="I838"/>
  <c r="I317"/>
  <c r="I1276"/>
  <c r="I1234"/>
  <c r="I1192"/>
  <c r="I583"/>
  <c r="I135"/>
  <c r="I91" i="192"/>
  <c r="I621" i="187"/>
  <c r="I1024"/>
  <c r="I393"/>
  <c r="I507"/>
  <c r="I1318"/>
  <c r="I1150"/>
  <c r="I874"/>
  <c r="I285"/>
  <c r="I189"/>
  <c r="I1066"/>
  <c r="I982"/>
  <c r="I469"/>
  <c r="I476" s="1"/>
  <c r="I47" i="251" s="1"/>
  <c r="I108" i="187"/>
  <c r="I910"/>
  <c r="F1066"/>
  <c r="F1073" s="1"/>
  <c r="F70" i="251" s="1"/>
  <c r="F838" i="187"/>
  <c r="F845" s="1"/>
  <c r="F62" i="251" s="1"/>
  <c r="F469" i="187"/>
  <c r="F476" s="1"/>
  <c r="F47" i="251" s="1"/>
  <c r="F108" i="187"/>
  <c r="F115" s="1"/>
  <c r="F34" i="251" s="1"/>
  <c r="F910" i="187"/>
  <c r="F917" s="1"/>
  <c r="F65" i="251" s="1"/>
  <c r="F807" i="187"/>
  <c r="F814" s="1"/>
  <c r="F61" i="251" s="1"/>
  <c r="F317" i="187"/>
  <c r="F324" s="1"/>
  <c r="F42" i="251" s="1"/>
  <c r="F189" i="187"/>
  <c r="F196" s="1"/>
  <c r="F37" i="251" s="1"/>
  <c r="F431" i="187"/>
  <c r="F438" s="1"/>
  <c r="F46" i="251" s="1"/>
  <c r="F621" i="187"/>
  <c r="F628" s="1"/>
  <c r="F52" i="251" s="1"/>
  <c r="F253" i="187"/>
  <c r="F260" s="1"/>
  <c r="F40" i="251" s="1"/>
  <c r="F1108" i="187"/>
  <c r="F1115" s="1"/>
  <c r="F71" i="251" s="1"/>
  <c r="F776" i="187"/>
  <c r="F783" s="1"/>
  <c r="F60" i="251" s="1"/>
  <c r="F221" i="187"/>
  <c r="F228" s="1"/>
  <c r="F39" i="251" s="1"/>
  <c r="F545" i="187"/>
  <c r="F552" s="1"/>
  <c r="F50" i="251" s="1"/>
  <c r="F946" i="187"/>
  <c r="F953" s="1"/>
  <c r="F66" i="251" s="1"/>
  <c r="F745" i="187"/>
  <c r="F752" s="1"/>
  <c r="F59" i="251" s="1"/>
  <c r="F162" i="187"/>
  <c r="F169" s="1"/>
  <c r="F36" i="251" s="1"/>
  <c r="F355" i="187"/>
  <c r="F362" s="1"/>
  <c r="F44" i="251" s="1"/>
  <c r="F1192" i="187"/>
  <c r="F1199" s="1"/>
  <c r="F74" i="251" s="1"/>
  <c r="F91" i="192"/>
  <c r="F101" s="1"/>
  <c r="F1234" i="187"/>
  <c r="F1241" s="1"/>
  <c r="F75" i="251" s="1"/>
  <c r="F1024" i="187"/>
  <c r="F1031" s="1"/>
  <c r="F69" i="251" s="1"/>
  <c r="F583" i="187"/>
  <c r="F590" s="1"/>
  <c r="F51" i="251" s="1"/>
  <c r="F135" i="187"/>
  <c r="F142" s="1"/>
  <c r="F35" i="251" s="1"/>
  <c r="F1318" i="187"/>
  <c r="F1325" s="1"/>
  <c r="F77" i="251" s="1"/>
  <c r="F1150" i="187"/>
  <c r="F1157" s="1"/>
  <c r="F72" i="251" s="1"/>
  <c r="F874" i="187"/>
  <c r="F881" s="1"/>
  <c r="F64" i="251" s="1"/>
  <c r="F393" i="187"/>
  <c r="F400" s="1"/>
  <c r="F45" i="251" s="1"/>
  <c r="F91" i="186"/>
  <c r="F102" s="1"/>
  <c r="F507" i="187"/>
  <c r="F514" s="1"/>
  <c r="F49" i="251" s="1"/>
  <c r="F1276" i="187"/>
  <c r="F1283" s="1"/>
  <c r="F76" i="251" s="1"/>
  <c r="F982" i="187"/>
  <c r="F989" s="1"/>
  <c r="F67" i="251" s="1"/>
  <c r="F285" i="187"/>
  <c r="F292" s="1"/>
  <c r="F41" i="251" s="1"/>
  <c r="J1276" i="187"/>
  <c r="J1283" s="1"/>
  <c r="J76" i="251" s="1"/>
  <c r="J982" i="187"/>
  <c r="J989" s="1"/>
  <c r="J67" i="251" s="1"/>
  <c r="J874" i="187"/>
  <c r="J881" s="1"/>
  <c r="J64" i="251" s="1"/>
  <c r="J108" i="187"/>
  <c r="J115" s="1"/>
  <c r="J34" i="251" s="1"/>
  <c r="J317" i="187"/>
  <c r="J324" s="1"/>
  <c r="J42" i="251" s="1"/>
  <c r="J1318" i="187"/>
  <c r="J1325" s="1"/>
  <c r="J77" i="251" s="1"/>
  <c r="J838" i="187"/>
  <c r="J845" s="1"/>
  <c r="J62" i="251" s="1"/>
  <c r="J1066" i="187"/>
  <c r="J1073" s="1"/>
  <c r="J70" i="251" s="1"/>
  <c r="J189" i="187"/>
  <c r="J196" s="1"/>
  <c r="J37" i="251" s="1"/>
  <c r="J1108" i="187"/>
  <c r="J1115" s="1"/>
  <c r="J71" i="251" s="1"/>
  <c r="J807" i="187"/>
  <c r="J814" s="1"/>
  <c r="J61" i="251" s="1"/>
  <c r="J910" i="187"/>
  <c r="J917" s="1"/>
  <c r="J65" i="251" s="1"/>
  <c r="J355" i="187"/>
  <c r="J362" s="1"/>
  <c r="J44" i="251" s="1"/>
  <c r="J946" i="187"/>
  <c r="J953" s="1"/>
  <c r="J66" i="251" s="1"/>
  <c r="J776" i="187"/>
  <c r="J783" s="1"/>
  <c r="J60" i="251" s="1"/>
  <c r="J221" i="187"/>
  <c r="J228" s="1"/>
  <c r="J39" i="251" s="1"/>
  <c r="J91" i="186"/>
  <c r="J102" s="1"/>
  <c r="J431" i="187"/>
  <c r="J438" s="1"/>
  <c r="J46" i="251" s="1"/>
  <c r="J745" i="187"/>
  <c r="J752" s="1"/>
  <c r="J59" i="251" s="1"/>
  <c r="J162" i="187"/>
  <c r="J169" s="1"/>
  <c r="J36" i="251" s="1"/>
  <c r="J545" i="187"/>
  <c r="J552" s="1"/>
  <c r="J50" i="251" s="1"/>
  <c r="J1234" i="187"/>
  <c r="J1241" s="1"/>
  <c r="J75" i="251" s="1"/>
  <c r="J507" i="187"/>
  <c r="J514" s="1"/>
  <c r="J49" i="251" s="1"/>
  <c r="J583" i="187"/>
  <c r="J590" s="1"/>
  <c r="J51" i="251" s="1"/>
  <c r="J253" i="187"/>
  <c r="J260" s="1"/>
  <c r="J40" i="251" s="1"/>
  <c r="J621" i="187"/>
  <c r="J628" s="1"/>
  <c r="J52" i="251" s="1"/>
  <c r="J1192" i="187"/>
  <c r="J1199" s="1"/>
  <c r="J74" i="251" s="1"/>
  <c r="J393" i="187"/>
  <c r="J400" s="1"/>
  <c r="J45" i="251" s="1"/>
  <c r="J135" i="187"/>
  <c r="J142" s="1"/>
  <c r="J35" i="251" s="1"/>
  <c r="J1024" i="187"/>
  <c r="J1031" s="1"/>
  <c r="J69" i="251" s="1"/>
  <c r="J91" i="192"/>
  <c r="J101" s="1"/>
  <c r="J1150" i="187"/>
  <c r="J1157" s="1"/>
  <c r="J72" i="251" s="1"/>
  <c r="J285" i="187"/>
  <c r="J292" s="1"/>
  <c r="J41" i="251" s="1"/>
  <c r="J469" i="187"/>
  <c r="J476" s="1"/>
  <c r="J47" i="251" s="1"/>
  <c r="F143" i="253"/>
  <c r="P142"/>
  <c r="Q142" s="1"/>
  <c r="R142" s="1"/>
  <c r="H68" i="164"/>
  <c r="S8" i="162"/>
  <c r="S14" s="1"/>
  <c r="I161" i="183"/>
  <c r="F161"/>
  <c r="F118" i="253"/>
  <c r="P117"/>
  <c r="Q117" s="1"/>
  <c r="R117" s="1"/>
  <c r="E84" i="250"/>
  <c r="E97"/>
  <c r="L84"/>
  <c r="K84"/>
  <c r="J84"/>
  <c r="I97"/>
  <c r="N36" i="160" l="1"/>
  <c r="L86" i="60"/>
  <c r="O86"/>
  <c r="P51"/>
  <c r="K86"/>
  <c r="N86"/>
  <c r="L52"/>
  <c r="M86"/>
  <c r="M51"/>
  <c r="O52"/>
  <c r="M52"/>
  <c r="K52"/>
  <c r="U126" i="255"/>
  <c r="W126" s="1"/>
  <c r="O88" i="60"/>
  <c r="I1283" i="187"/>
  <c r="I76" i="251" s="1"/>
  <c r="N64" i="160"/>
  <c r="K53" i="60"/>
  <c r="N56" i="66"/>
  <c r="E33" i="160" s="1"/>
  <c r="O94" i="60"/>
  <c r="P88"/>
  <c r="O47" i="66"/>
  <c r="F24" i="160" s="1"/>
  <c r="N94" i="60"/>
  <c r="M53"/>
  <c r="M56" i="66"/>
  <c r="D33" i="160" s="1"/>
  <c r="P56" i="66"/>
  <c r="G33" i="160" s="1"/>
  <c r="M94" i="60"/>
  <c r="N53"/>
  <c r="O56" i="66"/>
  <c r="F33" i="160" s="1"/>
  <c r="I514" i="187"/>
  <c r="I49" i="251" s="1"/>
  <c r="I115" i="187"/>
  <c r="I34" i="251" s="1"/>
  <c r="I1157" i="187"/>
  <c r="I72" i="251" s="1"/>
  <c r="I101" i="192"/>
  <c r="I752" i="187"/>
  <c r="I59" i="251" s="1"/>
  <c r="K60" i="160"/>
  <c r="N86" i="66"/>
  <c r="E63" i="160" s="1"/>
  <c r="N29"/>
  <c r="I400" i="187"/>
  <c r="I45" i="251" s="1"/>
  <c r="M86" i="66"/>
  <c r="D63" i="160" s="1"/>
  <c r="O54" i="60"/>
  <c r="K88"/>
  <c r="K29" i="160"/>
  <c r="N54" i="60"/>
  <c r="P54"/>
  <c r="L88"/>
  <c r="K86" i="66"/>
  <c r="B63" i="160" s="1"/>
  <c r="I362" i="187"/>
  <c r="I44" i="251" s="1"/>
  <c r="K54" i="60"/>
  <c r="M88"/>
  <c r="I260" i="187"/>
  <c r="I40" i="251" s="1"/>
  <c r="M54" i="60"/>
  <c r="P44" i="66"/>
  <c r="G21" i="160" s="1"/>
  <c r="N60"/>
  <c r="P86" i="66"/>
  <c r="G63" i="160" s="1"/>
  <c r="K44" i="66"/>
  <c r="B21" i="160" s="1"/>
  <c r="N44" i="66"/>
  <c r="E21" i="160" s="1"/>
  <c r="K77" i="66"/>
  <c r="B54" i="160" s="1"/>
  <c r="K53"/>
  <c r="O44" i="66"/>
  <c r="F21" i="160" s="1"/>
  <c r="N35"/>
  <c r="N87" i="60"/>
  <c r="L77" i="66"/>
  <c r="C54" i="160" s="1"/>
  <c r="K51" i="60"/>
  <c r="K64" i="160"/>
  <c r="N55"/>
  <c r="N77" i="66"/>
  <c r="E54" i="160" s="1"/>
  <c r="K30"/>
  <c r="O77" i="66"/>
  <c r="F54" i="160" s="1"/>
  <c r="P77" i="66"/>
  <c r="G54" i="160" s="1"/>
  <c r="N54" s="1"/>
  <c r="I989" i="187"/>
  <c r="I67" i="251" s="1"/>
  <c r="I153" i="255" s="1"/>
  <c r="I228" i="187"/>
  <c r="I39" i="251" s="1"/>
  <c r="M64" i="60"/>
  <c r="N26" i="160"/>
  <c r="L44" i="66"/>
  <c r="C21" i="160" s="1"/>
  <c r="N20"/>
  <c r="I917" i="187"/>
  <c r="I65" i="251" s="1"/>
  <c r="I1241" i="187"/>
  <c r="I75" i="251" s="1"/>
  <c r="I161" i="255" s="1"/>
  <c r="L64" i="60"/>
  <c r="N53" i="160"/>
  <c r="O48" i="66"/>
  <c r="F25" i="160" s="1"/>
  <c r="I324" i="187"/>
  <c r="I42" i="251" s="1"/>
  <c r="I128" i="255" s="1"/>
  <c r="I881" i="187"/>
  <c r="I64" i="251" s="1"/>
  <c r="I150" i="255" s="1"/>
  <c r="I783" i="187"/>
  <c r="I60" i="251" s="1"/>
  <c r="I953" i="187"/>
  <c r="I66" i="251" s="1"/>
  <c r="O64" i="60"/>
  <c r="K28" i="160"/>
  <c r="N72" i="66"/>
  <c r="E49" i="160" s="1"/>
  <c r="N28"/>
  <c r="I102" i="186"/>
  <c r="I142" i="187"/>
  <c r="I35" i="251" s="1"/>
  <c r="I552" i="187"/>
  <c r="I50" i="251" s="1"/>
  <c r="I136" i="255" s="1"/>
  <c r="K64" i="60"/>
  <c r="I590" i="187"/>
  <c r="I51" i="251" s="1"/>
  <c r="I137" i="255" s="1"/>
  <c r="I169" i="187"/>
  <c r="I36" i="251" s="1"/>
  <c r="I122" i="255" s="1"/>
  <c r="I438" i="187"/>
  <c r="I46" i="251" s="1"/>
  <c r="I132" i="255" s="1"/>
  <c r="L87" i="60"/>
  <c r="N23" i="160"/>
  <c r="P64" i="60"/>
  <c r="I628" i="187"/>
  <c r="I52" i="251" s="1"/>
  <c r="I138" i="255" s="1"/>
  <c r="I1115" i="187"/>
  <c r="I71" i="251" s="1"/>
  <c r="I157" i="255" s="1"/>
  <c r="J66" i="160"/>
  <c r="K56"/>
  <c r="K58"/>
  <c r="I196" i="187"/>
  <c r="I37" i="251" s="1"/>
  <c r="I123" i="255" s="1"/>
  <c r="I845" i="187"/>
  <c r="I62" i="251" s="1"/>
  <c r="I148" i="255" s="1"/>
  <c r="I1031" i="187"/>
  <c r="I69" i="251" s="1"/>
  <c r="I155" i="255" s="1"/>
  <c r="I1199" i="187"/>
  <c r="I74" i="251" s="1"/>
  <c r="I160" i="255" s="1"/>
  <c r="I1073" i="187"/>
  <c r="I70" i="251" s="1"/>
  <c r="I156" i="255" s="1"/>
  <c r="U127" s="1"/>
  <c r="K24" i="160"/>
  <c r="M97" i="250"/>
  <c r="H97"/>
  <c r="L97"/>
  <c r="I158" i="255"/>
  <c r="I78" i="253"/>
  <c r="G73"/>
  <c r="G153" i="255"/>
  <c r="I125"/>
  <c r="I45" i="253"/>
  <c r="G70"/>
  <c r="G150" i="255"/>
  <c r="G160"/>
  <c r="G80" i="253"/>
  <c r="G67"/>
  <c r="G147" i="255"/>
  <c r="I151"/>
  <c r="I71" i="253"/>
  <c r="G46"/>
  <c r="G126" i="255"/>
  <c r="G56" i="253"/>
  <c r="G136" i="255"/>
  <c r="F133"/>
  <c r="F53" i="253"/>
  <c r="B128" s="1"/>
  <c r="I145" i="255"/>
  <c r="I65" i="253"/>
  <c r="C140" s="1"/>
  <c r="H140" s="1"/>
  <c r="I140" s="1"/>
  <c r="J140" s="1"/>
  <c r="I70"/>
  <c r="I152" i="255"/>
  <c r="I72" i="253"/>
  <c r="G75"/>
  <c r="G155" i="255"/>
  <c r="F155"/>
  <c r="F75" i="253"/>
  <c r="B150" s="1"/>
  <c r="K150" s="1"/>
  <c r="I121" i="255"/>
  <c r="I41" i="253"/>
  <c r="I56"/>
  <c r="G66"/>
  <c r="G146" i="255"/>
  <c r="G163"/>
  <c r="G83" i="253"/>
  <c r="F161" i="255"/>
  <c r="F81" i="253"/>
  <c r="B156" s="1"/>
  <c r="I133" i="255"/>
  <c r="I53" i="253"/>
  <c r="I52"/>
  <c r="G68"/>
  <c r="G148" i="255"/>
  <c r="G52" i="253"/>
  <c r="G132" i="255"/>
  <c r="G47" i="253"/>
  <c r="G127" i="255"/>
  <c r="I130"/>
  <c r="I50" i="253"/>
  <c r="I58"/>
  <c r="G57"/>
  <c r="G137" i="255"/>
  <c r="G122"/>
  <c r="G42" i="253"/>
  <c r="I162" i="255"/>
  <c r="I82" i="253"/>
  <c r="I43"/>
  <c r="C118" s="1"/>
  <c r="H118" s="1"/>
  <c r="I118" s="1"/>
  <c r="J118" s="1"/>
  <c r="G72"/>
  <c r="G152" i="255"/>
  <c r="F153"/>
  <c r="F73" i="253"/>
  <c r="B148" s="1"/>
  <c r="G50"/>
  <c r="G130" i="255"/>
  <c r="F137"/>
  <c r="F57" i="253"/>
  <c r="B132" s="1"/>
  <c r="M28" i="160"/>
  <c r="J28"/>
  <c r="Q28"/>
  <c r="C66" i="159" s="1"/>
  <c r="P28" i="160"/>
  <c r="B66" i="159" s="1"/>
  <c r="J75" i="253"/>
  <c r="D150" s="1"/>
  <c r="J155" i="255"/>
  <c r="J81" i="253"/>
  <c r="J161" i="255"/>
  <c r="J72" i="253"/>
  <c r="J152" i="255"/>
  <c r="J83" i="253"/>
  <c r="D158" s="1"/>
  <c r="J163" i="255"/>
  <c r="F162"/>
  <c r="F82" i="253"/>
  <c r="B157" s="1"/>
  <c r="K157" s="1"/>
  <c r="F152" i="255"/>
  <c r="F72" i="253"/>
  <c r="B147" s="1"/>
  <c r="F123" i="255"/>
  <c r="F43" i="253"/>
  <c r="B118" s="1"/>
  <c r="I814" i="187"/>
  <c r="I61" i="251" s="1"/>
  <c r="G55" i="253"/>
  <c r="G135" i="255"/>
  <c r="G43" i="253"/>
  <c r="G123" i="255"/>
  <c r="J35" i="160"/>
  <c r="Q35"/>
  <c r="C73" i="159" s="1"/>
  <c r="P35" i="160"/>
  <c r="B73" i="159" s="1"/>
  <c r="M35" i="160"/>
  <c r="J59"/>
  <c r="P59"/>
  <c r="B97" i="159" s="1"/>
  <c r="Q59" i="160"/>
  <c r="C97" i="159" s="1"/>
  <c r="M59" i="160"/>
  <c r="P87" i="60"/>
  <c r="K66" i="160"/>
  <c r="M29"/>
  <c r="J29"/>
  <c r="Q29"/>
  <c r="C67" i="159" s="1"/>
  <c r="P29" i="160"/>
  <c r="B67" i="159" s="1"/>
  <c r="M23" i="160"/>
  <c r="J23"/>
  <c r="P23"/>
  <c r="B61" i="159" s="1"/>
  <c r="Q23" i="160"/>
  <c r="C61" i="159" s="1"/>
  <c r="K31" i="160"/>
  <c r="P66"/>
  <c r="B104" i="159" s="1"/>
  <c r="O72" i="66"/>
  <c r="F49" i="160" s="1"/>
  <c r="K61"/>
  <c r="L84" i="60"/>
  <c r="K48" i="160"/>
  <c r="N48" i="66"/>
  <c r="E25" i="160" s="1"/>
  <c r="F156" i="255"/>
  <c r="F76" i="253"/>
  <c r="B151" s="1"/>
  <c r="I126" i="255"/>
  <c r="I46" i="253"/>
  <c r="J56"/>
  <c r="D131" s="1"/>
  <c r="J136" i="255"/>
  <c r="J50" i="253"/>
  <c r="J130" i="255"/>
  <c r="J48" i="253"/>
  <c r="D123" s="1"/>
  <c r="J128" i="255"/>
  <c r="F135"/>
  <c r="F55" i="253"/>
  <c r="B130" s="1"/>
  <c r="S130" s="1"/>
  <c r="F136" i="255"/>
  <c r="F56" i="253"/>
  <c r="B131" s="1"/>
  <c r="S131" s="1"/>
  <c r="F128" i="255"/>
  <c r="F48" i="253"/>
  <c r="B123" s="1"/>
  <c r="I1325" i="187"/>
  <c r="I77" i="251" s="1"/>
  <c r="I48" i="253"/>
  <c r="C123" s="1"/>
  <c r="H123" s="1"/>
  <c r="I123" s="1"/>
  <c r="J123" s="1"/>
  <c r="I146" i="255"/>
  <c r="I66" i="253"/>
  <c r="G82"/>
  <c r="G162" i="255"/>
  <c r="G41" i="253"/>
  <c r="G121" i="255"/>
  <c r="G65" i="253"/>
  <c r="G145" i="255"/>
  <c r="K18" i="160"/>
  <c r="M18"/>
  <c r="O87" i="60"/>
  <c r="K19" i="160"/>
  <c r="K23"/>
  <c r="N31"/>
  <c r="M66"/>
  <c r="Q65"/>
  <c r="C103" i="159" s="1"/>
  <c r="P65" i="160"/>
  <c r="B103" i="159" s="1"/>
  <c r="M65" i="160"/>
  <c r="J65"/>
  <c r="Q58"/>
  <c r="C96" i="159" s="1"/>
  <c r="M58" i="160"/>
  <c r="J58"/>
  <c r="P58"/>
  <c r="B96" i="159" s="1"/>
  <c r="Q34" i="160"/>
  <c r="C72" i="159" s="1"/>
  <c r="P34" i="160"/>
  <c r="B72" i="159" s="1"/>
  <c r="M34" i="160"/>
  <c r="J34"/>
  <c r="N61"/>
  <c r="K84" i="60"/>
  <c r="O68"/>
  <c r="J48" i="160"/>
  <c r="Q48"/>
  <c r="C86" i="159" s="1"/>
  <c r="M48" i="160"/>
  <c r="P48"/>
  <c r="B86" i="159" s="1"/>
  <c r="F132" i="255"/>
  <c r="F52" i="253"/>
  <c r="B127" s="1"/>
  <c r="G161" i="255"/>
  <c r="G81" i="253"/>
  <c r="Q51" i="160"/>
  <c r="C89" i="159" s="1"/>
  <c r="M51" i="160"/>
  <c r="P51"/>
  <c r="B89" i="159" s="1"/>
  <c r="J51" i="160"/>
  <c r="J41" i="253"/>
  <c r="J121" i="255"/>
  <c r="J51" i="253"/>
  <c r="D126" s="1"/>
  <c r="J131" i="255"/>
  <c r="J42" i="253"/>
  <c r="D117" s="1"/>
  <c r="J122" i="255"/>
  <c r="J71" i="253"/>
  <c r="J151" i="255"/>
  <c r="J120"/>
  <c r="J40" i="253"/>
  <c r="F125" i="255"/>
  <c r="F45" i="253"/>
  <c r="B120" s="1"/>
  <c r="F147" i="255"/>
  <c r="F67" i="253"/>
  <c r="B142" s="1"/>
  <c r="S142" s="1"/>
  <c r="T142" s="1"/>
  <c r="U142" s="1"/>
  <c r="Q20" i="160"/>
  <c r="C58" i="159" s="1"/>
  <c r="P20" i="160"/>
  <c r="B58" i="159" s="1"/>
  <c r="M20" i="160"/>
  <c r="J20"/>
  <c r="G51" i="253"/>
  <c r="G131" i="255"/>
  <c r="K36" i="160"/>
  <c r="M24"/>
  <c r="C61" i="161"/>
  <c r="C63" s="1"/>
  <c r="C78" s="1"/>
  <c r="M45"/>
  <c r="J24" i="160"/>
  <c r="P24"/>
  <c r="B62" i="159" s="1"/>
  <c r="N18" i="160"/>
  <c r="M87" i="60"/>
  <c r="N33" i="160"/>
  <c r="N19"/>
  <c r="M31"/>
  <c r="Q31"/>
  <c r="C69" i="159" s="1"/>
  <c r="J31" i="160"/>
  <c r="P31"/>
  <c r="B69" i="159" s="1"/>
  <c r="Q66" i="160"/>
  <c r="C104" i="159" s="1"/>
  <c r="L73" i="66"/>
  <c r="C50" i="160" s="1"/>
  <c r="M53"/>
  <c r="J53"/>
  <c r="Q53"/>
  <c r="C91" i="159" s="1"/>
  <c r="P53" i="160"/>
  <c r="B91" i="159" s="1"/>
  <c r="K34" i="160"/>
  <c r="J61"/>
  <c r="Q61"/>
  <c r="C99" i="159" s="1"/>
  <c r="P61" i="160"/>
  <c r="B99" i="159" s="1"/>
  <c r="M61" i="160"/>
  <c r="M84" i="60"/>
  <c r="P68"/>
  <c r="P21" i="160"/>
  <c r="B59" i="159" s="1"/>
  <c r="M21" i="160"/>
  <c r="Q21"/>
  <c r="C59" i="159" s="1"/>
  <c r="J21" i="160"/>
  <c r="N48"/>
  <c r="M55"/>
  <c r="K55"/>
  <c r="F121" i="255"/>
  <c r="F41" i="253"/>
  <c r="B116" s="1"/>
  <c r="I131" i="255"/>
  <c r="I51" i="253"/>
  <c r="I135" i="255"/>
  <c r="I55" i="253"/>
  <c r="J65"/>
  <c r="D140" s="1"/>
  <c r="J145" i="255"/>
  <c r="J147"/>
  <c r="J67" i="253"/>
  <c r="F131" i="255"/>
  <c r="F51" i="253"/>
  <c r="B126" s="1"/>
  <c r="F146" i="255"/>
  <c r="F66" i="253"/>
  <c r="B141" s="1"/>
  <c r="F151" i="255"/>
  <c r="F71" i="253"/>
  <c r="B146" s="1"/>
  <c r="S146" s="1"/>
  <c r="P60" i="160"/>
  <c r="B98" i="159" s="1"/>
  <c r="M60" i="160"/>
  <c r="J60"/>
  <c r="Q60"/>
  <c r="C98" i="159" s="1"/>
  <c r="G40" i="253"/>
  <c r="G120" i="255"/>
  <c r="P30" i="160"/>
  <c r="B68" i="159" s="1"/>
  <c r="M30" i="160"/>
  <c r="J30"/>
  <c r="Q30"/>
  <c r="C68" i="159" s="1"/>
  <c r="K20" i="160"/>
  <c r="Q24"/>
  <c r="C62" i="159" s="1"/>
  <c r="N24" i="160"/>
  <c r="M63"/>
  <c r="K63"/>
  <c r="Q56"/>
  <c r="C94" i="159" s="1"/>
  <c r="M56" i="160"/>
  <c r="J56"/>
  <c r="P56"/>
  <c r="B94" i="159" s="1"/>
  <c r="P55" i="160"/>
  <c r="B93" i="159" s="1"/>
  <c r="J55" i="160"/>
  <c r="Q55"/>
  <c r="C93" i="159" s="1"/>
  <c r="K65" i="160"/>
  <c r="P73" i="66"/>
  <c r="G50" i="160" s="1"/>
  <c r="N84" i="60"/>
  <c r="N68"/>
  <c r="J66" i="253"/>
  <c r="D141" s="1"/>
  <c r="J146" i="255"/>
  <c r="G77" i="253"/>
  <c r="G157" i="255"/>
  <c r="I120"/>
  <c r="I40" i="253"/>
  <c r="J80"/>
  <c r="D155" s="1"/>
  <c r="J160" i="255"/>
  <c r="J150"/>
  <c r="J70" i="253"/>
  <c r="D145" s="1"/>
  <c r="J133" i="255"/>
  <c r="J53" i="253"/>
  <c r="J138" i="255"/>
  <c r="J58" i="253"/>
  <c r="D133" s="1"/>
  <c r="J52"/>
  <c r="J132" i="255"/>
  <c r="J77" i="253"/>
  <c r="J157" i="255"/>
  <c r="J73" i="253"/>
  <c r="J153" i="255"/>
  <c r="F150"/>
  <c r="F70" i="253"/>
  <c r="B145" s="1"/>
  <c r="K145" s="1"/>
  <c r="F160" i="255"/>
  <c r="F80" i="253"/>
  <c r="B155" s="1"/>
  <c r="F157" i="255"/>
  <c r="F77" i="253"/>
  <c r="B152" s="1"/>
  <c r="K152" s="1"/>
  <c r="F40"/>
  <c r="B115" s="1"/>
  <c r="S115" s="1"/>
  <c r="T115" s="1"/>
  <c r="U115" s="1"/>
  <c r="F120" i="255"/>
  <c r="G71" i="253"/>
  <c r="G151" i="255"/>
  <c r="J36" i="160"/>
  <c r="Q36"/>
  <c r="C74" i="159" s="1"/>
  <c r="P36" i="160"/>
  <c r="B74" i="159" s="1"/>
  <c r="M36" i="160"/>
  <c r="J33"/>
  <c r="Q33"/>
  <c r="C71" i="159" s="1"/>
  <c r="P33" i="160"/>
  <c r="B71" i="159" s="1"/>
  <c r="M19" i="160"/>
  <c r="J19"/>
  <c r="Q19"/>
  <c r="C57" i="159" s="1"/>
  <c r="P19" i="160"/>
  <c r="B57" i="159" s="1"/>
  <c r="M73" i="66"/>
  <c r="D50" i="160" s="1"/>
  <c r="I40" i="239"/>
  <c r="I17"/>
  <c r="D67"/>
  <c r="D58"/>
  <c r="L72" i="66"/>
  <c r="C49" i="160" s="1"/>
  <c r="N34"/>
  <c r="J26"/>
  <c r="Q26"/>
  <c r="C64" i="159" s="1"/>
  <c r="P26" i="160"/>
  <c r="B64" i="159" s="1"/>
  <c r="M26" i="160"/>
  <c r="O84" i="60"/>
  <c r="M68"/>
  <c r="N21" i="160"/>
  <c r="P48" i="66"/>
  <c r="G25" i="160" s="1"/>
  <c r="J68" i="253"/>
  <c r="D143" s="1"/>
  <c r="J148" i="255"/>
  <c r="G53" i="253"/>
  <c r="G133" i="255"/>
  <c r="J47" i="253"/>
  <c r="D122" s="1"/>
  <c r="J127" i="255"/>
  <c r="J46" i="253"/>
  <c r="D121" s="1"/>
  <c r="J126" i="255"/>
  <c r="J43" i="253"/>
  <c r="J123" i="255"/>
  <c r="J162"/>
  <c r="J82" i="253"/>
  <c r="D157" s="1"/>
  <c r="F158" i="255"/>
  <c r="F78" i="253"/>
  <c r="B153" s="1"/>
  <c r="S153" s="1"/>
  <c r="F130" i="255"/>
  <c r="F50" i="253"/>
  <c r="B125" s="1"/>
  <c r="F126" i="255"/>
  <c r="F46" i="253"/>
  <c r="B121" s="1"/>
  <c r="K121" s="1"/>
  <c r="G45"/>
  <c r="G125" i="255"/>
  <c r="G78" i="253"/>
  <c r="G158" i="255"/>
  <c r="G58" i="253"/>
  <c r="G138" i="255"/>
  <c r="K51" i="160"/>
  <c r="M33"/>
  <c r="K33"/>
  <c r="N58"/>
  <c r="N73" i="66"/>
  <c r="E50" i="160" s="1"/>
  <c r="Q75"/>
  <c r="R18"/>
  <c r="D56" i="159" s="1"/>
  <c r="E56" s="1"/>
  <c r="P72" i="66"/>
  <c r="G49" i="160" s="1"/>
  <c r="N49" s="1"/>
  <c r="K26"/>
  <c r="K68" i="60"/>
  <c r="M48" i="66"/>
  <c r="D25" i="160" s="1"/>
  <c r="J55" i="253"/>
  <c r="J135" i="255"/>
  <c r="F145"/>
  <c r="F65" i="253"/>
  <c r="B140" s="1"/>
  <c r="S140" s="1"/>
  <c r="T140" s="1"/>
  <c r="U140" s="1"/>
  <c r="P64" i="160"/>
  <c r="B102" i="159" s="1"/>
  <c r="M64" i="160"/>
  <c r="J64"/>
  <c r="Q64"/>
  <c r="C102" i="159" s="1"/>
  <c r="J78" i="253"/>
  <c r="D153" s="1"/>
  <c r="J158" i="255"/>
  <c r="J57" i="253"/>
  <c r="J137" i="255"/>
  <c r="J45" i="253"/>
  <c r="D120" s="1"/>
  <c r="J125" i="255"/>
  <c r="J76" i="253"/>
  <c r="D151" s="1"/>
  <c r="J156" i="255"/>
  <c r="U128" s="1"/>
  <c r="F127"/>
  <c r="F47" i="253"/>
  <c r="B122" s="1"/>
  <c r="S122" s="1"/>
  <c r="F163" i="255"/>
  <c r="F83" i="253"/>
  <c r="B158" s="1"/>
  <c r="K158" s="1"/>
  <c r="F122" i="255"/>
  <c r="F42" i="253"/>
  <c r="B117" s="1"/>
  <c r="K117" s="1"/>
  <c r="F138" i="255"/>
  <c r="F58" i="253"/>
  <c r="B133" s="1"/>
  <c r="K133" s="1"/>
  <c r="F148" i="255"/>
  <c r="F68" i="253"/>
  <c r="B143" s="1"/>
  <c r="S143" s="1"/>
  <c r="I292" i="187"/>
  <c r="I41" i="251" s="1"/>
  <c r="G48" i="253"/>
  <c r="G128" i="255"/>
  <c r="G76" i="253"/>
  <c r="G156" i="255"/>
  <c r="U125" s="1"/>
  <c r="K35" i="160"/>
  <c r="C18"/>
  <c r="K59"/>
  <c r="N66"/>
  <c r="K73" i="66"/>
  <c r="B50" i="160" s="1"/>
  <c r="K72" i="66"/>
  <c r="B49" i="160" s="1"/>
  <c r="K48" i="66"/>
  <c r="B25" i="160" s="1"/>
  <c r="F120" i="253"/>
  <c r="P118"/>
  <c r="Q118" s="1"/>
  <c r="R118" s="1"/>
  <c r="F145"/>
  <c r="P143"/>
  <c r="Q143" s="1"/>
  <c r="R143" s="1"/>
  <c r="S121"/>
  <c r="K132"/>
  <c r="S132"/>
  <c r="S116"/>
  <c r="T116" s="1"/>
  <c r="U116" s="1"/>
  <c r="K116"/>
  <c r="S120"/>
  <c r="K120"/>
  <c r="C157"/>
  <c r="H157" s="1"/>
  <c r="I157" s="1"/>
  <c r="J157" s="1"/>
  <c r="M48"/>
  <c r="O48" s="1"/>
  <c r="K128"/>
  <c r="S128"/>
  <c r="S151"/>
  <c r="K151"/>
  <c r="S118"/>
  <c r="K118"/>
  <c r="C131"/>
  <c r="H131" s="1"/>
  <c r="I131" s="1"/>
  <c r="J131" s="1"/>
  <c r="S152"/>
  <c r="K122"/>
  <c r="M66"/>
  <c r="O66" s="1"/>
  <c r="K127"/>
  <c r="S127"/>
  <c r="C115"/>
  <c r="H115" s="1"/>
  <c r="I115" s="1"/>
  <c r="J115" s="1"/>
  <c r="C126"/>
  <c r="H126" s="1"/>
  <c r="I126" s="1"/>
  <c r="J126" s="1"/>
  <c r="L51"/>
  <c r="N51" s="1"/>
  <c r="C128"/>
  <c r="H128" s="1"/>
  <c r="I128" s="1"/>
  <c r="J128" s="1"/>
  <c r="L53"/>
  <c r="N53" s="1"/>
  <c r="C141"/>
  <c r="H141" s="1"/>
  <c r="I141" s="1"/>
  <c r="J141" s="1"/>
  <c r="L66"/>
  <c r="N66" s="1"/>
  <c r="C145"/>
  <c r="H145" s="1"/>
  <c r="I145" s="1"/>
  <c r="J145" s="1"/>
  <c r="C130"/>
  <c r="H130" s="1"/>
  <c r="I130" s="1"/>
  <c r="J130" s="1"/>
  <c r="L55"/>
  <c r="N55" s="1"/>
  <c r="C120"/>
  <c r="H120" s="1"/>
  <c r="I120" s="1"/>
  <c r="J120" s="1"/>
  <c r="L45"/>
  <c r="N45" s="1"/>
  <c r="K156"/>
  <c r="S156"/>
  <c r="K148"/>
  <c r="S148"/>
  <c r="C146"/>
  <c r="H146" s="1"/>
  <c r="I146" s="1"/>
  <c r="J146" s="1"/>
  <c r="K147"/>
  <c r="S147"/>
  <c r="C116"/>
  <c r="H116" s="1"/>
  <c r="I116" s="1"/>
  <c r="J116" s="1"/>
  <c r="L41"/>
  <c r="N41" s="1"/>
  <c r="K125"/>
  <c r="S125"/>
  <c r="S117"/>
  <c r="T117" s="1"/>
  <c r="U117" s="1"/>
  <c r="K123"/>
  <c r="S123"/>
  <c r="C127"/>
  <c r="H127" s="1"/>
  <c r="I127" s="1"/>
  <c r="J127" s="1"/>
  <c r="L52"/>
  <c r="N52" s="1"/>
  <c r="C125"/>
  <c r="H125" s="1"/>
  <c r="I125" s="1"/>
  <c r="J125" s="1"/>
  <c r="L50"/>
  <c r="N50" s="1"/>
  <c r="K155"/>
  <c r="S155"/>
  <c r="C133"/>
  <c r="H133" s="1"/>
  <c r="I133" s="1"/>
  <c r="J133" s="1"/>
  <c r="C121"/>
  <c r="H121" s="1"/>
  <c r="I121" s="1"/>
  <c r="J121" s="1"/>
  <c r="L46"/>
  <c r="N46" s="1"/>
  <c r="S141"/>
  <c r="T141" s="1"/>
  <c r="U141" s="1"/>
  <c r="K141"/>
  <c r="S126"/>
  <c r="K126"/>
  <c r="L72"/>
  <c r="N72" s="1"/>
  <c r="C147"/>
  <c r="H147" s="1"/>
  <c r="I147" s="1"/>
  <c r="J147" s="1"/>
  <c r="M42"/>
  <c r="O42" s="1"/>
  <c r="N163" i="255"/>
  <c r="N158"/>
  <c r="N155"/>
  <c r="N136"/>
  <c r="N125"/>
  <c r="N160"/>
  <c r="N161"/>
  <c r="N137"/>
  <c r="N127"/>
  <c r="N147"/>
  <c r="M147"/>
  <c r="N132"/>
  <c r="N133"/>
  <c r="M161"/>
  <c r="N151"/>
  <c r="N153"/>
  <c r="N152"/>
  <c r="N162"/>
  <c r="M153"/>
  <c r="N122"/>
  <c r="M146"/>
  <c r="M120"/>
  <c r="M151"/>
  <c r="M122"/>
  <c r="M150"/>
  <c r="M163"/>
  <c r="M156"/>
  <c r="N135"/>
  <c r="N157"/>
  <c r="N121"/>
  <c r="M160"/>
  <c r="M145"/>
  <c r="N156"/>
  <c r="N146"/>
  <c r="N130"/>
  <c r="N148"/>
  <c r="M125"/>
  <c r="N150"/>
  <c r="M152"/>
  <c r="N126"/>
  <c r="M157"/>
  <c r="M135"/>
  <c r="N131"/>
  <c r="M127"/>
  <c r="N123"/>
  <c r="M126"/>
  <c r="N120"/>
  <c r="M137"/>
  <c r="M136"/>
  <c r="M155"/>
  <c r="M148"/>
  <c r="N128"/>
  <c r="M130"/>
  <c r="M123"/>
  <c r="M132"/>
  <c r="N138"/>
  <c r="M158"/>
  <c r="M128"/>
  <c r="M162"/>
  <c r="M121"/>
  <c r="M133"/>
  <c r="M138"/>
  <c r="N145"/>
  <c r="M131"/>
  <c r="J63" i="160" l="1"/>
  <c r="I81" i="253"/>
  <c r="C156" s="1"/>
  <c r="H156" s="1"/>
  <c r="I156" s="1"/>
  <c r="J156" s="1"/>
  <c r="K140"/>
  <c r="S158"/>
  <c r="K115"/>
  <c r="M51"/>
  <c r="O51" s="1"/>
  <c r="K130"/>
  <c r="I77"/>
  <c r="M80"/>
  <c r="O80" s="1"/>
  <c r="I68"/>
  <c r="C143" s="1"/>
  <c r="H143" s="1"/>
  <c r="I143" s="1"/>
  <c r="J143" s="1"/>
  <c r="I57"/>
  <c r="C132" s="1"/>
  <c r="H132" s="1"/>
  <c r="I132" s="1"/>
  <c r="J132" s="1"/>
  <c r="K21" i="160"/>
  <c r="Q63"/>
  <c r="C101" i="159" s="1"/>
  <c r="K153" i="253"/>
  <c r="I73"/>
  <c r="C148" s="1"/>
  <c r="H148" s="1"/>
  <c r="I148" s="1"/>
  <c r="J148" s="1"/>
  <c r="M68"/>
  <c r="O68" s="1"/>
  <c r="M46"/>
  <c r="O46" s="1"/>
  <c r="K50" i="160"/>
  <c r="I80" i="253"/>
  <c r="Q54" i="160"/>
  <c r="C92" i="159" s="1"/>
  <c r="N63" i="160"/>
  <c r="E222" i="255"/>
  <c r="E231" s="1"/>
  <c r="L57" i="253"/>
  <c r="N57" s="1"/>
  <c r="K54" i="160"/>
  <c r="P63"/>
  <c r="B101" i="159" s="1"/>
  <c r="L48" i="253"/>
  <c r="N48" s="1"/>
  <c r="M76"/>
  <c r="O76" s="1"/>
  <c r="M45"/>
  <c r="O45" s="1"/>
  <c r="M65"/>
  <c r="O65" s="1"/>
  <c r="N25" i="160"/>
  <c r="K49"/>
  <c r="K142" i="253"/>
  <c r="K25" i="160"/>
  <c r="J54"/>
  <c r="L78" i="253"/>
  <c r="N78" s="1"/>
  <c r="Q21" i="60"/>
  <c r="N26" s="1"/>
  <c r="P54" i="160"/>
  <c r="B92" i="159" s="1"/>
  <c r="K143" i="253"/>
  <c r="Q30" i="60"/>
  <c r="N35" s="1"/>
  <c r="M54" i="160"/>
  <c r="I42" i="253"/>
  <c r="L42" s="1"/>
  <c r="N42" s="1"/>
  <c r="M83"/>
  <c r="O83" s="1"/>
  <c r="T143"/>
  <c r="U143" s="1"/>
  <c r="L40"/>
  <c r="N40" s="1"/>
  <c r="L43"/>
  <c r="N43" s="1"/>
  <c r="M58"/>
  <c r="O58" s="1"/>
  <c r="C153"/>
  <c r="H153" s="1"/>
  <c r="I153" s="1"/>
  <c r="J153" s="1"/>
  <c r="S150"/>
  <c r="M78"/>
  <c r="O78" s="1"/>
  <c r="S157"/>
  <c r="L58"/>
  <c r="N58" s="1"/>
  <c r="S133"/>
  <c r="L70"/>
  <c r="N70" s="1"/>
  <c r="L56"/>
  <c r="N56" s="1"/>
  <c r="L65"/>
  <c r="N65" s="1"/>
  <c r="P65" s="1"/>
  <c r="U117" i="255"/>
  <c r="W117" s="1"/>
  <c r="U120" s="1"/>
  <c r="Q31" i="60"/>
  <c r="I76" i="253"/>
  <c r="M82"/>
  <c r="O82" s="1"/>
  <c r="K146"/>
  <c r="L146" s="1"/>
  <c r="M146" s="1"/>
  <c r="K131"/>
  <c r="N50" i="160"/>
  <c r="Q22" i="60"/>
  <c r="M70" i="253"/>
  <c r="O70" s="1"/>
  <c r="S145"/>
  <c r="L68"/>
  <c r="N68" s="1"/>
  <c r="L71"/>
  <c r="N71" s="1"/>
  <c r="T118"/>
  <c r="U118" s="1"/>
  <c r="L82"/>
  <c r="N82" s="1"/>
  <c r="L81"/>
  <c r="N81" s="1"/>
  <c r="M17" i="66"/>
  <c r="E11" i="167" s="1"/>
  <c r="M47" i="253"/>
  <c r="O47" s="1"/>
  <c r="M18" i="66"/>
  <c r="F32" i="239" s="1"/>
  <c r="F31" s="1"/>
  <c r="F40" s="1"/>
  <c r="H40" s="1"/>
  <c r="I75" i="253"/>
  <c r="M56"/>
  <c r="O56" s="1"/>
  <c r="Q56" s="1"/>
  <c r="M75"/>
  <c r="O75" s="1"/>
  <c r="Q95" i="160"/>
  <c r="F169" i="255"/>
  <c r="I183" s="1"/>
  <c r="H183" s="1"/>
  <c r="F146" i="253"/>
  <c r="P145"/>
  <c r="Q145" s="1"/>
  <c r="R145" s="1"/>
  <c r="P120"/>
  <c r="Q120" s="1"/>
  <c r="R120" s="1"/>
  <c r="T120" s="1"/>
  <c r="U120" s="1"/>
  <c r="F121"/>
  <c r="J25" i="160"/>
  <c r="Q25"/>
  <c r="C63" i="159" s="1"/>
  <c r="P25" i="160"/>
  <c r="B63" i="159" s="1"/>
  <c r="M25" i="160"/>
  <c r="M49"/>
  <c r="Q49"/>
  <c r="C87" i="159" s="1"/>
  <c r="P49" i="160"/>
  <c r="B87" i="159" s="1"/>
  <c r="J49" i="160"/>
  <c r="J50"/>
  <c r="Q50"/>
  <c r="C88" i="159" s="1"/>
  <c r="P50" i="160"/>
  <c r="B88" i="159" s="1"/>
  <c r="M50" i="160"/>
  <c r="P18"/>
  <c r="B56" i="159" s="1"/>
  <c r="Q74" i="160"/>
  <c r="Q73"/>
  <c r="J18"/>
  <c r="Q18"/>
  <c r="C56" i="159" s="1"/>
  <c r="I127" i="255"/>
  <c r="I47" i="253"/>
  <c r="K148" i="255"/>
  <c r="K138"/>
  <c r="K122"/>
  <c r="K163"/>
  <c r="K127"/>
  <c r="D132" i="253"/>
  <c r="M57"/>
  <c r="O57" s="1"/>
  <c r="Q57" s="1"/>
  <c r="K145" i="255"/>
  <c r="D130" i="253"/>
  <c r="M55"/>
  <c r="O55" s="1"/>
  <c r="Q55" s="1"/>
  <c r="K126" i="255"/>
  <c r="K130"/>
  <c r="K158"/>
  <c r="D118" i="253"/>
  <c r="M43"/>
  <c r="O43" s="1"/>
  <c r="Q43" s="1"/>
  <c r="K17" i="239"/>
  <c r="H17"/>
  <c r="F231" i="255"/>
  <c r="F232"/>
  <c r="F253"/>
  <c r="F257" s="1"/>
  <c r="F261" s="1"/>
  <c r="F277" s="1"/>
  <c r="I281" s="1"/>
  <c r="K120"/>
  <c r="K157"/>
  <c r="K160"/>
  <c r="K150"/>
  <c r="D148" i="253"/>
  <c r="M73"/>
  <c r="O73" s="1"/>
  <c r="D152"/>
  <c r="M77"/>
  <c r="O77" s="1"/>
  <c r="D127"/>
  <c r="M52"/>
  <c r="O52" s="1"/>
  <c r="P52" s="1"/>
  <c r="D128"/>
  <c r="M53"/>
  <c r="O53" s="1"/>
  <c r="Q53" s="1"/>
  <c r="K151" i="255"/>
  <c r="K146"/>
  <c r="K131"/>
  <c r="D142" i="253"/>
  <c r="M67"/>
  <c r="O67" s="1"/>
  <c r="K121" i="255"/>
  <c r="K147"/>
  <c r="K125"/>
  <c r="D115" i="253"/>
  <c r="M40"/>
  <c r="O40" s="1"/>
  <c r="Q40" s="1"/>
  <c r="D146"/>
  <c r="M71"/>
  <c r="O71" s="1"/>
  <c r="D116"/>
  <c r="M41"/>
  <c r="O41" s="1"/>
  <c r="Q41" s="1"/>
  <c r="K132" i="255"/>
  <c r="I163"/>
  <c r="I83" i="253"/>
  <c r="K128" i="255"/>
  <c r="K136"/>
  <c r="K135"/>
  <c r="D125" i="253"/>
  <c r="M50"/>
  <c r="O50" s="1"/>
  <c r="P50" s="1"/>
  <c r="K156" i="255"/>
  <c r="U124"/>
  <c r="I147"/>
  <c r="I67" i="253"/>
  <c r="K123" i="255"/>
  <c r="K152"/>
  <c r="K162"/>
  <c r="D147" i="253"/>
  <c r="M72"/>
  <c r="O72" s="1"/>
  <c r="P72" s="1"/>
  <c r="D156"/>
  <c r="M81"/>
  <c r="O81" s="1"/>
  <c r="Q81" s="1"/>
  <c r="K137" i="255"/>
  <c r="K153"/>
  <c r="K161"/>
  <c r="K155"/>
  <c r="K133"/>
  <c r="L147" i="253"/>
  <c r="M147" s="1"/>
  <c r="P55"/>
  <c r="L116"/>
  <c r="M116" s="1"/>
  <c r="L128"/>
  <c r="M128" s="1"/>
  <c r="L130"/>
  <c r="M130" s="1"/>
  <c r="L118"/>
  <c r="M118" s="1"/>
  <c r="L123"/>
  <c r="M123" s="1"/>
  <c r="L121"/>
  <c r="M121" s="1"/>
  <c r="L127"/>
  <c r="M127" s="1"/>
  <c r="Q71"/>
  <c r="L125"/>
  <c r="M125" s="1"/>
  <c r="L115"/>
  <c r="M115" s="1"/>
  <c r="L133"/>
  <c r="M133" s="1"/>
  <c r="L120"/>
  <c r="M120" s="1"/>
  <c r="L153"/>
  <c r="M153" s="1"/>
  <c r="L141"/>
  <c r="M141" s="1"/>
  <c r="L131"/>
  <c r="M131" s="1"/>
  <c r="L140"/>
  <c r="M140" s="1"/>
  <c r="L132"/>
  <c r="M132" s="1"/>
  <c r="Q65"/>
  <c r="L148"/>
  <c r="M148" s="1"/>
  <c r="Q48"/>
  <c r="P48"/>
  <c r="P66"/>
  <c r="Q66"/>
  <c r="P46"/>
  <c r="Q46"/>
  <c r="Q78"/>
  <c r="P78"/>
  <c r="Q51"/>
  <c r="P51"/>
  <c r="Q45"/>
  <c r="P45"/>
  <c r="Q42"/>
  <c r="P42"/>
  <c r="P58"/>
  <c r="Q58"/>
  <c r="Q70"/>
  <c r="P70"/>
  <c r="L145"/>
  <c r="M145" s="1"/>
  <c r="L126"/>
  <c r="M126" s="1"/>
  <c r="L157"/>
  <c r="M157" s="1"/>
  <c r="L156"/>
  <c r="M156" s="1"/>
  <c r="Q82"/>
  <c r="L136" i="255"/>
  <c r="L158"/>
  <c r="L121"/>
  <c r="L162"/>
  <c r="L138"/>
  <c r="L133"/>
  <c r="L148"/>
  <c r="L150"/>
  <c r="L161"/>
  <c r="L157"/>
  <c r="L163"/>
  <c r="L160"/>
  <c r="L153"/>
  <c r="L145"/>
  <c r="L147"/>
  <c r="L146"/>
  <c r="L155"/>
  <c r="L120"/>
  <c r="L126"/>
  <c r="L137"/>
  <c r="L128"/>
  <c r="L152"/>
  <c r="L135"/>
  <c r="L131"/>
  <c r="L156"/>
  <c r="L127"/>
  <c r="L123"/>
  <c r="L130"/>
  <c r="L151"/>
  <c r="L125"/>
  <c r="L122"/>
  <c r="L132"/>
  <c r="P82" i="253" l="1"/>
  <c r="P56"/>
  <c r="L143"/>
  <c r="M143" s="1"/>
  <c r="C152"/>
  <c r="H152" s="1"/>
  <c r="I152" s="1"/>
  <c r="J152" s="1"/>
  <c r="L152" s="1"/>
  <c r="M152" s="1"/>
  <c r="L77"/>
  <c r="N77" s="1"/>
  <c r="P77" s="1"/>
  <c r="L73"/>
  <c r="N73" s="1"/>
  <c r="Q73" s="1"/>
  <c r="Q52"/>
  <c r="Q68"/>
  <c r="P40"/>
  <c r="P71"/>
  <c r="K95" i="160"/>
  <c r="K100" s="1"/>
  <c r="K101" s="1"/>
  <c r="P53" i="253"/>
  <c r="R53" s="1"/>
  <c r="C155"/>
  <c r="H155" s="1"/>
  <c r="I155" s="1"/>
  <c r="J155" s="1"/>
  <c r="L155" s="1"/>
  <c r="M155" s="1"/>
  <c r="L80"/>
  <c r="N80" s="1"/>
  <c r="P57"/>
  <c r="P81"/>
  <c r="T145"/>
  <c r="U145" s="1"/>
  <c r="C117"/>
  <c r="H117" s="1"/>
  <c r="I117" s="1"/>
  <c r="J117" s="1"/>
  <c r="L117" s="1"/>
  <c r="M117" s="1"/>
  <c r="P41"/>
  <c r="P73"/>
  <c r="Q50"/>
  <c r="R50" s="1"/>
  <c r="P43"/>
  <c r="E41" i="239"/>
  <c r="L76" i="253"/>
  <c r="N76" s="1"/>
  <c r="C151"/>
  <c r="H151" s="1"/>
  <c r="I151" s="1"/>
  <c r="J151" s="1"/>
  <c r="L151" s="1"/>
  <c r="M151" s="1"/>
  <c r="P68"/>
  <c r="U119" i="255"/>
  <c r="U118"/>
  <c r="U116"/>
  <c r="F170" s="1"/>
  <c r="F195" s="1"/>
  <c r="F201" s="1"/>
  <c r="E19" i="167"/>
  <c r="E26" s="1"/>
  <c r="A56" s="1"/>
  <c r="E61"/>
  <c r="E66" s="1"/>
  <c r="A70" s="1"/>
  <c r="H95" i="160"/>
  <c r="C150" i="253"/>
  <c r="H150" s="1"/>
  <c r="I150" s="1"/>
  <c r="J150" s="1"/>
  <c r="L150" s="1"/>
  <c r="M150" s="1"/>
  <c r="L75"/>
  <c r="N75" s="1"/>
  <c r="O155" i="255"/>
  <c r="P155" s="1"/>
  <c r="O156"/>
  <c r="P156" s="1"/>
  <c r="O131"/>
  <c r="P131" s="1"/>
  <c r="O160"/>
  <c r="P160" s="1"/>
  <c r="O148"/>
  <c r="P148" s="1"/>
  <c r="O161"/>
  <c r="P161" s="1"/>
  <c r="O146"/>
  <c r="P146" s="1"/>
  <c r="O157"/>
  <c r="P157" s="1"/>
  <c r="O145"/>
  <c r="P145" s="1"/>
  <c r="O153"/>
  <c r="P153" s="1"/>
  <c r="O162"/>
  <c r="P162" s="1"/>
  <c r="O151"/>
  <c r="P151" s="1"/>
  <c r="O120"/>
  <c r="O136"/>
  <c r="P136" s="1"/>
  <c r="O137"/>
  <c r="P137" s="1"/>
  <c r="O152"/>
  <c r="P152" s="1"/>
  <c r="O135"/>
  <c r="P135" s="1"/>
  <c r="O125"/>
  <c r="P125" s="1"/>
  <c r="O158"/>
  <c r="P158" s="1"/>
  <c r="O128"/>
  <c r="P128" s="1"/>
  <c r="O121"/>
  <c r="P121" s="1"/>
  <c r="O130"/>
  <c r="P130" s="1"/>
  <c r="O126"/>
  <c r="P126" s="1"/>
  <c r="O122"/>
  <c r="P122" s="1"/>
  <c r="O123"/>
  <c r="P123" s="1"/>
  <c r="O132"/>
  <c r="P132" s="1"/>
  <c r="O133"/>
  <c r="P133" s="1"/>
  <c r="O150"/>
  <c r="P150" s="1"/>
  <c r="O138"/>
  <c r="P138" s="1"/>
  <c r="R55" i="253"/>
  <c r="N95" i="160"/>
  <c r="Q72" i="253"/>
  <c r="R72" s="1"/>
  <c r="C122"/>
  <c r="H122" s="1"/>
  <c r="I122" s="1"/>
  <c r="J122" s="1"/>
  <c r="L122" s="1"/>
  <c r="M122" s="1"/>
  <c r="L47"/>
  <c r="N47" s="1"/>
  <c r="R43"/>
  <c r="R81"/>
  <c r="O127" i="255"/>
  <c r="P127" s="1"/>
  <c r="I201"/>
  <c r="V211"/>
  <c r="V202"/>
  <c r="R41" i="253"/>
  <c r="R57"/>
  <c r="C142"/>
  <c r="H142" s="1"/>
  <c r="I142" s="1"/>
  <c r="J142" s="1"/>
  <c r="L142" s="1"/>
  <c r="M142" s="1"/>
  <c r="L67"/>
  <c r="N67" s="1"/>
  <c r="R40"/>
  <c r="O147" i="255"/>
  <c r="P147" s="1"/>
  <c r="C158" i="253"/>
  <c r="H158" s="1"/>
  <c r="I158" s="1"/>
  <c r="J158" s="1"/>
  <c r="L158" s="1"/>
  <c r="M158" s="1"/>
  <c r="L83"/>
  <c r="N83" s="1"/>
  <c r="R52"/>
  <c r="R71"/>
  <c r="O163" i="255"/>
  <c r="P163" s="1"/>
  <c r="D5" i="209"/>
  <c r="D14" s="1"/>
  <c r="Q100" i="160"/>
  <c r="Q101" s="1"/>
  <c r="Q136"/>
  <c r="Q140" s="1"/>
  <c r="Q141" s="1"/>
  <c r="Q152" s="1"/>
  <c r="P121" i="253"/>
  <c r="Q121" s="1"/>
  <c r="R121" s="1"/>
  <c r="T121" s="1"/>
  <c r="U121" s="1"/>
  <c r="F122"/>
  <c r="F147"/>
  <c r="P146"/>
  <c r="Q146" s="1"/>
  <c r="R146" s="1"/>
  <c r="T146" s="1"/>
  <c r="U146" s="1"/>
  <c r="K183" i="255"/>
  <c r="R70" i="253"/>
  <c r="R42"/>
  <c r="R78"/>
  <c r="R48"/>
  <c r="R66"/>
  <c r="R65"/>
  <c r="R51"/>
  <c r="R45"/>
  <c r="R56"/>
  <c r="R46"/>
  <c r="R82"/>
  <c r="R58"/>
  <c r="Q77" l="1"/>
  <c r="R77" s="1"/>
  <c r="R73"/>
  <c r="R68"/>
  <c r="K136" i="160"/>
  <c r="K140" s="1"/>
  <c r="K141" s="1"/>
  <c r="K152" s="1"/>
  <c r="K103"/>
  <c r="K124" s="1"/>
  <c r="K123"/>
  <c r="Q80" i="253"/>
  <c r="P80"/>
  <c r="D107" i="159"/>
  <c r="E107" s="1"/>
  <c r="G56" i="167"/>
  <c r="C56"/>
  <c r="G70"/>
  <c r="C70"/>
  <c r="Q75" i="253"/>
  <c r="P75"/>
  <c r="H136" i="160"/>
  <c r="H140" s="1"/>
  <c r="H141" s="1"/>
  <c r="H152" s="1"/>
  <c r="D154" s="1"/>
  <c r="F164" i="70" s="1"/>
  <c r="E172" s="1"/>
  <c r="F205" s="1"/>
  <c r="H100" i="160"/>
  <c r="H101" s="1"/>
  <c r="P76" i="253"/>
  <c r="Q76"/>
  <c r="N136" i="160"/>
  <c r="N140" s="1"/>
  <c r="N141" s="1"/>
  <c r="N152" s="1"/>
  <c r="Q154" s="1"/>
  <c r="F165" i="183" s="1"/>
  <c r="E174" s="1"/>
  <c r="N100" i="160"/>
  <c r="N101" s="1"/>
  <c r="Q123"/>
  <c r="Q103"/>
  <c r="Q124" s="1"/>
  <c r="F47" i="209"/>
  <c r="F51" s="1"/>
  <c r="F55" s="1"/>
  <c r="F68" s="1"/>
  <c r="F70" s="1"/>
  <c r="H72" s="1"/>
  <c r="E15"/>
  <c r="E14"/>
  <c r="P67" i="253"/>
  <c r="Q67"/>
  <c r="P47"/>
  <c r="Q47"/>
  <c r="P83"/>
  <c r="Q83"/>
  <c r="H201" i="255"/>
  <c r="E202"/>
  <c r="G106"/>
  <c r="J106" s="1"/>
  <c r="P120"/>
  <c r="F148" i="253"/>
  <c r="P147"/>
  <c r="Q147" s="1"/>
  <c r="R147" s="1"/>
  <c r="T147" s="1"/>
  <c r="U147" s="1"/>
  <c r="F123"/>
  <c r="P122"/>
  <c r="Q122" s="1"/>
  <c r="R122" s="1"/>
  <c r="T122" s="1"/>
  <c r="U122" s="1"/>
  <c r="G182" i="70" l="1"/>
  <c r="I182" s="1"/>
  <c r="R80" i="253"/>
  <c r="R75"/>
  <c r="G107" i="159"/>
  <c r="R76" i="253"/>
  <c r="H103" i="160"/>
  <c r="H124" s="1"/>
  <c r="D128" s="1"/>
  <c r="F3" i="70" s="1"/>
  <c r="E27" s="1"/>
  <c r="H123" i="160"/>
  <c r="D127" s="1"/>
  <c r="R67" i="253"/>
  <c r="R83"/>
  <c r="F125"/>
  <c r="P123"/>
  <c r="Q123" s="1"/>
  <c r="R123" s="1"/>
  <c r="T123" s="1"/>
  <c r="U123" s="1"/>
  <c r="F150"/>
  <c r="P148"/>
  <c r="Q148" s="1"/>
  <c r="R148" s="1"/>
  <c r="T148" s="1"/>
  <c r="U148" s="1"/>
  <c r="R47"/>
  <c r="N103" i="160"/>
  <c r="N124" s="1"/>
  <c r="Q128" s="1"/>
  <c r="F3" i="183" s="1"/>
  <c r="E27" s="1"/>
  <c r="N123" i="160"/>
  <c r="Q127" s="1"/>
  <c r="D211" i="183"/>
  <c r="D221"/>
  <c r="J230" s="1"/>
  <c r="F206"/>
  <c r="G184"/>
  <c r="E205" i="70"/>
  <c r="H205"/>
  <c r="F182"/>
  <c r="E33" l="1"/>
  <c r="E32"/>
  <c r="E32" i="183"/>
  <c r="E33"/>
  <c r="M230"/>
  <c r="I230"/>
  <c r="E206"/>
  <c r="H206"/>
  <c r="I184"/>
  <c r="F184"/>
  <c r="F151" i="253"/>
  <c r="P150"/>
  <c r="Q150" s="1"/>
  <c r="R150" s="1"/>
  <c r="T150" s="1"/>
  <c r="U150" s="1"/>
  <c r="P125"/>
  <c r="Q125" s="1"/>
  <c r="R125" s="1"/>
  <c r="T125" s="1"/>
  <c r="U125" s="1"/>
  <c r="F126"/>
  <c r="G33" i="70" l="1"/>
  <c r="J33"/>
  <c r="J33" i="183"/>
  <c r="G33"/>
  <c r="F152" i="253"/>
  <c r="P151"/>
  <c r="Q151" s="1"/>
  <c r="R151" s="1"/>
  <c r="T151" s="1"/>
  <c r="U151" s="1"/>
  <c r="F127"/>
  <c r="P126"/>
  <c r="Q126" s="1"/>
  <c r="R126" s="1"/>
  <c r="T126" s="1"/>
  <c r="U126" s="1"/>
  <c r="P127" l="1"/>
  <c r="Q127" s="1"/>
  <c r="R127" s="1"/>
  <c r="T127" s="1"/>
  <c r="U127" s="1"/>
  <c r="F128"/>
  <c r="P152"/>
  <c r="Q152" s="1"/>
  <c r="R152" s="1"/>
  <c r="T152" s="1"/>
  <c r="U152" s="1"/>
  <c r="F153"/>
  <c r="F155" l="1"/>
  <c r="P153"/>
  <c r="Q153" s="1"/>
  <c r="R153" s="1"/>
  <c r="T153" s="1"/>
  <c r="U153" s="1"/>
  <c r="F130"/>
  <c r="P128"/>
  <c r="Q128" s="1"/>
  <c r="R128" s="1"/>
  <c r="T128" s="1"/>
  <c r="U128" s="1"/>
  <c r="P155" l="1"/>
  <c r="Q155" s="1"/>
  <c r="R155" s="1"/>
  <c r="T155" s="1"/>
  <c r="U155" s="1"/>
  <c r="F156"/>
  <c r="P130"/>
  <c r="Q130" s="1"/>
  <c r="R130" s="1"/>
  <c r="T130" s="1"/>
  <c r="U130" s="1"/>
  <c r="F131"/>
  <c r="F157" l="1"/>
  <c r="P156"/>
  <c r="Q156" s="1"/>
  <c r="R156" s="1"/>
  <c r="T156" s="1"/>
  <c r="U156" s="1"/>
  <c r="F132"/>
  <c r="P131"/>
  <c r="Q131" s="1"/>
  <c r="R131" s="1"/>
  <c r="T131" s="1"/>
  <c r="U131" s="1"/>
  <c r="P157" l="1"/>
  <c r="Q157" s="1"/>
  <c r="R157" s="1"/>
  <c r="T157" s="1"/>
  <c r="U157" s="1"/>
  <c r="F158"/>
  <c r="P158" s="1"/>
  <c r="Q158" s="1"/>
  <c r="R158" s="1"/>
  <c r="T158" s="1"/>
  <c r="U158" s="1"/>
  <c r="F133"/>
  <c r="P133" s="1"/>
  <c r="Q133" s="1"/>
  <c r="R133" s="1"/>
  <c r="T133" s="1"/>
  <c r="U133" s="1"/>
  <c r="P132"/>
  <c r="Q132" s="1"/>
  <c r="R132" s="1"/>
  <c r="T132" s="1"/>
  <c r="U132" s="1"/>
  <c r="E18" i="162"/>
  <c r="I22"/>
  <c r="I23"/>
  <c r="I25"/>
  <c r="I28"/>
  <c r="I31"/>
  <c r="H38"/>
  <c r="H39"/>
  <c r="H40"/>
  <c r="L40"/>
  <c r="H41"/>
  <c r="L41"/>
  <c r="H42"/>
  <c r="L42"/>
  <c r="H44"/>
  <c r="L44"/>
  <c r="H45"/>
  <c r="L45"/>
  <c r="H46"/>
  <c r="L46"/>
  <c r="C50"/>
  <c r="F50"/>
  <c r="C51"/>
  <c r="C52"/>
  <c r="F52"/>
  <c r="C64"/>
  <c r="F64"/>
  <c r="D68"/>
  <c r="C73"/>
  <c r="F73"/>
  <c r="C79"/>
  <c r="C82"/>
</calcChain>
</file>

<file path=xl/comments1.xml><?xml version="1.0" encoding="utf-8"?>
<comments xmlns="http://schemas.openxmlformats.org/spreadsheetml/2006/main">
  <authors>
    <author>Author</author>
  </authors>
  <commentList>
    <comment ref="I79" authorId="0">
      <text>
        <r>
          <rPr>
            <b/>
            <sz val="9"/>
            <color indexed="81"/>
            <rFont val="Tahoma"/>
            <family val="2"/>
          </rPr>
          <t>Author:</t>
        </r>
        <r>
          <rPr>
            <sz val="9"/>
            <color indexed="81"/>
            <rFont val="Tahoma"/>
            <family val="2"/>
          </rPr>
          <t xml:space="preserve">
kc=0.4 for bending member</t>
        </r>
      </text>
    </comment>
    <comment ref="I108" authorId="0">
      <text>
        <r>
          <rPr>
            <b/>
            <sz val="9"/>
            <color indexed="81"/>
            <rFont val="Tahoma"/>
            <family val="2"/>
          </rPr>
          <t>Author:</t>
        </r>
        <r>
          <rPr>
            <sz val="9"/>
            <color indexed="81"/>
            <rFont val="Tahoma"/>
            <family val="2"/>
          </rPr>
          <t xml:space="preserve">
Stress in tension Reinforcement assuming cracked section,
for Quasi Permanent Load combination
</t>
        </r>
      </text>
    </comment>
  </commentList>
</comments>
</file>

<file path=xl/sharedStrings.xml><?xml version="1.0" encoding="utf-8"?>
<sst xmlns="http://schemas.openxmlformats.org/spreadsheetml/2006/main" count="17303" uniqueCount="1955">
  <si>
    <t>SALIENT FEATURES OF THE BRIDGE :</t>
  </si>
  <si>
    <t>=</t>
  </si>
  <si>
    <t>m</t>
  </si>
  <si>
    <t>c/L of brg. c/L of exp. J</t>
  </si>
  <si>
    <t>Exp. Gap</t>
  </si>
  <si>
    <t>mm</t>
  </si>
  <si>
    <t>Overall span</t>
  </si>
  <si>
    <t>Overall carriageway width</t>
  </si>
  <si>
    <t>Depth of super-structure</t>
  </si>
  <si>
    <t>Wearing Coat thickness</t>
  </si>
  <si>
    <t>Clear carriageway width</t>
  </si>
  <si>
    <t>Span c/c of brg.</t>
  </si>
  <si>
    <t>Cross Camber</t>
  </si>
  <si>
    <t>LEVEL DETAILS :</t>
  </si>
  <si>
    <t>Formation level</t>
  </si>
  <si>
    <t>Nos. of Girder</t>
  </si>
  <si>
    <t>Nos.</t>
  </si>
  <si>
    <t>thick WC</t>
  </si>
  <si>
    <t>Cap Top  :</t>
  </si>
  <si>
    <t>Grade of Concrete</t>
  </si>
  <si>
    <t>Grade of Reinforcement</t>
  </si>
  <si>
    <r>
      <t>t/m</t>
    </r>
    <r>
      <rPr>
        <vertAlign val="superscript"/>
        <sz val="11"/>
        <color theme="1"/>
        <rFont val="Garamond"/>
        <family val="1"/>
      </rPr>
      <t>3</t>
    </r>
  </si>
  <si>
    <t>RCC Density</t>
  </si>
  <si>
    <t>V</t>
  </si>
  <si>
    <t>W</t>
  </si>
  <si>
    <t>B</t>
  </si>
  <si>
    <t>L</t>
  </si>
  <si>
    <t>H</t>
  </si>
  <si>
    <t>Area Factor</t>
  </si>
  <si>
    <t>ey</t>
  </si>
  <si>
    <t>x</t>
  </si>
  <si>
    <t>Element</t>
  </si>
  <si>
    <t>Total</t>
  </si>
  <si>
    <r>
      <t>m</t>
    </r>
    <r>
      <rPr>
        <vertAlign val="superscript"/>
        <sz val="11"/>
        <color theme="1"/>
        <rFont val="Garamond"/>
        <family val="1"/>
      </rPr>
      <t>3</t>
    </r>
  </si>
  <si>
    <t>Tonne</t>
  </si>
  <si>
    <t>Abutment Shaft</t>
  </si>
  <si>
    <t>*/ Increase Abutment cap weight by</t>
  </si>
  <si>
    <t>on account of bearing, bearing pedestal, stopper etc.</t>
  </si>
  <si>
    <t>Calculating Selfweight of Sub-structure :</t>
  </si>
  <si>
    <t>Sub-structure</t>
  </si>
  <si>
    <t>Total Footing weight</t>
  </si>
  <si>
    <t>No.s</t>
  </si>
  <si>
    <t>DEAD LOAD CALCULATION OF SUPER-STRUCTURE :</t>
  </si>
  <si>
    <t>Overall Span</t>
  </si>
  <si>
    <t>C/c of Bearing</t>
  </si>
  <si>
    <t>Total Deck Width</t>
  </si>
  <si>
    <t>Depth of girder</t>
  </si>
  <si>
    <t>c/c of Girders</t>
  </si>
  <si>
    <t>T/m</t>
  </si>
  <si>
    <t>Density of RCC</t>
  </si>
  <si>
    <t>Cg. From Deck Top</t>
  </si>
  <si>
    <t>T</t>
  </si>
  <si>
    <t>Weigth of Concrete Deck</t>
  </si>
  <si>
    <t>Total Concrete Weight</t>
  </si>
  <si>
    <t>+</t>
  </si>
  <si>
    <t>Total depth of super-structure</t>
  </si>
  <si>
    <t>Direct Input</t>
  </si>
  <si>
    <t>Calculated in the particular sheet</t>
  </si>
  <si>
    <t>Direct input from allready calculated in any previous sheet</t>
  </si>
  <si>
    <t>calculated from parameters calculated in any previous sheet</t>
  </si>
  <si>
    <t>f</t>
  </si>
  <si>
    <t>d</t>
  </si>
  <si>
    <t>a</t>
  </si>
  <si>
    <r>
      <t>t/m</t>
    </r>
    <r>
      <rPr>
        <vertAlign val="superscript"/>
        <sz val="11"/>
        <rFont val="Garamond"/>
        <family val="1"/>
      </rPr>
      <t>3</t>
    </r>
  </si>
  <si>
    <t>Depth of Bearing + Pedestal (minimum)</t>
  </si>
  <si>
    <t>Radians</t>
  </si>
  <si>
    <t>Dry density of earth</t>
  </si>
  <si>
    <r>
      <t>t/m</t>
    </r>
    <r>
      <rPr>
        <vertAlign val="superscript"/>
        <sz val="11"/>
        <color theme="1"/>
        <rFont val="Garamond"/>
        <family val="1"/>
      </rPr>
      <t>2</t>
    </r>
  </si>
  <si>
    <t>q</t>
  </si>
  <si>
    <t>Factor</t>
  </si>
  <si>
    <t>F</t>
  </si>
  <si>
    <r>
      <t>T/m</t>
    </r>
    <r>
      <rPr>
        <vertAlign val="superscript"/>
        <sz val="11"/>
        <color theme="1"/>
        <rFont val="Garamond"/>
        <family val="1"/>
      </rPr>
      <t>2</t>
    </r>
  </si>
  <si>
    <t>Forces about toe</t>
  </si>
  <si>
    <t>S.N.</t>
  </si>
  <si>
    <t>Description</t>
  </si>
  <si>
    <t>Sub-structure &amp; Foundation</t>
  </si>
  <si>
    <t>Total Weight of sub-structure &amp; foundation</t>
  </si>
  <si>
    <t>Tm</t>
  </si>
  <si>
    <t>Earth Fill Weight</t>
  </si>
  <si>
    <t>Total Earth Fill</t>
  </si>
  <si>
    <r>
      <t>M</t>
    </r>
    <r>
      <rPr>
        <vertAlign val="subscript"/>
        <sz val="11"/>
        <color theme="1"/>
        <rFont val="Garamond"/>
        <family val="1"/>
      </rPr>
      <t>TT</t>
    </r>
  </si>
  <si>
    <r>
      <t>M</t>
    </r>
    <r>
      <rPr>
        <vertAlign val="subscript"/>
        <sz val="11"/>
        <color theme="1"/>
        <rFont val="Garamond"/>
        <family val="1"/>
      </rPr>
      <t>LL</t>
    </r>
  </si>
  <si>
    <r>
      <t>e</t>
    </r>
    <r>
      <rPr>
        <vertAlign val="subscript"/>
        <sz val="11"/>
        <color theme="1"/>
        <rFont val="Garamond"/>
        <family val="1"/>
      </rPr>
      <t>L</t>
    </r>
  </si>
  <si>
    <r>
      <t>e</t>
    </r>
    <r>
      <rPr>
        <vertAlign val="subscript"/>
        <sz val="11"/>
        <color theme="1"/>
        <rFont val="Garamond"/>
        <family val="1"/>
      </rPr>
      <t>Y</t>
    </r>
  </si>
  <si>
    <r>
      <t>e</t>
    </r>
    <r>
      <rPr>
        <vertAlign val="subscript"/>
        <sz val="11"/>
        <color theme="1"/>
        <rFont val="Garamond"/>
        <family val="1"/>
      </rPr>
      <t>T</t>
    </r>
  </si>
  <si>
    <r>
      <t>Moment  M</t>
    </r>
    <r>
      <rPr>
        <b/>
        <vertAlign val="subscript"/>
        <sz val="11"/>
        <color theme="1"/>
        <rFont val="Garamond"/>
        <family val="1"/>
      </rPr>
      <t>TT</t>
    </r>
  </si>
  <si>
    <r>
      <t>Moment  M</t>
    </r>
    <r>
      <rPr>
        <b/>
        <vertAlign val="subscript"/>
        <sz val="11"/>
        <color theme="1"/>
        <rFont val="Garamond"/>
        <family val="1"/>
      </rPr>
      <t>LL</t>
    </r>
  </si>
  <si>
    <r>
      <t>H</t>
    </r>
    <r>
      <rPr>
        <vertAlign val="subscript"/>
        <sz val="11"/>
        <color theme="1"/>
        <rFont val="Garamond"/>
        <family val="1"/>
      </rPr>
      <t>L</t>
    </r>
  </si>
  <si>
    <t>1)</t>
  </si>
  <si>
    <t>Vertical Load (Sup DL Reaction)</t>
  </si>
  <si>
    <t>2)</t>
  </si>
  <si>
    <t>Surfacing</t>
  </si>
  <si>
    <t>Calculation of SIDL</t>
  </si>
  <si>
    <t>Crash barrier weight</t>
  </si>
  <si>
    <t>t/m</t>
  </si>
  <si>
    <t>wt/m</t>
  </si>
  <si>
    <t>Wearing coat</t>
  </si>
  <si>
    <t>5)</t>
  </si>
  <si>
    <t>Calculation of Longitudinal Forces</t>
  </si>
  <si>
    <t>i)</t>
  </si>
  <si>
    <r>
      <t xml:space="preserve">Fh  -  </t>
    </r>
    <r>
      <rPr>
        <sz val="11"/>
        <rFont val="Symbol"/>
        <family val="1"/>
        <charset val="2"/>
      </rPr>
      <t xml:space="preserve"> m</t>
    </r>
    <r>
      <rPr>
        <sz val="11"/>
        <rFont val="Garamond"/>
        <family val="1"/>
      </rPr>
      <t xml:space="preserve"> (Rg +Rq)</t>
    </r>
  </si>
  <si>
    <t>Maximum of</t>
  </si>
  <si>
    <t>ii)</t>
  </si>
  <si>
    <r>
      <t xml:space="preserve">Fh / 2   +   </t>
    </r>
    <r>
      <rPr>
        <sz val="11"/>
        <rFont val="Symbol"/>
        <family val="1"/>
        <charset val="2"/>
      </rPr>
      <t>m</t>
    </r>
    <r>
      <rPr>
        <sz val="11"/>
        <rFont val="Garamond"/>
        <family val="1"/>
      </rPr>
      <t xml:space="preserve"> (Rg + Rq)</t>
    </r>
  </si>
  <si>
    <t>Where</t>
  </si>
  <si>
    <t>Fh</t>
  </si>
  <si>
    <t>Applied Horizontal force</t>
  </si>
  <si>
    <t>Rg</t>
  </si>
  <si>
    <t>Reaction at free end due to dead load and SIDL</t>
  </si>
  <si>
    <t>Rq</t>
  </si>
  <si>
    <t>Reaction at free end due to live load load</t>
  </si>
  <si>
    <t>Coefficent of Friction at movable bearing  =</t>
  </si>
  <si>
    <t>or</t>
  </si>
  <si>
    <t>which ever govern</t>
  </si>
  <si>
    <t>tonne</t>
  </si>
  <si>
    <t>-</t>
  </si>
  <si>
    <t>)</t>
  </si>
  <si>
    <t>,</t>
  </si>
  <si>
    <r>
      <t xml:space="preserve">Horizontal force at bearing level in the longitudinal direction at </t>
    </r>
    <r>
      <rPr>
        <b/>
        <sz val="11"/>
        <rFont val="Garamond"/>
        <family val="1"/>
      </rPr>
      <t>fixed bearing</t>
    </r>
    <r>
      <rPr>
        <sz val="11"/>
        <rFont val="Garamond"/>
        <family val="1"/>
      </rPr>
      <t xml:space="preserve"> (other than elastomeric bearing)</t>
    </r>
  </si>
  <si>
    <t>Refer Clause 211.5 IRC: 6-2010</t>
  </si>
  <si>
    <t>DL</t>
  </si>
  <si>
    <t>SIDL</t>
  </si>
  <si>
    <t>LC-1</t>
  </si>
  <si>
    <t>LC-2</t>
  </si>
  <si>
    <t>Max Reaction</t>
  </si>
  <si>
    <t>Check</t>
  </si>
  <si>
    <t>LC-3</t>
  </si>
  <si>
    <t xml:space="preserve">Seismic Zone </t>
  </si>
  <si>
    <t>Type of soil</t>
  </si>
  <si>
    <t>Zone factor</t>
  </si>
  <si>
    <t>Z</t>
  </si>
  <si>
    <t>Importance factor</t>
  </si>
  <si>
    <t>I</t>
  </si>
  <si>
    <t>D</t>
  </si>
  <si>
    <t>t</t>
  </si>
  <si>
    <t>Zone</t>
  </si>
  <si>
    <t>II</t>
  </si>
  <si>
    <t>III</t>
  </si>
  <si>
    <t>IV</t>
  </si>
  <si>
    <t>6 E I</t>
  </si>
  <si>
    <t>for 1 mm deflection at x</t>
  </si>
  <si>
    <r>
      <t>x</t>
    </r>
    <r>
      <rPr>
        <vertAlign val="superscript"/>
        <sz val="11"/>
        <rFont val="Garamond"/>
        <family val="1"/>
      </rPr>
      <t>2</t>
    </r>
    <r>
      <rPr>
        <sz val="11"/>
        <rFont val="Garamond"/>
        <family val="1"/>
      </rPr>
      <t>*(3L-x)</t>
    </r>
  </si>
  <si>
    <t>E</t>
  </si>
  <si>
    <t xml:space="preserve">   D  </t>
  </si>
  <si>
    <t>MPa</t>
  </si>
  <si>
    <t>Approximate DL of super-structure &amp; LL in Tonne (DL+20% LL)</t>
  </si>
  <si>
    <t>Horizontal force in Tonne required to be applied at center of mass of   super-structure for 1 mm deflection at the top of pier / abutment along the considered direction of horizontal force.</t>
  </si>
  <si>
    <r>
      <t>m</t>
    </r>
    <r>
      <rPr>
        <vertAlign val="superscript"/>
        <sz val="11"/>
        <rFont val="Garamond"/>
        <family val="1"/>
      </rPr>
      <t>4</t>
    </r>
  </si>
  <si>
    <r>
      <t>Force required in Long. Dir.F</t>
    </r>
    <r>
      <rPr>
        <vertAlign val="subscript"/>
        <sz val="11"/>
        <rFont val="Garamond"/>
        <family val="1"/>
      </rPr>
      <t>L</t>
    </r>
  </si>
  <si>
    <t>Time Period -Longitudinal Seismic Case</t>
  </si>
  <si>
    <t>Time Period -Transverse Seismic Case</t>
  </si>
  <si>
    <t>Sa/g -Longitudinal Seismic Case</t>
  </si>
  <si>
    <t>Sa/g -Transverse Seismic Case</t>
  </si>
  <si>
    <t>Sa/g -Vertical Seismic Case</t>
  </si>
  <si>
    <r>
      <t>Response Reduction Factor, R</t>
    </r>
    <r>
      <rPr>
        <vertAlign val="subscript"/>
        <sz val="11"/>
        <rFont val="Garamond"/>
        <family val="1"/>
      </rPr>
      <t>long.</t>
    </r>
  </si>
  <si>
    <r>
      <t>Response Reduction Factor, R</t>
    </r>
    <r>
      <rPr>
        <vertAlign val="subscript"/>
        <sz val="11"/>
        <rFont val="Garamond"/>
        <family val="1"/>
      </rPr>
      <t>trans.</t>
    </r>
  </si>
  <si>
    <r>
      <t>Response Reduction Factor, Rvert</t>
    </r>
    <r>
      <rPr>
        <vertAlign val="subscript"/>
        <sz val="11"/>
        <rFont val="Garamond"/>
        <family val="1"/>
      </rPr>
      <t>.</t>
    </r>
  </si>
  <si>
    <t>1000 F</t>
  </si>
  <si>
    <t>medium</t>
  </si>
  <si>
    <t>Time Period Calculation</t>
  </si>
  <si>
    <t>l</t>
  </si>
  <si>
    <t>For</t>
  </si>
  <si>
    <r>
      <t>Horizontal seismic coeff. -Long., A</t>
    </r>
    <r>
      <rPr>
        <vertAlign val="subscript"/>
        <sz val="11"/>
        <rFont val="Garamond"/>
        <family val="1"/>
      </rPr>
      <t>hL'</t>
    </r>
    <r>
      <rPr>
        <sz val="11"/>
        <rFont val="Garamond"/>
        <family val="1"/>
      </rPr>
      <t xml:space="preserve"> = (Z/2)*(I)*(Sa/g)</t>
    </r>
    <r>
      <rPr>
        <vertAlign val="subscript"/>
        <sz val="11"/>
        <rFont val="Garamond"/>
        <family val="1"/>
      </rPr>
      <t>(Long.)</t>
    </r>
  </si>
  <si>
    <r>
      <t>Horizontal seismic coeff. -Trans., A</t>
    </r>
    <r>
      <rPr>
        <vertAlign val="subscript"/>
        <sz val="11"/>
        <rFont val="Garamond"/>
        <family val="1"/>
      </rPr>
      <t>hT'</t>
    </r>
    <r>
      <rPr>
        <sz val="11"/>
        <rFont val="Garamond"/>
        <family val="1"/>
      </rPr>
      <t xml:space="preserve"> = (Z/2)*(I)*(Sa/g)</t>
    </r>
    <r>
      <rPr>
        <vertAlign val="subscript"/>
        <sz val="11"/>
        <rFont val="Garamond"/>
        <family val="1"/>
      </rPr>
      <t>(Trans.)</t>
    </r>
  </si>
  <si>
    <r>
      <t>Vertical seismic coeff.  Av' =2/3 A</t>
    </r>
    <r>
      <rPr>
        <vertAlign val="subscript"/>
        <sz val="11"/>
        <rFont val="Garamond"/>
        <family val="1"/>
      </rPr>
      <t>h</t>
    </r>
  </si>
  <si>
    <r>
      <t>Design Horizontal Longitudinal seismic coeff., A</t>
    </r>
    <r>
      <rPr>
        <vertAlign val="subscript"/>
        <sz val="11"/>
        <rFont val="Garamond"/>
        <family val="1"/>
      </rPr>
      <t>hL</t>
    </r>
    <r>
      <rPr>
        <sz val="11"/>
        <rFont val="Garamond"/>
        <family val="1"/>
      </rPr>
      <t xml:space="preserve"> = A</t>
    </r>
    <r>
      <rPr>
        <vertAlign val="subscript"/>
        <sz val="11"/>
        <rFont val="Garamond"/>
        <family val="1"/>
      </rPr>
      <t>h</t>
    </r>
    <r>
      <rPr>
        <sz val="11"/>
        <rFont val="Garamond"/>
        <family val="1"/>
      </rPr>
      <t>'/R</t>
    </r>
    <r>
      <rPr>
        <vertAlign val="subscript"/>
        <sz val="11"/>
        <rFont val="Garamond"/>
        <family val="1"/>
      </rPr>
      <t>(Long.)</t>
    </r>
  </si>
  <si>
    <r>
      <t>Design Horizontal Transverse seismic coeff., A</t>
    </r>
    <r>
      <rPr>
        <vertAlign val="subscript"/>
        <sz val="11"/>
        <rFont val="Garamond"/>
        <family val="1"/>
      </rPr>
      <t>hT</t>
    </r>
    <r>
      <rPr>
        <sz val="11"/>
        <rFont val="Garamond"/>
        <family val="1"/>
      </rPr>
      <t xml:space="preserve"> = A</t>
    </r>
    <r>
      <rPr>
        <vertAlign val="subscript"/>
        <sz val="11"/>
        <rFont val="Garamond"/>
        <family val="1"/>
      </rPr>
      <t>h</t>
    </r>
    <r>
      <rPr>
        <sz val="11"/>
        <rFont val="Garamond"/>
        <family val="1"/>
      </rPr>
      <t>'/R</t>
    </r>
    <r>
      <rPr>
        <vertAlign val="subscript"/>
        <sz val="11"/>
        <rFont val="Garamond"/>
        <family val="1"/>
      </rPr>
      <t>(Trans.)</t>
    </r>
  </si>
  <si>
    <r>
      <t>Design Vertical Seismic Coefficient - A</t>
    </r>
    <r>
      <rPr>
        <vertAlign val="subscript"/>
        <sz val="11"/>
        <rFont val="Garamond"/>
        <family val="1"/>
      </rPr>
      <t>v</t>
    </r>
    <r>
      <rPr>
        <sz val="11"/>
        <rFont val="Garamond"/>
        <family val="1"/>
      </rPr>
      <t>= A</t>
    </r>
    <r>
      <rPr>
        <vertAlign val="subscript"/>
        <sz val="11"/>
        <rFont val="Garamond"/>
        <family val="1"/>
      </rPr>
      <t>v</t>
    </r>
    <r>
      <rPr>
        <sz val="11"/>
        <rFont val="Garamond"/>
        <family val="1"/>
      </rPr>
      <t>'/R(vert.)</t>
    </r>
  </si>
  <si>
    <t>deg</t>
  </si>
  <si>
    <t>h</t>
  </si>
  <si>
    <t>y</t>
  </si>
  <si>
    <t>A</t>
  </si>
  <si>
    <t>SEISMIC PARAMETER</t>
  </si>
  <si>
    <t>ex</t>
  </si>
  <si>
    <t>Horizontal seismic coefficent</t>
  </si>
  <si>
    <t>SEISMIC TRANSVERSE :</t>
  </si>
  <si>
    <t>SEISMIC LONGITUDINAL :</t>
  </si>
  <si>
    <t>SEISMIC COMPONENT OF SUPER-STRUCTURE DL &amp; SIDL :</t>
  </si>
  <si>
    <t>SEISMIC VERTICAL :</t>
  </si>
  <si>
    <r>
      <t>A</t>
    </r>
    <r>
      <rPr>
        <vertAlign val="subscript"/>
        <sz val="11"/>
        <rFont val="Garamond"/>
        <family val="1"/>
      </rPr>
      <t>v</t>
    </r>
  </si>
  <si>
    <t>Total Super-Structure DL</t>
  </si>
  <si>
    <t>Total Super-Structure SIDL</t>
  </si>
  <si>
    <t>Total Surfacing weight</t>
  </si>
  <si>
    <t>Longitudinal Horizontal seismic coefficent</t>
  </si>
  <si>
    <r>
      <t>A</t>
    </r>
    <r>
      <rPr>
        <vertAlign val="subscript"/>
        <sz val="11"/>
        <rFont val="Garamond"/>
        <family val="1"/>
      </rPr>
      <t>hL</t>
    </r>
  </si>
  <si>
    <t>Transverse Horizontal seismic coefficent</t>
  </si>
  <si>
    <r>
      <t>A</t>
    </r>
    <r>
      <rPr>
        <vertAlign val="subscript"/>
        <sz val="11"/>
        <rFont val="Garamond"/>
        <family val="1"/>
      </rPr>
      <t>hT</t>
    </r>
  </si>
  <si>
    <t>Vertical seismic coefficent</t>
  </si>
  <si>
    <r>
      <t>A</t>
    </r>
    <r>
      <rPr>
        <vertAlign val="subscript"/>
        <sz val="11"/>
        <rFont val="Garamond"/>
        <family val="1"/>
      </rPr>
      <t>V</t>
    </r>
  </si>
  <si>
    <t>Lever arm above base slab</t>
  </si>
  <si>
    <t>Weight of super-structure</t>
  </si>
  <si>
    <t>Cg. above base slab in vertical direction</t>
  </si>
  <si>
    <t>Longitudinal seismic coefficent</t>
  </si>
  <si>
    <t>Total weight of sup DL, SIDL &amp; surfacing</t>
  </si>
  <si>
    <t>Seismic Component</t>
  </si>
  <si>
    <r>
      <t>Moment about LL axis M</t>
    </r>
    <r>
      <rPr>
        <vertAlign val="subscript"/>
        <sz val="11"/>
        <rFont val="Garamond"/>
        <family val="1"/>
      </rPr>
      <t>LL</t>
    </r>
  </si>
  <si>
    <r>
      <t>Moment about T-T axis M</t>
    </r>
    <r>
      <rPr>
        <vertAlign val="subscript"/>
        <sz val="11"/>
        <rFont val="Garamond"/>
        <family val="1"/>
      </rPr>
      <t>TT</t>
    </r>
  </si>
  <si>
    <t>At Fixed End</t>
  </si>
  <si>
    <r>
      <t>M</t>
    </r>
    <r>
      <rPr>
        <vertAlign val="subscript"/>
        <sz val="11"/>
        <rFont val="Garamond"/>
        <family val="1"/>
      </rPr>
      <t>LL</t>
    </r>
  </si>
  <si>
    <r>
      <t>M</t>
    </r>
    <r>
      <rPr>
        <vertAlign val="subscript"/>
        <sz val="11"/>
        <rFont val="Garamond"/>
        <family val="1"/>
      </rPr>
      <t>TT</t>
    </r>
  </si>
  <si>
    <t>Seismic Longitudinal</t>
  </si>
  <si>
    <r>
      <t>H</t>
    </r>
    <r>
      <rPr>
        <vertAlign val="subscript"/>
        <sz val="11"/>
        <rFont val="Garamond"/>
        <family val="1"/>
      </rPr>
      <t>L</t>
    </r>
  </si>
  <si>
    <r>
      <t>H</t>
    </r>
    <r>
      <rPr>
        <vertAlign val="subscript"/>
        <sz val="11"/>
        <rFont val="Garamond"/>
        <family val="1"/>
      </rPr>
      <t>T</t>
    </r>
  </si>
  <si>
    <t>Seismic Transverse</t>
  </si>
  <si>
    <t>Seismic Vertical</t>
  </si>
  <si>
    <t>Live Load Reaction</t>
  </si>
  <si>
    <t>No Live Load seismic component is considered in longitudinal direction</t>
  </si>
  <si>
    <t>Max Live Load Reaction Case :</t>
  </si>
  <si>
    <t>Maximum Live Load reaction</t>
  </si>
  <si>
    <t>At Fixed/ Free End</t>
  </si>
  <si>
    <t>Total weight of Sub-structure</t>
  </si>
  <si>
    <t>Sub-structure Component</t>
  </si>
  <si>
    <r>
      <t>H</t>
    </r>
    <r>
      <rPr>
        <vertAlign val="subscript"/>
        <sz val="11"/>
        <color theme="1"/>
        <rFont val="Garamond"/>
        <family val="1"/>
      </rPr>
      <t>T</t>
    </r>
  </si>
  <si>
    <t>SUMMERY OF FORCES :</t>
  </si>
  <si>
    <t>LC-4</t>
  </si>
  <si>
    <t>LC-5</t>
  </si>
  <si>
    <t>LC-6</t>
  </si>
  <si>
    <t>11)</t>
  </si>
  <si>
    <t>GENERATION OF LOAD COMBINATION :</t>
  </si>
  <si>
    <t>z</t>
  </si>
  <si>
    <t>LC_N</t>
  </si>
  <si>
    <t xml:space="preserve"> LOAD COMBINATION </t>
  </si>
  <si>
    <t>LC-7</t>
  </si>
  <si>
    <t>LC-8</t>
  </si>
  <si>
    <t>LC-9</t>
  </si>
  <si>
    <t>LC-10</t>
  </si>
  <si>
    <r>
      <t>m</t>
    </r>
    <r>
      <rPr>
        <vertAlign val="superscript"/>
        <sz val="11"/>
        <rFont val="Garamond"/>
        <family val="1"/>
      </rPr>
      <t>2</t>
    </r>
  </si>
  <si>
    <t>C</t>
  </si>
  <si>
    <t>LOAD COMBINATION DEFINATION :</t>
  </si>
  <si>
    <t>Seismic Case</t>
  </si>
  <si>
    <t>LC-11</t>
  </si>
  <si>
    <t>Row End    =</t>
  </si>
  <si>
    <t>Row Start    =</t>
  </si>
  <si>
    <t>OK/REVISE</t>
  </si>
  <si>
    <r>
      <t>H</t>
    </r>
    <r>
      <rPr>
        <b/>
        <vertAlign val="subscript"/>
        <sz val="11"/>
        <color theme="1"/>
        <rFont val="Garamond"/>
        <family val="1"/>
      </rPr>
      <t>L</t>
    </r>
  </si>
  <si>
    <r>
      <t>H</t>
    </r>
    <r>
      <rPr>
        <b/>
        <vertAlign val="subscript"/>
        <sz val="11"/>
        <color theme="1"/>
        <rFont val="Garamond"/>
        <family val="1"/>
      </rPr>
      <t>T</t>
    </r>
  </si>
  <si>
    <r>
      <t>M</t>
    </r>
    <r>
      <rPr>
        <b/>
        <vertAlign val="subscript"/>
        <sz val="11"/>
        <color theme="1"/>
        <rFont val="Garamond"/>
        <family val="1"/>
      </rPr>
      <t>TT</t>
    </r>
  </si>
  <si>
    <r>
      <t>M</t>
    </r>
    <r>
      <rPr>
        <b/>
        <vertAlign val="subscript"/>
        <sz val="11"/>
        <color theme="1"/>
        <rFont val="Garamond"/>
        <family val="1"/>
      </rPr>
      <t>LL</t>
    </r>
  </si>
  <si>
    <t>LC-12</t>
  </si>
  <si>
    <t>LC-13</t>
  </si>
  <si>
    <t>LC-14</t>
  </si>
  <si>
    <t>LC-15</t>
  </si>
  <si>
    <t>LC-16</t>
  </si>
  <si>
    <t>LC-17</t>
  </si>
  <si>
    <t>LC-18</t>
  </si>
  <si>
    <t>LC-23</t>
  </si>
  <si>
    <t>Sub-structure Vertical load</t>
  </si>
  <si>
    <t>Sub-Structure</t>
  </si>
  <si>
    <t>Summery of Sub-structure seismic component :</t>
  </si>
  <si>
    <t>Earth fill</t>
  </si>
  <si>
    <t>3)</t>
  </si>
  <si>
    <t>4)</t>
  </si>
  <si>
    <t>Combination -1</t>
  </si>
  <si>
    <t>Combination -2</t>
  </si>
  <si>
    <t>B1</t>
  </si>
  <si>
    <t>DESIGN OF FOUNDATION  :</t>
  </si>
  <si>
    <t>c/c</t>
  </si>
  <si>
    <t>Design Bending Moment</t>
  </si>
  <si>
    <t>Clear Cover</t>
  </si>
  <si>
    <t>Ast Provided</t>
  </si>
  <si>
    <r>
      <rPr>
        <sz val="11"/>
        <color theme="1"/>
        <rFont val="Symbol"/>
        <family val="1"/>
        <charset val="2"/>
      </rPr>
      <t>f</t>
    </r>
    <r>
      <rPr>
        <sz val="11"/>
        <color theme="1"/>
        <rFont val="Garamond"/>
        <family val="1"/>
      </rPr>
      <t xml:space="preserve">   @</t>
    </r>
  </si>
  <si>
    <t>Element No.</t>
  </si>
  <si>
    <r>
      <t>cg</t>
    </r>
    <r>
      <rPr>
        <b/>
        <vertAlign val="subscript"/>
        <sz val="11"/>
        <color theme="1"/>
        <rFont val="Garamond"/>
        <family val="1"/>
      </rPr>
      <t>y'</t>
    </r>
  </si>
  <si>
    <r>
      <t>m</t>
    </r>
    <r>
      <rPr>
        <b/>
        <vertAlign val="superscript"/>
        <sz val="11"/>
        <color theme="1"/>
        <rFont val="Garamond"/>
        <family val="1"/>
      </rPr>
      <t>2</t>
    </r>
  </si>
  <si>
    <t>Weight</t>
  </si>
  <si>
    <t>Calculating weight of superstruture</t>
  </si>
  <si>
    <t>Section at Mid span</t>
  </si>
  <si>
    <t>Section at support</t>
  </si>
  <si>
    <t>c/L</t>
  </si>
  <si>
    <t>Nos of Girder =</t>
  </si>
  <si>
    <t>Super-structure Cross-section</t>
  </si>
  <si>
    <t>Girder Cross-Section :</t>
  </si>
  <si>
    <t>Self weight of Precast Beam</t>
  </si>
  <si>
    <t>Weight of Support Section</t>
  </si>
  <si>
    <t>Length</t>
  </si>
  <si>
    <t>weight</t>
  </si>
  <si>
    <t>cg. From top</t>
  </si>
  <si>
    <t>Weight of Transition section</t>
  </si>
  <si>
    <t>Weight of mid span</t>
  </si>
  <si>
    <t>Total Reaction</t>
  </si>
  <si>
    <t>Section Property of Girder At Mid Span</t>
  </si>
  <si>
    <t>Section Property of Girder At Support Section</t>
  </si>
  <si>
    <t>Reaction due to self weight of each girder</t>
  </si>
  <si>
    <t>Total weight of one Girder</t>
  </si>
  <si>
    <t>Total Nos. of girder</t>
  </si>
  <si>
    <t>Total weight of all girders</t>
  </si>
  <si>
    <t>deff</t>
  </si>
  <si>
    <t>Grade of steel</t>
  </si>
  <si>
    <t>*/ deff at face of support</t>
  </si>
  <si>
    <t>d'</t>
  </si>
  <si>
    <t>*/ overall depth at face of support</t>
  </si>
  <si>
    <t>CHECKS FOR ULS</t>
  </si>
  <si>
    <t>REINFORCEMENT PROPERTIES :</t>
  </si>
  <si>
    <t>Mpa</t>
  </si>
  <si>
    <t>Es</t>
  </si>
  <si>
    <t>fyk</t>
  </si>
  <si>
    <t>Modulus of Elasticity</t>
  </si>
  <si>
    <t>fyd  =</t>
  </si>
  <si>
    <t>Characteristics yield strength of reinforcement</t>
  </si>
  <si>
    <t>ft</t>
  </si>
  <si>
    <t>Tensile strength of steel</t>
  </si>
  <si>
    <t>Stress</t>
  </si>
  <si>
    <r>
      <rPr>
        <sz val="11"/>
        <color theme="1"/>
        <rFont val="Symbol"/>
        <family val="1"/>
        <charset val="2"/>
      </rPr>
      <t>g</t>
    </r>
    <r>
      <rPr>
        <sz val="11"/>
        <color theme="1"/>
        <rFont val="Garamond"/>
        <family val="1"/>
      </rPr>
      <t>s</t>
    </r>
  </si>
  <si>
    <t>Partial factor for reinforcing steel</t>
  </si>
  <si>
    <t>fyd</t>
  </si>
  <si>
    <t>Design yield strength of reinforcement</t>
  </si>
  <si>
    <r>
      <rPr>
        <sz val="11"/>
        <color theme="1"/>
        <rFont val="Symbol"/>
        <family val="1"/>
        <charset val="2"/>
      </rPr>
      <t>e</t>
    </r>
    <r>
      <rPr>
        <vertAlign val="subscript"/>
        <sz val="11"/>
        <color theme="1"/>
        <rFont val="Garamond"/>
        <family val="1"/>
      </rPr>
      <t>yk</t>
    </r>
  </si>
  <si>
    <t>Characteristic yield strain of reinforcement steel</t>
  </si>
  <si>
    <r>
      <t xml:space="preserve">fyk / </t>
    </r>
    <r>
      <rPr>
        <sz val="11"/>
        <color theme="1"/>
        <rFont val="Symbol"/>
        <family val="1"/>
        <charset val="2"/>
      </rPr>
      <t>g</t>
    </r>
    <r>
      <rPr>
        <sz val="11"/>
        <color theme="1"/>
        <rFont val="Garamond"/>
        <family val="1"/>
      </rPr>
      <t>s</t>
    </r>
  </si>
  <si>
    <r>
      <rPr>
        <sz val="11"/>
        <color theme="1"/>
        <rFont val="Symbol"/>
        <family val="1"/>
        <charset val="2"/>
      </rPr>
      <t>e</t>
    </r>
    <r>
      <rPr>
        <vertAlign val="subscript"/>
        <sz val="11"/>
        <color theme="1"/>
        <rFont val="Garamond"/>
        <family val="1"/>
      </rPr>
      <t>yd</t>
    </r>
  </si>
  <si>
    <t>Design yield strain of reinforcement steel</t>
  </si>
  <si>
    <r>
      <rPr>
        <sz val="11"/>
        <color theme="1"/>
        <rFont val="Symbol"/>
        <family val="1"/>
        <charset val="2"/>
      </rPr>
      <t>e</t>
    </r>
    <r>
      <rPr>
        <vertAlign val="subscript"/>
        <sz val="11"/>
        <color theme="1"/>
        <rFont val="Garamond"/>
        <family val="1"/>
      </rPr>
      <t>uk</t>
    </r>
  </si>
  <si>
    <t>Characteristic strain of reinforcement steel at maximum load</t>
  </si>
  <si>
    <r>
      <rPr>
        <sz val="11"/>
        <color theme="1"/>
        <rFont val="Symbol"/>
        <family val="1"/>
        <charset val="2"/>
      </rPr>
      <t>e</t>
    </r>
    <r>
      <rPr>
        <vertAlign val="subscript"/>
        <sz val="11"/>
        <color theme="1"/>
        <rFont val="Garamond"/>
        <family val="1"/>
      </rPr>
      <t>ud</t>
    </r>
  </si>
  <si>
    <t>design strain of reinforcement steel at maximum load</t>
  </si>
  <si>
    <t>fyk / Es</t>
  </si>
  <si>
    <r>
      <rPr>
        <sz val="11"/>
        <color theme="1"/>
        <rFont val="Symbol"/>
        <family val="1"/>
        <charset val="2"/>
      </rPr>
      <t>e</t>
    </r>
    <r>
      <rPr>
        <vertAlign val="subscript"/>
        <sz val="11"/>
        <color theme="1"/>
        <rFont val="Garamond"/>
        <family val="1"/>
      </rPr>
      <t>yd</t>
    </r>
    <r>
      <rPr>
        <sz val="11"/>
        <color theme="1"/>
        <rFont val="Garamond"/>
        <family val="1"/>
      </rPr>
      <t xml:space="preserve"> =</t>
    </r>
  </si>
  <si>
    <r>
      <rPr>
        <sz val="11"/>
        <color theme="1"/>
        <rFont val="Symbol"/>
        <family val="1"/>
        <charset val="2"/>
      </rPr>
      <t>e</t>
    </r>
    <r>
      <rPr>
        <vertAlign val="subscript"/>
        <sz val="11"/>
        <color theme="1"/>
        <rFont val="Garamond"/>
        <family val="1"/>
      </rPr>
      <t>ud</t>
    </r>
    <r>
      <rPr>
        <sz val="11"/>
        <color theme="1"/>
        <rFont val="Garamond"/>
        <family val="1"/>
      </rPr>
      <t xml:space="preserve"> =</t>
    </r>
  </si>
  <si>
    <t>Strain</t>
  </si>
  <si>
    <t>Design stress- strain diagram for Reinforcing Steel</t>
  </si>
  <si>
    <t>fyd / Es</t>
  </si>
  <si>
    <r>
      <t xml:space="preserve">0.9 * </t>
    </r>
    <r>
      <rPr>
        <sz val="11"/>
        <color theme="1"/>
        <rFont val="Symbol"/>
        <family val="1"/>
        <charset val="2"/>
      </rPr>
      <t>e</t>
    </r>
    <r>
      <rPr>
        <sz val="11"/>
        <color theme="1"/>
        <rFont val="Garamond"/>
        <family val="1"/>
      </rPr>
      <t>uk</t>
    </r>
  </si>
  <si>
    <t>fy</t>
  </si>
  <si>
    <r>
      <rPr>
        <sz val="11"/>
        <color theme="1"/>
        <rFont val="Symbol"/>
        <family val="1"/>
        <charset val="2"/>
      </rPr>
      <t>e</t>
    </r>
    <r>
      <rPr>
        <sz val="11"/>
        <color theme="1"/>
        <rFont val="Garamond"/>
        <family val="1"/>
      </rPr>
      <t>s*Es</t>
    </r>
  </si>
  <si>
    <r>
      <t xml:space="preserve">if  </t>
    </r>
    <r>
      <rPr>
        <sz val="11"/>
        <color theme="1"/>
        <rFont val="Symbol"/>
        <family val="1"/>
        <charset val="2"/>
      </rPr>
      <t>e</t>
    </r>
    <r>
      <rPr>
        <sz val="11"/>
        <color theme="1"/>
        <rFont val="Garamond"/>
        <family val="1"/>
      </rPr>
      <t xml:space="preserve">s &lt; </t>
    </r>
    <r>
      <rPr>
        <sz val="11"/>
        <color theme="1"/>
        <rFont val="Symbol"/>
        <family val="1"/>
        <charset val="2"/>
      </rPr>
      <t>e</t>
    </r>
    <r>
      <rPr>
        <sz val="11"/>
        <color theme="1"/>
        <rFont val="Garamond"/>
        <family val="1"/>
      </rPr>
      <t>yd</t>
    </r>
  </si>
  <si>
    <r>
      <t xml:space="preserve">if  </t>
    </r>
    <r>
      <rPr>
        <sz val="11"/>
        <color theme="1"/>
        <rFont val="Symbol"/>
        <family val="1"/>
        <charset val="2"/>
      </rPr>
      <t>e</t>
    </r>
    <r>
      <rPr>
        <sz val="11"/>
        <color theme="1"/>
        <rFont val="Garamond"/>
        <family val="1"/>
      </rPr>
      <t xml:space="preserve">s &gt;= </t>
    </r>
    <r>
      <rPr>
        <sz val="11"/>
        <color theme="1"/>
        <rFont val="Symbol"/>
        <family val="1"/>
        <charset val="2"/>
      </rPr>
      <t>e</t>
    </r>
    <r>
      <rPr>
        <sz val="11"/>
        <color theme="1"/>
        <rFont val="Garamond"/>
        <family val="1"/>
      </rPr>
      <t>yd</t>
    </r>
  </si>
  <si>
    <t>PROPERTY OF CONCRETE (PRECAST BEAM):</t>
  </si>
  <si>
    <t>Concrete Grade</t>
  </si>
  <si>
    <t>fcd =</t>
  </si>
  <si>
    <t>fck</t>
  </si>
  <si>
    <t>Characteristic compressive cube strength of concrete at 28 days</t>
  </si>
  <si>
    <t>fcd</t>
  </si>
  <si>
    <r>
      <rPr>
        <sz val="11"/>
        <color theme="1"/>
        <rFont val="Symbol"/>
        <family val="1"/>
        <charset val="2"/>
      </rPr>
      <t>a</t>
    </r>
    <r>
      <rPr>
        <sz val="11"/>
        <color theme="1"/>
        <rFont val="Garamond"/>
        <family val="1"/>
      </rPr>
      <t>fck /</t>
    </r>
    <r>
      <rPr>
        <sz val="11"/>
        <color theme="1"/>
        <rFont val="Symbol"/>
        <family val="1"/>
        <charset val="2"/>
      </rPr>
      <t>g</t>
    </r>
    <r>
      <rPr>
        <sz val="11"/>
        <color theme="1"/>
        <rFont val="Garamond"/>
        <family val="1"/>
      </rPr>
      <t>m</t>
    </r>
  </si>
  <si>
    <t>stress</t>
  </si>
  <si>
    <t>Design Value of concrete compressive strength</t>
  </si>
  <si>
    <r>
      <rPr>
        <sz val="11"/>
        <color theme="1"/>
        <rFont val="Symbol"/>
        <family val="1"/>
        <charset val="2"/>
      </rPr>
      <t>e</t>
    </r>
    <r>
      <rPr>
        <sz val="11"/>
        <color theme="1"/>
        <rFont val="Garamond"/>
        <family val="1"/>
      </rPr>
      <t>c2</t>
    </r>
  </si>
  <si>
    <t>Strain at reaching characteristic</t>
  </si>
  <si>
    <r>
      <rPr>
        <sz val="11"/>
        <color theme="1"/>
        <rFont val="Symbol"/>
        <family val="1"/>
        <charset val="2"/>
      </rPr>
      <t>e</t>
    </r>
    <r>
      <rPr>
        <sz val="11"/>
        <color theme="1"/>
        <rFont val="Garamond"/>
        <family val="1"/>
      </rPr>
      <t>cu2</t>
    </r>
  </si>
  <si>
    <t>Ultimate strain</t>
  </si>
  <si>
    <r>
      <rPr>
        <sz val="11"/>
        <color theme="1"/>
        <rFont val="Symbol"/>
        <family val="1"/>
        <charset val="2"/>
      </rPr>
      <t>g</t>
    </r>
    <r>
      <rPr>
        <sz val="11"/>
        <color theme="1"/>
        <rFont val="Garamond"/>
        <family val="1"/>
      </rPr>
      <t>m</t>
    </r>
  </si>
  <si>
    <r>
      <rPr>
        <sz val="11"/>
        <color theme="1"/>
        <rFont val="Symbol"/>
        <family val="1"/>
        <charset val="2"/>
      </rPr>
      <t>e</t>
    </r>
    <r>
      <rPr>
        <sz val="11"/>
        <color theme="1"/>
        <rFont val="Garamond"/>
        <family val="1"/>
      </rPr>
      <t>c2 =</t>
    </r>
  </si>
  <si>
    <r>
      <rPr>
        <sz val="11"/>
        <color theme="1"/>
        <rFont val="Symbol"/>
        <family val="1"/>
        <charset val="2"/>
      </rPr>
      <t>e</t>
    </r>
    <r>
      <rPr>
        <sz val="11"/>
        <color theme="1"/>
        <rFont val="Garamond"/>
        <family val="1"/>
      </rPr>
      <t>cu2 =</t>
    </r>
  </si>
  <si>
    <t>strain</t>
  </si>
  <si>
    <r>
      <rPr>
        <sz val="11"/>
        <color theme="1"/>
        <rFont val="Symbol"/>
        <family val="1"/>
        <charset val="2"/>
      </rPr>
      <t>e</t>
    </r>
    <r>
      <rPr>
        <sz val="11"/>
        <color theme="1"/>
        <rFont val="Garamond"/>
        <family val="1"/>
      </rPr>
      <t>c</t>
    </r>
  </si>
  <si>
    <t>Compressive strain in concrete</t>
  </si>
  <si>
    <t>*fck</t>
  </si>
  <si>
    <t>Design stress -strain diagarm for Concrete</t>
  </si>
  <si>
    <r>
      <rPr>
        <sz val="11"/>
        <color theme="1"/>
        <rFont val="Symbol"/>
        <family val="1"/>
        <charset val="2"/>
      </rPr>
      <t>s</t>
    </r>
    <r>
      <rPr>
        <sz val="11"/>
        <color theme="1"/>
        <rFont val="Garamond"/>
        <family val="1"/>
      </rPr>
      <t>c</t>
    </r>
  </si>
  <si>
    <t>Compressive stress in concrete</t>
  </si>
  <si>
    <t>fcm</t>
  </si>
  <si>
    <t>fck+10</t>
  </si>
  <si>
    <t>(fck &amp; fcm) in Mpa</t>
  </si>
  <si>
    <t>fctm</t>
  </si>
  <si>
    <r>
      <t>0.259 fck</t>
    </r>
    <r>
      <rPr>
        <vertAlign val="superscript"/>
        <sz val="11"/>
        <color theme="1"/>
        <rFont val="Garamond"/>
        <family val="1"/>
      </rPr>
      <t>2/3</t>
    </r>
  </si>
  <si>
    <t xml:space="preserve">for fck </t>
  </si>
  <si>
    <t>≤</t>
  </si>
  <si>
    <t>2.27 ln[1 + fcm/12.5)]</t>
  </si>
  <si>
    <t>&gt;</t>
  </si>
  <si>
    <r>
      <t>(2+0.085 ( 0.8 fck - 50 )</t>
    </r>
    <r>
      <rPr>
        <vertAlign val="superscript"/>
        <sz val="11"/>
        <color theme="1"/>
        <rFont val="Garamond"/>
        <family val="1"/>
      </rPr>
      <t>0.53</t>
    </r>
    <r>
      <rPr>
        <sz val="11"/>
        <color theme="1"/>
        <rFont val="Garamond"/>
        <family val="1"/>
      </rPr>
      <t>)/10</t>
    </r>
  </si>
  <si>
    <t>For fck &gt; 60 Mpa</t>
  </si>
  <si>
    <t>%</t>
  </si>
  <si>
    <t>For fck &lt;= 60 Mpa</t>
  </si>
  <si>
    <r>
      <t>(2.6 + 35 [ ( 90 - 0.8*fck ) / 100 ]</t>
    </r>
    <r>
      <rPr>
        <vertAlign val="superscript"/>
        <sz val="11"/>
        <color theme="1"/>
        <rFont val="Garamond"/>
        <family val="1"/>
      </rPr>
      <t>4</t>
    </r>
    <r>
      <rPr>
        <sz val="11"/>
        <color theme="1"/>
        <rFont val="Garamond"/>
        <family val="1"/>
      </rPr>
      <t>)/10</t>
    </r>
  </si>
  <si>
    <t>Stress in concrete corresponding to starin</t>
  </si>
  <si>
    <r>
      <t>fcd * ( 1 - (1-</t>
    </r>
    <r>
      <rPr>
        <sz val="11"/>
        <color theme="1"/>
        <rFont val="Symbol"/>
        <family val="1"/>
        <charset val="2"/>
      </rPr>
      <t>e</t>
    </r>
    <r>
      <rPr>
        <vertAlign val="subscript"/>
        <sz val="11"/>
        <color theme="1"/>
        <rFont val="Garamond"/>
        <family val="1"/>
      </rPr>
      <t>c</t>
    </r>
    <r>
      <rPr>
        <sz val="11"/>
        <color theme="1"/>
        <rFont val="Garamond"/>
        <family val="1"/>
      </rPr>
      <t>/</t>
    </r>
    <r>
      <rPr>
        <sz val="11"/>
        <color theme="1"/>
        <rFont val="Symbol"/>
        <family val="1"/>
        <charset val="2"/>
      </rPr>
      <t>e</t>
    </r>
    <r>
      <rPr>
        <vertAlign val="subscript"/>
        <sz val="11"/>
        <color theme="1"/>
        <rFont val="Garamond"/>
        <family val="1"/>
      </rPr>
      <t>c2</t>
    </r>
    <r>
      <rPr>
        <sz val="11"/>
        <color theme="1"/>
        <rFont val="Garamond"/>
        <family val="1"/>
      </rPr>
      <t>)</t>
    </r>
    <r>
      <rPr>
        <vertAlign val="superscript"/>
        <sz val="11"/>
        <color theme="1"/>
        <rFont val="Symbol"/>
        <family val="1"/>
        <charset val="2"/>
      </rPr>
      <t>h</t>
    </r>
    <r>
      <rPr>
        <sz val="11"/>
        <color theme="1"/>
        <rFont val="Garamond"/>
        <family val="1"/>
      </rPr>
      <t xml:space="preserve"> )</t>
    </r>
  </si>
  <si>
    <r>
      <rPr>
        <sz val="11"/>
        <color theme="1"/>
        <rFont val="Calibri"/>
        <family val="2"/>
      </rPr>
      <t xml:space="preserve">≤ </t>
    </r>
    <r>
      <rPr>
        <sz val="11"/>
        <color theme="1"/>
        <rFont val="Symbol"/>
        <family val="1"/>
        <charset val="2"/>
      </rPr>
      <t>e</t>
    </r>
    <r>
      <rPr>
        <vertAlign val="subscript"/>
        <sz val="11"/>
        <color theme="1"/>
        <rFont val="Garamond"/>
        <family val="1"/>
      </rPr>
      <t>c</t>
    </r>
  </si>
  <si>
    <t xml:space="preserve">≤ </t>
  </si>
  <si>
    <r>
      <t>1.4 + 23.4 [ ( 90 - 0.8*fck ) / 100 ]</t>
    </r>
    <r>
      <rPr>
        <vertAlign val="superscript"/>
        <sz val="11"/>
        <color theme="1"/>
        <rFont val="Garamond"/>
        <family val="1"/>
      </rPr>
      <t>4</t>
    </r>
  </si>
  <si>
    <t>Property of Rectangular stress block</t>
  </si>
  <si>
    <t>Effective height factor</t>
  </si>
  <si>
    <t>for</t>
  </si>
  <si>
    <t>fck &lt;= 60 Mpa</t>
  </si>
  <si>
    <t xml:space="preserve">0.8- (fck-60)/500 </t>
  </si>
  <si>
    <t>60 &lt; fck &lt;= 110 Mpa</t>
  </si>
  <si>
    <t xml:space="preserve">Compression zone factor </t>
  </si>
  <si>
    <t>1- (fck-60)/250</t>
  </si>
  <si>
    <t>*fcd</t>
  </si>
  <si>
    <t>3/7x</t>
  </si>
  <si>
    <t>@</t>
  </si>
  <si>
    <t>*x</t>
  </si>
  <si>
    <t>4/7x</t>
  </si>
  <si>
    <t>Actaul modification</t>
  </si>
  <si>
    <t>Recatangular- Parabolic stress block</t>
  </si>
  <si>
    <t>Equavelent stress block</t>
  </si>
  <si>
    <t>Limiting Depth of Neutral axis</t>
  </si>
  <si>
    <t>Minimum Strain in reinforcement at ultimate limit state</t>
  </si>
  <si>
    <r>
      <rPr>
        <sz val="11"/>
        <color theme="1"/>
        <rFont val="Symbol"/>
        <family val="1"/>
        <charset val="2"/>
      </rPr>
      <t>e</t>
    </r>
    <r>
      <rPr>
        <sz val="11"/>
        <color theme="1"/>
        <rFont val="Garamond"/>
        <family val="1"/>
      </rPr>
      <t>ud</t>
    </r>
  </si>
  <si>
    <t>Ultimate strain in concrete</t>
  </si>
  <si>
    <r>
      <rPr>
        <sz val="11"/>
        <color theme="1"/>
        <rFont val="Symbol"/>
        <family val="1"/>
        <charset val="2"/>
      </rPr>
      <t>e</t>
    </r>
    <r>
      <rPr>
        <vertAlign val="subscript"/>
        <sz val="11"/>
        <color theme="1"/>
        <rFont val="Garamond"/>
        <family val="1"/>
      </rPr>
      <t>cu2</t>
    </r>
  </si>
  <si>
    <r>
      <rPr>
        <sz val="11"/>
        <color theme="1"/>
        <rFont val="Symbol"/>
        <family val="1"/>
        <charset val="2"/>
      </rPr>
      <t>e</t>
    </r>
    <r>
      <rPr>
        <vertAlign val="subscript"/>
        <sz val="11"/>
        <color theme="1"/>
        <rFont val="Garamond"/>
        <family val="1"/>
      </rPr>
      <t>cu2</t>
    </r>
    <r>
      <rPr>
        <sz val="11"/>
        <color theme="1"/>
        <rFont val="Garamond"/>
        <family val="1"/>
      </rPr>
      <t xml:space="preserve"> =</t>
    </r>
  </si>
  <si>
    <r>
      <t>x</t>
    </r>
    <r>
      <rPr>
        <vertAlign val="subscript"/>
        <sz val="11"/>
        <color theme="1"/>
        <rFont val="Garamond"/>
        <family val="1"/>
      </rPr>
      <t>u</t>
    </r>
  </si>
  <si>
    <t>d-xu</t>
  </si>
  <si>
    <r>
      <rPr>
        <sz val="11"/>
        <color theme="1"/>
        <rFont val="Symbol"/>
        <family val="1"/>
        <charset val="2"/>
      </rPr>
      <t>e</t>
    </r>
    <r>
      <rPr>
        <sz val="11"/>
        <color theme="1"/>
        <rFont val="Garamond"/>
        <family val="1"/>
      </rPr>
      <t>ud=</t>
    </r>
  </si>
  <si>
    <t>Ast</t>
  </si>
  <si>
    <r>
      <t>x</t>
    </r>
    <r>
      <rPr>
        <vertAlign val="subscript"/>
        <sz val="11"/>
        <color theme="1"/>
        <rFont val="Garamond"/>
        <family val="1"/>
      </rPr>
      <t>u,max</t>
    </r>
  </si>
  <si>
    <r>
      <t>d - x</t>
    </r>
    <r>
      <rPr>
        <vertAlign val="subscript"/>
        <sz val="11"/>
        <color theme="1"/>
        <rFont val="Garamond"/>
        <family val="1"/>
      </rPr>
      <t>u,max</t>
    </r>
  </si>
  <si>
    <t>* d</t>
  </si>
  <si>
    <r>
      <t>Ultimate Bond stress ( f</t>
    </r>
    <r>
      <rPr>
        <b/>
        <u/>
        <vertAlign val="subscript"/>
        <sz val="11"/>
        <color theme="1"/>
        <rFont val="Garamond"/>
        <family val="1"/>
      </rPr>
      <t xml:space="preserve">bd </t>
    </r>
    <r>
      <rPr>
        <b/>
        <u/>
        <sz val="11"/>
        <color theme="1"/>
        <rFont val="Garamond"/>
        <family val="1"/>
      </rPr>
      <t>) :</t>
    </r>
  </si>
  <si>
    <t>1) For favourable bond condition</t>
  </si>
  <si>
    <t>Concrete Grade fck</t>
  </si>
  <si>
    <t>Steel grade</t>
  </si>
  <si>
    <t>HYSD</t>
  </si>
  <si>
    <r>
      <rPr>
        <sz val="11"/>
        <color theme="1"/>
        <rFont val="Symbol"/>
        <family val="1"/>
        <charset val="2"/>
      </rPr>
      <t>f</t>
    </r>
    <r>
      <rPr>
        <sz val="11"/>
        <color theme="1"/>
        <rFont val="Garamond"/>
        <family val="1"/>
      </rPr>
      <t xml:space="preserve"> </t>
    </r>
    <r>
      <rPr>
        <sz val="11"/>
        <color theme="1"/>
        <rFont val="Calibri"/>
        <family val="2"/>
      </rPr>
      <t>≤</t>
    </r>
    <r>
      <rPr>
        <sz val="11"/>
        <color theme="1"/>
        <rFont val="Garamond"/>
        <family val="1"/>
      </rPr>
      <t xml:space="preserve"> 32</t>
    </r>
  </si>
  <si>
    <r>
      <rPr>
        <sz val="11"/>
        <color theme="1"/>
        <rFont val="Symbol"/>
        <family val="1"/>
        <charset val="2"/>
      </rPr>
      <t>g</t>
    </r>
    <r>
      <rPr>
        <sz val="11"/>
        <color theme="1"/>
        <rFont val="Garamond"/>
        <family val="1"/>
      </rPr>
      <t>m considered</t>
    </r>
  </si>
  <si>
    <t>Property of Recatangular- Parabolic stress block</t>
  </si>
  <si>
    <t>Area of Stress block</t>
  </si>
  <si>
    <t>*fcd * x</t>
  </si>
  <si>
    <t>cg. from top</t>
  </si>
  <si>
    <t>*fck * x</t>
  </si>
  <si>
    <t>xu</t>
  </si>
  <si>
    <r>
      <t>mm</t>
    </r>
    <r>
      <rPr>
        <vertAlign val="superscript"/>
        <sz val="11"/>
        <color theme="1"/>
        <rFont val="Garamond"/>
        <family val="1"/>
      </rPr>
      <t>2</t>
    </r>
    <r>
      <rPr>
        <sz val="11"/>
        <color theme="1"/>
        <rFont val="Garamond"/>
        <family val="1"/>
      </rPr>
      <t>/m</t>
    </r>
  </si>
  <si>
    <t>Grade of Concrete fck</t>
  </si>
  <si>
    <t>Ast required</t>
  </si>
  <si>
    <r>
      <t>x</t>
    </r>
    <r>
      <rPr>
        <vertAlign val="subscript"/>
        <sz val="11"/>
        <color theme="1"/>
        <rFont val="Garamond"/>
        <family val="1"/>
      </rPr>
      <t>umax</t>
    </r>
  </si>
  <si>
    <t>0.87 fyk Ast /  0.362 fck b</t>
  </si>
  <si>
    <r>
      <t>xu</t>
    </r>
    <r>
      <rPr>
        <vertAlign val="subscript"/>
        <sz val="11"/>
        <color theme="1"/>
        <rFont val="Garamond"/>
        <family val="1"/>
      </rPr>
      <t>max</t>
    </r>
    <r>
      <rPr>
        <sz val="11"/>
        <color theme="1"/>
        <rFont val="Garamond"/>
        <family val="1"/>
      </rPr>
      <t>/d</t>
    </r>
  </si>
  <si>
    <r>
      <rPr>
        <sz val="11"/>
        <color theme="1"/>
        <rFont val="Symbol"/>
        <family val="1"/>
        <charset val="2"/>
      </rPr>
      <t>e</t>
    </r>
    <r>
      <rPr>
        <sz val="11"/>
        <color theme="1"/>
        <rFont val="Garamond"/>
        <family val="1"/>
      </rPr>
      <t>uk</t>
    </r>
  </si>
  <si>
    <r>
      <rPr>
        <sz val="11"/>
        <color theme="1"/>
        <rFont val="Symbol"/>
        <family val="1"/>
        <charset val="2"/>
      </rPr>
      <t>e</t>
    </r>
    <r>
      <rPr>
        <vertAlign val="subscript"/>
        <sz val="11"/>
        <color theme="1"/>
        <rFont val="Garamond"/>
        <family val="1"/>
      </rPr>
      <t>cu2</t>
    </r>
    <r>
      <rPr>
        <sz val="11"/>
        <color theme="1"/>
        <rFont val="Garamond"/>
        <family val="1"/>
      </rPr>
      <t xml:space="preserve"> </t>
    </r>
  </si>
  <si>
    <t>Grade of steel fyk</t>
  </si>
  <si>
    <r>
      <t>V</t>
    </r>
    <r>
      <rPr>
        <vertAlign val="subscript"/>
        <sz val="11"/>
        <color theme="1"/>
        <rFont val="Garamond"/>
        <family val="1"/>
      </rPr>
      <t>Rdc</t>
    </r>
  </si>
  <si>
    <t>Max</t>
  </si>
  <si>
    <r>
      <t xml:space="preserve">( 0.12 k (80 </t>
    </r>
    <r>
      <rPr>
        <sz val="11"/>
        <color theme="1"/>
        <rFont val="Symbol"/>
        <family val="1"/>
        <charset val="2"/>
      </rPr>
      <t>r</t>
    </r>
    <r>
      <rPr>
        <sz val="11"/>
        <color theme="1"/>
        <rFont val="Garamond"/>
        <family val="1"/>
      </rPr>
      <t>1 fck )</t>
    </r>
    <r>
      <rPr>
        <vertAlign val="superscript"/>
        <sz val="11"/>
        <color theme="1"/>
        <rFont val="Garamond"/>
        <family val="1"/>
      </rPr>
      <t>0.33</t>
    </r>
    <r>
      <rPr>
        <sz val="11"/>
        <color theme="1"/>
        <rFont val="Garamond"/>
        <family val="1"/>
      </rPr>
      <t xml:space="preserve"> + 0.15 </t>
    </r>
    <r>
      <rPr>
        <sz val="11"/>
        <color theme="1"/>
        <rFont val="Symbol"/>
        <family val="1"/>
        <charset val="2"/>
      </rPr>
      <t>s</t>
    </r>
    <r>
      <rPr>
        <vertAlign val="subscript"/>
        <sz val="11"/>
        <color theme="1"/>
        <rFont val="Garamond"/>
        <family val="1"/>
      </rPr>
      <t>cp</t>
    </r>
    <r>
      <rPr>
        <sz val="11"/>
        <color theme="1"/>
        <rFont val="Garamond"/>
        <family val="1"/>
      </rPr>
      <t xml:space="preserve"> ) bw d</t>
    </r>
  </si>
  <si>
    <t>( IRC 112 / clause 10.3.2 (2) )</t>
  </si>
  <si>
    <r>
      <t>(</t>
    </r>
    <r>
      <rPr>
        <sz val="11"/>
        <color theme="1"/>
        <rFont val="Symbol"/>
        <family val="1"/>
        <charset val="2"/>
      </rPr>
      <t>n</t>
    </r>
    <r>
      <rPr>
        <vertAlign val="subscript"/>
        <sz val="11"/>
        <color theme="1"/>
        <rFont val="Garamond"/>
        <family val="1"/>
      </rPr>
      <t>min</t>
    </r>
    <r>
      <rPr>
        <sz val="11"/>
        <color theme="1"/>
        <rFont val="Garamond"/>
        <family val="1"/>
      </rPr>
      <t xml:space="preserve"> +0.15</t>
    </r>
    <r>
      <rPr>
        <sz val="11"/>
        <color theme="1"/>
        <rFont val="Symbol"/>
        <family val="1"/>
        <charset val="2"/>
      </rPr>
      <t>s</t>
    </r>
    <r>
      <rPr>
        <sz val="11"/>
        <color theme="1"/>
        <rFont val="Garamond"/>
        <family val="1"/>
      </rPr>
      <t>cp ) bw d</t>
    </r>
  </si>
  <si>
    <t>k</t>
  </si>
  <si>
    <t>Min</t>
  </si>
  <si>
    <r>
      <t xml:space="preserve">1 + </t>
    </r>
    <r>
      <rPr>
        <sz val="11"/>
        <color theme="1"/>
        <rFont val="Calibri"/>
        <family val="2"/>
      </rPr>
      <t>√</t>
    </r>
    <r>
      <rPr>
        <sz val="11"/>
        <color theme="1"/>
        <rFont val="Garamond"/>
        <family val="1"/>
      </rPr>
      <t xml:space="preserve"> 200/d</t>
    </r>
  </si>
  <si>
    <t>d is depth in mm</t>
  </si>
  <si>
    <r>
      <rPr>
        <sz val="11"/>
        <color theme="1"/>
        <rFont val="Symbol"/>
        <family val="1"/>
        <charset val="2"/>
      </rPr>
      <t>r</t>
    </r>
    <r>
      <rPr>
        <sz val="11"/>
        <color theme="1"/>
        <rFont val="Garamond"/>
        <family val="1"/>
      </rPr>
      <t>1</t>
    </r>
  </si>
  <si>
    <t>Asl /bw d</t>
  </si>
  <si>
    <r>
      <rPr>
        <sz val="11"/>
        <color theme="1"/>
        <rFont val="Symbol"/>
        <family val="1"/>
        <charset val="2"/>
      </rPr>
      <t>s</t>
    </r>
    <r>
      <rPr>
        <vertAlign val="subscript"/>
        <sz val="11"/>
        <color theme="1"/>
        <rFont val="Garamond"/>
        <family val="1"/>
      </rPr>
      <t>cp</t>
    </r>
  </si>
  <si>
    <r>
      <rPr>
        <sz val="11"/>
        <color theme="1"/>
        <rFont val="Symbol"/>
        <family val="1"/>
        <charset val="2"/>
      </rPr>
      <t>n</t>
    </r>
    <r>
      <rPr>
        <vertAlign val="subscript"/>
        <sz val="11"/>
        <color theme="1"/>
        <rFont val="Garamond"/>
        <family val="1"/>
      </rPr>
      <t>min</t>
    </r>
    <r>
      <rPr>
        <sz val="11"/>
        <color theme="1"/>
        <rFont val="Garamond"/>
        <family val="1"/>
      </rPr>
      <t xml:space="preserve"> </t>
    </r>
  </si>
  <si>
    <r>
      <t>0.031 k</t>
    </r>
    <r>
      <rPr>
        <vertAlign val="superscript"/>
        <sz val="11"/>
        <color theme="1"/>
        <rFont val="Garamond"/>
        <family val="1"/>
      </rPr>
      <t>3/2</t>
    </r>
    <r>
      <rPr>
        <sz val="11"/>
        <color theme="1"/>
        <rFont val="Garamond"/>
        <family val="1"/>
      </rPr>
      <t xml:space="preserve"> fck</t>
    </r>
    <r>
      <rPr>
        <vertAlign val="superscript"/>
        <sz val="11"/>
        <color theme="1"/>
        <rFont val="Garamond"/>
        <family val="1"/>
      </rPr>
      <t>1/2</t>
    </r>
  </si>
  <si>
    <r>
      <t>V</t>
    </r>
    <r>
      <rPr>
        <vertAlign val="subscript"/>
        <sz val="11"/>
        <color theme="1"/>
        <rFont val="Garamond"/>
        <family val="1"/>
      </rPr>
      <t>ED</t>
    </r>
  </si>
  <si>
    <r>
      <t>M</t>
    </r>
    <r>
      <rPr>
        <vertAlign val="subscript"/>
        <sz val="11"/>
        <color theme="1"/>
        <rFont val="Garamond"/>
        <family val="1"/>
      </rPr>
      <t>ED</t>
    </r>
  </si>
  <si>
    <t>b</t>
  </si>
  <si>
    <t>Factored Shear Force</t>
  </si>
  <si>
    <t>(Section At deff from face of Support)</t>
  </si>
  <si>
    <t>Ast minimum</t>
  </si>
  <si>
    <t>* b*d</t>
  </si>
  <si>
    <t>Ast calculated</t>
  </si>
  <si>
    <t>=  Max(</t>
  </si>
  <si>
    <t>M/ 0.87 fyk (d'-0.416 xu)</t>
  </si>
  <si>
    <t>Quasi Permanent</t>
  </si>
  <si>
    <t>Rare Combination</t>
  </si>
  <si>
    <r>
      <t>M</t>
    </r>
    <r>
      <rPr>
        <vertAlign val="subscript"/>
        <sz val="11"/>
        <color theme="1"/>
        <rFont val="Garamond"/>
        <family val="1"/>
      </rPr>
      <t>RARE</t>
    </r>
  </si>
  <si>
    <r>
      <t>M</t>
    </r>
    <r>
      <rPr>
        <vertAlign val="subscript"/>
        <sz val="11"/>
        <color theme="1"/>
        <rFont val="Garamond"/>
        <family val="1"/>
      </rPr>
      <t>ST</t>
    </r>
  </si>
  <si>
    <t>(Bending Moment due to short term loading)</t>
  </si>
  <si>
    <t>Relative humidity</t>
  </si>
  <si>
    <t>Mean value of concrete compressive strength</t>
  </si>
  <si>
    <t xml:space="preserve">Secant Modulus of Elasticity </t>
  </si>
  <si>
    <t>Ecm</t>
  </si>
  <si>
    <t>For short Term loading</t>
  </si>
  <si>
    <t>For long Term loading</t>
  </si>
  <si>
    <t>Ecm'</t>
  </si>
  <si>
    <r>
      <t>Ecm/ (1+</t>
    </r>
    <r>
      <rPr>
        <sz val="11"/>
        <color theme="1"/>
        <rFont val="Symbol"/>
        <family val="1"/>
        <charset val="2"/>
      </rPr>
      <t>f</t>
    </r>
    <r>
      <rPr>
        <sz val="11"/>
        <color theme="1"/>
        <rFont val="Garamond"/>
        <family val="1"/>
      </rPr>
      <t>)</t>
    </r>
  </si>
  <si>
    <t>Creep coefficent</t>
  </si>
  <si>
    <t>Ac</t>
  </si>
  <si>
    <r>
      <t>m</t>
    </r>
    <r>
      <rPr>
        <vertAlign val="superscript"/>
        <sz val="11"/>
        <color theme="1"/>
        <rFont val="Garamond"/>
        <family val="1"/>
      </rPr>
      <t>2</t>
    </r>
  </si>
  <si>
    <t>ANALYSES ASSUMPTION</t>
  </si>
  <si>
    <t>Enviromental parameters</t>
  </si>
  <si>
    <t>Exposure condition</t>
  </si>
  <si>
    <t>Creep coefficent for Foundation</t>
  </si>
  <si>
    <r>
      <t xml:space="preserve"> ( As ho  = </t>
    </r>
    <r>
      <rPr>
        <sz val="11"/>
        <color theme="1"/>
        <rFont val="Symbol"/>
        <family val="1"/>
        <charset val="2"/>
      </rPr>
      <t>¥</t>
    </r>
    <r>
      <rPr>
        <sz val="11"/>
        <color theme="1"/>
        <rFont val="Garamond"/>
        <family val="1"/>
      </rPr>
      <t xml:space="preserve"> , For foundations)</t>
    </r>
  </si>
  <si>
    <t>Modulus of Elasticity for Concrete</t>
  </si>
  <si>
    <t>For short term loading</t>
  </si>
  <si>
    <t>For long term loading</t>
  </si>
  <si>
    <r>
      <t>M</t>
    </r>
    <r>
      <rPr>
        <vertAlign val="subscript"/>
        <sz val="11"/>
        <color theme="1"/>
        <rFont val="Garamond"/>
        <family val="1"/>
      </rPr>
      <t>QP</t>
    </r>
  </si>
  <si>
    <r>
      <t>M</t>
    </r>
    <r>
      <rPr>
        <vertAlign val="subscript"/>
        <sz val="11"/>
        <color theme="1"/>
        <rFont val="Garamond"/>
        <family val="1"/>
      </rPr>
      <t>RARE</t>
    </r>
    <r>
      <rPr>
        <sz val="11"/>
        <color theme="1"/>
        <rFont val="Garamond"/>
        <family val="1"/>
      </rPr>
      <t xml:space="preserve"> - M</t>
    </r>
    <r>
      <rPr>
        <vertAlign val="subscript"/>
        <sz val="11"/>
        <color theme="1"/>
        <rFont val="Garamond"/>
        <family val="1"/>
      </rPr>
      <t>QP</t>
    </r>
  </si>
  <si>
    <r>
      <t>E</t>
    </r>
    <r>
      <rPr>
        <vertAlign val="subscript"/>
        <sz val="11"/>
        <color theme="1"/>
        <rFont val="Garamond"/>
        <family val="1"/>
      </rPr>
      <t>cm</t>
    </r>
    <r>
      <rPr>
        <sz val="11"/>
        <color theme="1"/>
        <rFont val="Garamond"/>
        <family val="1"/>
      </rPr>
      <t>*(M</t>
    </r>
    <r>
      <rPr>
        <vertAlign val="subscript"/>
        <sz val="11"/>
        <color theme="1"/>
        <rFont val="Garamond"/>
        <family val="1"/>
      </rPr>
      <t>QP</t>
    </r>
    <r>
      <rPr>
        <sz val="11"/>
        <color theme="1"/>
        <rFont val="Garamond"/>
        <family val="1"/>
      </rPr>
      <t>+M</t>
    </r>
    <r>
      <rPr>
        <vertAlign val="subscript"/>
        <sz val="11"/>
        <color theme="1"/>
        <rFont val="Garamond"/>
        <family val="1"/>
      </rPr>
      <t>ST</t>
    </r>
    <r>
      <rPr>
        <sz val="11"/>
        <color theme="1"/>
        <rFont val="Garamond"/>
        <family val="1"/>
      </rPr>
      <t>)</t>
    </r>
  </si>
  <si>
    <r>
      <t>M</t>
    </r>
    <r>
      <rPr>
        <vertAlign val="subscript"/>
        <sz val="11"/>
        <color theme="1"/>
        <rFont val="Garamond"/>
        <family val="1"/>
      </rPr>
      <t>ST</t>
    </r>
    <r>
      <rPr>
        <sz val="11"/>
        <color theme="1"/>
        <rFont val="Garamond"/>
        <family val="1"/>
      </rPr>
      <t xml:space="preserve"> +(1+</t>
    </r>
    <r>
      <rPr>
        <sz val="11"/>
        <color theme="1"/>
        <rFont val="Symbol"/>
        <family val="1"/>
        <charset val="2"/>
      </rPr>
      <t>f</t>
    </r>
    <r>
      <rPr>
        <sz val="11"/>
        <color theme="1"/>
        <rFont val="Garamond"/>
        <family val="1"/>
      </rPr>
      <t>)* M</t>
    </r>
    <r>
      <rPr>
        <vertAlign val="subscript"/>
        <sz val="11"/>
        <color theme="1"/>
        <rFont val="Garamond"/>
        <family val="1"/>
      </rPr>
      <t>QP</t>
    </r>
  </si>
  <si>
    <t>Ec,eq</t>
  </si>
  <si>
    <t xml:space="preserve">Creep coefficent </t>
  </si>
  <si>
    <r>
      <t>E</t>
    </r>
    <r>
      <rPr>
        <vertAlign val="subscript"/>
        <sz val="11"/>
        <color theme="1"/>
        <rFont val="Garamond"/>
        <family val="1"/>
      </rPr>
      <t>s</t>
    </r>
  </si>
  <si>
    <r>
      <t>N/mm</t>
    </r>
    <r>
      <rPr>
        <vertAlign val="superscript"/>
        <sz val="11"/>
        <color theme="1"/>
        <rFont val="Garamond"/>
        <family val="1"/>
      </rPr>
      <t>2</t>
    </r>
  </si>
  <si>
    <t>Reinf. modulus of elasticity</t>
  </si>
  <si>
    <t>Modular ratio</t>
  </si>
  <si>
    <r>
      <t>Es/ E</t>
    </r>
    <r>
      <rPr>
        <vertAlign val="subscript"/>
        <sz val="11"/>
        <color theme="1"/>
        <rFont val="Garamond"/>
        <family val="1"/>
      </rPr>
      <t>c,eq</t>
    </r>
  </si>
  <si>
    <t>Total Depth at section</t>
  </si>
  <si>
    <r>
      <t>A</t>
    </r>
    <r>
      <rPr>
        <vertAlign val="subscript"/>
        <sz val="11"/>
        <color theme="1"/>
        <rFont val="Garamond"/>
        <family val="1"/>
      </rPr>
      <t>st, provided</t>
    </r>
  </si>
  <si>
    <t>dc (depth of neutral axis)</t>
  </si>
  <si>
    <r>
      <t xml:space="preserve">-m*As  +  </t>
    </r>
    <r>
      <rPr>
        <sz val="11"/>
        <color theme="1"/>
        <rFont val="Symbol"/>
        <family val="1"/>
        <charset val="2"/>
      </rPr>
      <t>Ö</t>
    </r>
    <r>
      <rPr>
        <sz val="11"/>
        <color theme="1"/>
        <rFont val="Garamond"/>
        <family val="1"/>
      </rPr>
      <t xml:space="preserve"> ( m</t>
    </r>
    <r>
      <rPr>
        <vertAlign val="superscript"/>
        <sz val="11"/>
        <color theme="1"/>
        <rFont val="Garamond"/>
        <family val="1"/>
      </rPr>
      <t>2</t>
    </r>
    <r>
      <rPr>
        <sz val="11"/>
        <color theme="1"/>
        <rFont val="Garamond"/>
        <family val="1"/>
      </rPr>
      <t xml:space="preserve"> * As</t>
    </r>
    <r>
      <rPr>
        <vertAlign val="superscript"/>
        <sz val="11"/>
        <color theme="1"/>
        <rFont val="Garamond"/>
        <family val="1"/>
      </rPr>
      <t>2</t>
    </r>
    <r>
      <rPr>
        <sz val="11"/>
        <color theme="1"/>
        <rFont val="Garamond"/>
        <family val="1"/>
      </rPr>
      <t xml:space="preserve">  + 2* m*As*b* d )</t>
    </r>
  </si>
  <si>
    <t>width b</t>
  </si>
  <si>
    <r>
      <t>I</t>
    </r>
    <r>
      <rPr>
        <vertAlign val="subscript"/>
        <sz val="11"/>
        <color theme="1"/>
        <rFont val="Garamond"/>
        <family val="1"/>
      </rPr>
      <t>NA</t>
    </r>
  </si>
  <si>
    <r>
      <t>mm</t>
    </r>
    <r>
      <rPr>
        <vertAlign val="superscript"/>
        <sz val="11"/>
        <color theme="1"/>
        <rFont val="Garamond"/>
        <family val="1"/>
      </rPr>
      <t>4</t>
    </r>
  </si>
  <si>
    <t>(Transformed)</t>
  </si>
  <si>
    <r>
      <t xml:space="preserve">Compressive stress in concrete </t>
    </r>
    <r>
      <rPr>
        <sz val="11"/>
        <color theme="1"/>
        <rFont val="Symbol"/>
        <family val="1"/>
        <charset val="2"/>
      </rPr>
      <t>s</t>
    </r>
    <r>
      <rPr>
        <vertAlign val="subscript"/>
        <sz val="11"/>
        <color theme="1"/>
        <rFont val="Garamond"/>
        <family val="1"/>
      </rPr>
      <t>c</t>
    </r>
  </si>
  <si>
    <r>
      <t>M</t>
    </r>
    <r>
      <rPr>
        <vertAlign val="subscript"/>
        <sz val="11"/>
        <color theme="1"/>
        <rFont val="Garamond"/>
        <family val="1"/>
      </rPr>
      <t>RARE</t>
    </r>
    <r>
      <rPr>
        <sz val="11"/>
        <color theme="1"/>
        <rFont val="Garamond"/>
        <family val="1"/>
      </rPr>
      <t>* dc / I</t>
    </r>
    <r>
      <rPr>
        <vertAlign val="subscript"/>
        <sz val="11"/>
        <color theme="1"/>
        <rFont val="Garamond"/>
        <family val="1"/>
      </rPr>
      <t>NA</t>
    </r>
  </si>
  <si>
    <r>
      <t>m* M</t>
    </r>
    <r>
      <rPr>
        <vertAlign val="subscript"/>
        <sz val="11"/>
        <color theme="1"/>
        <rFont val="Garamond"/>
        <family val="1"/>
      </rPr>
      <t>RARE</t>
    </r>
    <r>
      <rPr>
        <sz val="11"/>
        <color theme="1"/>
        <rFont val="Garamond"/>
        <family val="1"/>
      </rPr>
      <t>* (d - dc ) / I</t>
    </r>
    <r>
      <rPr>
        <vertAlign val="subscript"/>
        <sz val="11"/>
        <color theme="1"/>
        <rFont val="Garamond"/>
        <family val="1"/>
      </rPr>
      <t>NA</t>
    </r>
  </si>
  <si>
    <r>
      <t>b *dc</t>
    </r>
    <r>
      <rPr>
        <vertAlign val="superscript"/>
        <sz val="11"/>
        <color theme="1"/>
        <rFont val="Garamond"/>
        <family val="1"/>
      </rPr>
      <t>3</t>
    </r>
    <r>
      <rPr>
        <sz val="11"/>
        <color theme="1"/>
        <rFont val="Garamond"/>
        <family val="1"/>
      </rPr>
      <t>/3  + m* As *(d-dc)</t>
    </r>
    <r>
      <rPr>
        <vertAlign val="superscript"/>
        <sz val="11"/>
        <color theme="1"/>
        <rFont val="Garamond"/>
        <family val="1"/>
      </rPr>
      <t>2</t>
    </r>
  </si>
  <si>
    <r>
      <t xml:space="preserve">Tensile stress in steel </t>
    </r>
    <r>
      <rPr>
        <sz val="11"/>
        <color theme="1"/>
        <rFont val="Symbol"/>
        <family val="1"/>
        <charset val="2"/>
      </rPr>
      <t>s</t>
    </r>
    <r>
      <rPr>
        <vertAlign val="subscript"/>
        <sz val="11"/>
        <color theme="1"/>
        <rFont val="Garamond"/>
        <family val="1"/>
      </rPr>
      <t>s</t>
    </r>
  </si>
  <si>
    <t>Equavelent Modulus of Elasticity for Rare Combination :</t>
  </si>
  <si>
    <t>Stress Check For Rare Combination</t>
  </si>
  <si>
    <t>Modular ratio for QP Combination</t>
  </si>
  <si>
    <t>Es / Ecm</t>
  </si>
  <si>
    <t>Modular ratio for Rare Combination</t>
  </si>
  <si>
    <t>Permissible Compressive stress</t>
  </si>
  <si>
    <t>Permissible tensile stress</t>
  </si>
  <si>
    <t>Stress Check For QP Combination</t>
  </si>
  <si>
    <t>Design Moment</t>
  </si>
  <si>
    <t>Formula used for calculation of stress</t>
  </si>
  <si>
    <t>(SLS) CHECK FOR STRESSES (RARE &amp; QUASI PERMANENT LOAD COMBINATIONS)</t>
  </si>
  <si>
    <t>(SLS) CHECK FOR CRACK WIDTH (QUASI PERMANENT LOAD COMBINATIONS)</t>
  </si>
  <si>
    <t>(ULS) CHECK FOR BENDING MOMENT</t>
  </si>
  <si>
    <t xml:space="preserve">(ULS) CHECK FOR SHEAR FORCE </t>
  </si>
  <si>
    <t>Minimum Reinforcement for crack control :</t>
  </si>
  <si>
    <r>
      <t>A</t>
    </r>
    <r>
      <rPr>
        <vertAlign val="subscript"/>
        <sz val="11"/>
        <color theme="1"/>
        <rFont val="Garamond"/>
        <family val="1"/>
      </rPr>
      <t>smin</t>
    </r>
  </si>
  <si>
    <r>
      <t>k</t>
    </r>
    <r>
      <rPr>
        <vertAlign val="subscript"/>
        <sz val="11"/>
        <color theme="1"/>
        <rFont val="Garamond"/>
        <family val="1"/>
      </rPr>
      <t>c</t>
    </r>
    <r>
      <rPr>
        <sz val="11"/>
        <color theme="1"/>
        <rFont val="Garamond"/>
        <family val="1"/>
      </rPr>
      <t xml:space="preserve"> k f</t>
    </r>
    <r>
      <rPr>
        <vertAlign val="subscript"/>
        <sz val="11"/>
        <color theme="1"/>
        <rFont val="Garamond"/>
        <family val="1"/>
      </rPr>
      <t>ct,eff</t>
    </r>
    <r>
      <rPr>
        <sz val="11"/>
        <color theme="1"/>
        <rFont val="Garamond"/>
        <family val="1"/>
      </rPr>
      <t xml:space="preserve"> A</t>
    </r>
    <r>
      <rPr>
        <vertAlign val="subscript"/>
        <sz val="11"/>
        <color theme="1"/>
        <rFont val="Garamond"/>
        <family val="1"/>
      </rPr>
      <t>ct</t>
    </r>
    <r>
      <rPr>
        <sz val="11"/>
        <color theme="1"/>
        <rFont val="Garamond"/>
        <family val="1"/>
      </rPr>
      <t xml:space="preserve"> / </t>
    </r>
    <r>
      <rPr>
        <sz val="11"/>
        <color theme="1"/>
        <rFont val="Symbol"/>
        <family val="1"/>
        <charset val="2"/>
      </rPr>
      <t>s</t>
    </r>
    <r>
      <rPr>
        <vertAlign val="subscript"/>
        <sz val="11"/>
        <color theme="1"/>
        <rFont val="Garamond"/>
        <family val="1"/>
      </rPr>
      <t>s</t>
    </r>
  </si>
  <si>
    <t>( IRC 112 / clause 12.3.3 (2) )</t>
  </si>
  <si>
    <t>For Web</t>
  </si>
  <si>
    <t>kc</t>
  </si>
  <si>
    <t>For Bending member</t>
  </si>
  <si>
    <r>
      <t>f</t>
    </r>
    <r>
      <rPr>
        <vertAlign val="subscript"/>
        <sz val="11"/>
        <color theme="1"/>
        <rFont val="Garamond"/>
        <family val="1"/>
      </rPr>
      <t>cteff</t>
    </r>
  </si>
  <si>
    <t>Act</t>
  </si>
  <si>
    <r>
      <rPr>
        <sz val="11"/>
        <color theme="1"/>
        <rFont val="Symbol"/>
        <family val="1"/>
        <charset val="2"/>
      </rPr>
      <t>s</t>
    </r>
    <r>
      <rPr>
        <vertAlign val="subscript"/>
        <sz val="11"/>
        <color theme="1"/>
        <rFont val="Garamond"/>
        <family val="1"/>
      </rPr>
      <t>s</t>
    </r>
  </si>
  <si>
    <r>
      <t>22*(fcm/12.5)</t>
    </r>
    <r>
      <rPr>
        <vertAlign val="superscript"/>
        <sz val="11"/>
        <rFont val="Garamond"/>
        <family val="1"/>
      </rPr>
      <t>0.3</t>
    </r>
    <r>
      <rPr>
        <sz val="11"/>
        <rFont val="Garamond"/>
        <family val="1"/>
      </rPr>
      <t>*10^3</t>
    </r>
  </si>
  <si>
    <t>Mean axial tensile strength</t>
  </si>
  <si>
    <t>Maximum stress permitted in reinf. Immediately after formation of crack</t>
  </si>
  <si>
    <t>b * h/2</t>
  </si>
  <si>
    <r>
      <t>A</t>
    </r>
    <r>
      <rPr>
        <vertAlign val="subscript"/>
        <sz val="11"/>
        <color theme="1"/>
        <rFont val="Garamond"/>
        <family val="1"/>
      </rPr>
      <t>s,min</t>
    </r>
  </si>
  <si>
    <t>Calculation of crack width :</t>
  </si>
  <si>
    <t>( IRC 112 / clause 12.3.4)</t>
  </si>
  <si>
    <r>
      <t>w</t>
    </r>
    <r>
      <rPr>
        <vertAlign val="subscript"/>
        <sz val="11"/>
        <color theme="1"/>
        <rFont val="Garamond"/>
        <family val="1"/>
      </rPr>
      <t>k,max</t>
    </r>
  </si>
  <si>
    <r>
      <t>w</t>
    </r>
    <r>
      <rPr>
        <vertAlign val="subscript"/>
        <sz val="11"/>
        <color theme="1"/>
        <rFont val="Garamond"/>
        <family val="1"/>
      </rPr>
      <t>k</t>
    </r>
  </si>
  <si>
    <r>
      <t>s</t>
    </r>
    <r>
      <rPr>
        <vertAlign val="subscript"/>
        <sz val="11"/>
        <color theme="1"/>
        <rFont val="Garamond"/>
        <family val="1"/>
      </rPr>
      <t>rmax</t>
    </r>
    <r>
      <rPr>
        <sz val="11"/>
        <color theme="1"/>
        <rFont val="Garamond"/>
        <family val="1"/>
      </rPr>
      <t xml:space="preserve"> ( </t>
    </r>
    <r>
      <rPr>
        <sz val="11"/>
        <color theme="1"/>
        <rFont val="Symbol"/>
        <family val="1"/>
        <charset val="2"/>
      </rPr>
      <t>e</t>
    </r>
    <r>
      <rPr>
        <vertAlign val="subscript"/>
        <sz val="11"/>
        <color theme="1"/>
        <rFont val="Garamond"/>
        <family val="1"/>
      </rPr>
      <t>sm</t>
    </r>
    <r>
      <rPr>
        <sz val="11"/>
        <color theme="1"/>
        <rFont val="Garamond"/>
        <family val="1"/>
      </rPr>
      <t xml:space="preserve"> - </t>
    </r>
    <r>
      <rPr>
        <sz val="11"/>
        <color theme="1"/>
        <rFont val="Symbol"/>
        <family val="1"/>
        <charset val="2"/>
      </rPr>
      <t>e</t>
    </r>
    <r>
      <rPr>
        <vertAlign val="subscript"/>
        <sz val="11"/>
        <color theme="1"/>
        <rFont val="Garamond"/>
        <family val="1"/>
      </rPr>
      <t>cm</t>
    </r>
    <r>
      <rPr>
        <sz val="11"/>
        <color theme="1"/>
        <rFont val="Garamond"/>
        <family val="1"/>
      </rPr>
      <t xml:space="preserve"> )</t>
    </r>
  </si>
  <si>
    <r>
      <t>s</t>
    </r>
    <r>
      <rPr>
        <vertAlign val="subscript"/>
        <sz val="11"/>
        <color theme="1"/>
        <rFont val="Garamond"/>
        <family val="1"/>
      </rPr>
      <t>rmax</t>
    </r>
    <r>
      <rPr>
        <sz val="11"/>
        <color theme="1"/>
        <rFont val="Garamond"/>
        <family val="1"/>
      </rPr>
      <t/>
    </r>
  </si>
  <si>
    <t>Maximum crack spacing</t>
  </si>
  <si>
    <t>Clear cover c</t>
  </si>
  <si>
    <t>Bar dia</t>
  </si>
  <si>
    <t>Spacing b/w bars</t>
  </si>
  <si>
    <r>
      <rPr>
        <sz val="11"/>
        <color theme="1"/>
        <rFont val="Symbol"/>
        <family val="1"/>
        <charset val="2"/>
      </rPr>
      <t>r</t>
    </r>
    <r>
      <rPr>
        <vertAlign val="subscript"/>
        <sz val="11"/>
        <color theme="1"/>
        <rFont val="Garamond"/>
        <family val="1"/>
      </rPr>
      <t>P,eff</t>
    </r>
  </si>
  <si>
    <t>As/ Ac,eff</t>
  </si>
  <si>
    <t>2.5 ( h - d )</t>
  </si>
  <si>
    <t>( h - x/3 )</t>
  </si>
  <si>
    <t>h/2</t>
  </si>
  <si>
    <r>
      <rPr>
        <sz val="11"/>
        <color theme="1"/>
        <rFont val="Symbol"/>
        <family val="1"/>
        <charset val="2"/>
      </rPr>
      <t>e</t>
    </r>
    <r>
      <rPr>
        <vertAlign val="subscript"/>
        <sz val="11"/>
        <color theme="1"/>
        <rFont val="Garamond"/>
        <family val="1"/>
      </rPr>
      <t>sm</t>
    </r>
    <r>
      <rPr>
        <sz val="11"/>
        <color theme="1"/>
        <rFont val="Garamond"/>
        <family val="1"/>
      </rPr>
      <t xml:space="preserve"> - </t>
    </r>
    <r>
      <rPr>
        <sz val="11"/>
        <color theme="1"/>
        <rFont val="Symbol"/>
        <family val="1"/>
        <charset val="2"/>
      </rPr>
      <t>e</t>
    </r>
    <r>
      <rPr>
        <vertAlign val="subscript"/>
        <sz val="11"/>
        <color theme="1"/>
        <rFont val="Garamond"/>
        <family val="1"/>
      </rPr>
      <t>cm</t>
    </r>
  </si>
  <si>
    <r>
      <rPr>
        <sz val="11"/>
        <color theme="1"/>
        <rFont val="Symbol"/>
        <family val="1"/>
        <charset val="2"/>
      </rPr>
      <t>s</t>
    </r>
    <r>
      <rPr>
        <vertAlign val="subscript"/>
        <sz val="11"/>
        <color theme="1"/>
        <rFont val="Garamond"/>
        <family val="1"/>
      </rPr>
      <t>sc</t>
    </r>
    <r>
      <rPr>
        <sz val="11"/>
        <color theme="1"/>
        <rFont val="Garamond"/>
        <family val="1"/>
      </rPr>
      <t xml:space="preserve"> - k</t>
    </r>
    <r>
      <rPr>
        <vertAlign val="subscript"/>
        <sz val="11"/>
        <color theme="1"/>
        <rFont val="Garamond"/>
        <family val="1"/>
      </rPr>
      <t>t</t>
    </r>
    <r>
      <rPr>
        <sz val="11"/>
        <color theme="1"/>
        <rFont val="Garamond"/>
        <family val="1"/>
      </rPr>
      <t xml:space="preserve"> f</t>
    </r>
    <r>
      <rPr>
        <vertAlign val="subscript"/>
        <sz val="11"/>
        <color theme="1"/>
        <rFont val="Garamond"/>
        <family val="1"/>
      </rPr>
      <t>ct,eff</t>
    </r>
    <r>
      <rPr>
        <sz val="11"/>
        <color theme="1"/>
        <rFont val="Garamond"/>
        <family val="1"/>
      </rPr>
      <t xml:space="preserve"> ( 1+ </t>
    </r>
    <r>
      <rPr>
        <sz val="11"/>
        <color theme="1"/>
        <rFont val="Symbol"/>
        <family val="1"/>
        <charset val="2"/>
      </rPr>
      <t>a</t>
    </r>
    <r>
      <rPr>
        <vertAlign val="subscript"/>
        <sz val="11"/>
        <color theme="1"/>
        <rFont val="Garamond"/>
        <family val="1"/>
      </rPr>
      <t>e</t>
    </r>
    <r>
      <rPr>
        <sz val="11"/>
        <color theme="1"/>
        <rFont val="Garamond"/>
        <family val="1"/>
      </rPr>
      <t xml:space="preserve"> </t>
    </r>
    <r>
      <rPr>
        <sz val="11"/>
        <color theme="1"/>
        <rFont val="Symbol"/>
        <family val="1"/>
        <charset val="2"/>
      </rPr>
      <t>r</t>
    </r>
    <r>
      <rPr>
        <vertAlign val="subscript"/>
        <sz val="11"/>
        <color theme="1"/>
        <rFont val="Garamond"/>
        <family val="1"/>
      </rPr>
      <t>P,eff</t>
    </r>
    <r>
      <rPr>
        <sz val="11"/>
        <color theme="1"/>
        <rFont val="Garamond"/>
        <family val="1"/>
      </rPr>
      <t xml:space="preserve"> ) / </t>
    </r>
    <r>
      <rPr>
        <sz val="11"/>
        <color theme="1"/>
        <rFont val="Symbol"/>
        <family val="1"/>
        <charset val="2"/>
      </rPr>
      <t>r</t>
    </r>
    <r>
      <rPr>
        <vertAlign val="subscript"/>
        <sz val="11"/>
        <color theme="1"/>
        <rFont val="Garamond"/>
        <family val="1"/>
      </rPr>
      <t>P,eff</t>
    </r>
  </si>
  <si>
    <r>
      <t xml:space="preserve">0.6 </t>
    </r>
    <r>
      <rPr>
        <sz val="11"/>
        <color theme="1"/>
        <rFont val="Symbol"/>
        <family val="1"/>
        <charset val="2"/>
      </rPr>
      <t>s</t>
    </r>
    <r>
      <rPr>
        <vertAlign val="subscript"/>
        <sz val="11"/>
        <color theme="1"/>
        <rFont val="Garamond"/>
        <family val="1"/>
      </rPr>
      <t>sc</t>
    </r>
    <r>
      <rPr>
        <sz val="11"/>
        <color theme="1"/>
        <rFont val="Garamond"/>
        <family val="1"/>
      </rPr>
      <t xml:space="preserve"> / Es</t>
    </r>
  </si>
  <si>
    <r>
      <rPr>
        <sz val="11"/>
        <color theme="1"/>
        <rFont val="Symbol"/>
        <family val="1"/>
        <charset val="2"/>
      </rPr>
      <t>s</t>
    </r>
    <r>
      <rPr>
        <vertAlign val="subscript"/>
        <sz val="11"/>
        <color theme="1"/>
        <rFont val="Garamond"/>
        <family val="1"/>
      </rPr>
      <t>sc</t>
    </r>
  </si>
  <si>
    <t>Stress in tension Reinforcement assuming cracked section</t>
  </si>
  <si>
    <r>
      <rPr>
        <sz val="11"/>
        <color theme="1"/>
        <rFont val="Symbol"/>
        <family val="1"/>
        <charset val="2"/>
      </rPr>
      <t>a</t>
    </r>
    <r>
      <rPr>
        <vertAlign val="subscript"/>
        <sz val="11"/>
        <color theme="1"/>
        <rFont val="Garamond"/>
        <family val="1"/>
      </rPr>
      <t>e</t>
    </r>
  </si>
  <si>
    <t>Es/Ecm</t>
  </si>
  <si>
    <t>kt</t>
  </si>
  <si>
    <t>(factor dependent on duration of load)</t>
  </si>
  <si>
    <t>SERVICEABILITY LIMIT STATE :</t>
  </si>
  <si>
    <t>Max permissible Stress in Concrete</t>
  </si>
  <si>
    <t>0.48*fck</t>
  </si>
  <si>
    <t>Quasi permanent Combination</t>
  </si>
  <si>
    <t>0.36*fck</t>
  </si>
  <si>
    <t>Permissible crack width</t>
  </si>
  <si>
    <r>
      <t>f</t>
    </r>
    <r>
      <rPr>
        <vertAlign val="subscript"/>
        <sz val="11"/>
        <color theme="1"/>
        <rFont val="Garamond"/>
        <family val="1"/>
      </rPr>
      <t>eq</t>
    </r>
  </si>
  <si>
    <r>
      <t>5 (c +</t>
    </r>
    <r>
      <rPr>
        <sz val="11"/>
        <color theme="1"/>
        <rFont val="Symbol"/>
        <family val="1"/>
        <charset val="2"/>
      </rPr>
      <t>f</t>
    </r>
    <r>
      <rPr>
        <vertAlign val="subscript"/>
        <sz val="11"/>
        <color theme="1"/>
        <rFont val="Garamond"/>
        <family val="1"/>
      </rPr>
      <t>eq</t>
    </r>
    <r>
      <rPr>
        <sz val="11"/>
        <color theme="1"/>
        <rFont val="Garamond"/>
        <family val="1"/>
      </rPr>
      <t>/2)</t>
    </r>
  </si>
  <si>
    <r>
      <t>h</t>
    </r>
    <r>
      <rPr>
        <vertAlign val="subscript"/>
        <sz val="11"/>
        <color theme="1"/>
        <rFont val="Garamond"/>
        <family val="1"/>
      </rPr>
      <t>c,eff</t>
    </r>
  </si>
  <si>
    <t>*/ (for Quasi Permanent Load combination)</t>
  </si>
  <si>
    <r>
      <t>A</t>
    </r>
    <r>
      <rPr>
        <vertAlign val="subscript"/>
        <sz val="11"/>
        <color theme="1"/>
        <rFont val="Garamond"/>
        <family val="1"/>
      </rPr>
      <t>c,eff</t>
    </r>
  </si>
  <si>
    <r>
      <t>h</t>
    </r>
    <r>
      <rPr>
        <vertAlign val="subscript"/>
        <sz val="11"/>
        <color theme="1"/>
        <rFont val="Garamond"/>
        <family val="1"/>
      </rPr>
      <t>c,eff</t>
    </r>
    <r>
      <rPr>
        <sz val="11"/>
        <color theme="1"/>
        <rFont val="Garamond"/>
        <family val="1"/>
      </rPr>
      <t xml:space="preserve"> *b</t>
    </r>
  </si>
  <si>
    <t>/</t>
  </si>
  <si>
    <t>*/ (for Long term loading)</t>
  </si>
  <si>
    <r>
      <t>3.4c + 0.17</t>
    </r>
    <r>
      <rPr>
        <sz val="11"/>
        <color theme="1"/>
        <rFont val="Symbol"/>
        <family val="1"/>
        <charset val="2"/>
      </rPr>
      <t xml:space="preserve"> f /r</t>
    </r>
    <r>
      <rPr>
        <vertAlign val="subscript"/>
        <sz val="11"/>
        <color theme="1"/>
        <rFont val="Garamond"/>
        <family val="1"/>
      </rPr>
      <t>Peff</t>
    </r>
  </si>
  <si>
    <t>Area of concrete within tensile zone just before the first crack form, section behaves elastically until the tensile fiber stress reaches fctm. hence Neutral axis depth will be considered for gross section</t>
  </si>
  <si>
    <t>At Fixed End, Force about toe</t>
  </si>
  <si>
    <t>Spacing</t>
  </si>
  <si>
    <t>Pu</t>
  </si>
  <si>
    <t>Mu</t>
  </si>
  <si>
    <t>For fck &gt; 65 Mpa</t>
  </si>
  <si>
    <t>For fck &lt;= 65 Mpa</t>
  </si>
  <si>
    <t>xu/D</t>
  </si>
  <si>
    <r>
      <t>N/mm</t>
    </r>
    <r>
      <rPr>
        <vertAlign val="superscript"/>
        <sz val="12"/>
        <rFont val="Garamond"/>
        <family val="1"/>
      </rPr>
      <t>2</t>
    </r>
  </si>
  <si>
    <t>Material Properties:</t>
  </si>
  <si>
    <t>d1</t>
  </si>
  <si>
    <r>
      <t>mm</t>
    </r>
    <r>
      <rPr>
        <vertAlign val="superscript"/>
        <sz val="11"/>
        <color theme="1"/>
        <rFont val="Garamond"/>
        <family val="1"/>
      </rPr>
      <t>2</t>
    </r>
  </si>
  <si>
    <t>Design Concrete compressive strength</t>
  </si>
  <si>
    <t>MATERIAL USED &amp; THERE PROPERTIES :</t>
  </si>
  <si>
    <t>CONCRETE</t>
  </si>
  <si>
    <t>REINFORCING STEEL</t>
  </si>
  <si>
    <t>*fyk</t>
  </si>
  <si>
    <t>n</t>
  </si>
  <si>
    <t>Tm/m</t>
  </si>
  <si>
    <t>Unfactored</t>
  </si>
  <si>
    <t>Load Factor</t>
  </si>
  <si>
    <r>
      <t xml:space="preserve">0.5 bw d </t>
    </r>
    <r>
      <rPr>
        <sz val="11"/>
        <color theme="1"/>
        <rFont val="Symbol"/>
        <family val="1"/>
        <charset val="2"/>
      </rPr>
      <t>n</t>
    </r>
    <r>
      <rPr>
        <sz val="11"/>
        <color theme="1"/>
        <rFont val="Garamond"/>
        <family val="1"/>
      </rPr>
      <t xml:space="preserve"> fcd</t>
    </r>
  </si>
  <si>
    <t>0.6 * ( 1- fck /310)</t>
  </si>
  <si>
    <t>Max Shear Capacity of section</t>
  </si>
  <si>
    <r>
      <t>V</t>
    </r>
    <r>
      <rPr>
        <vertAlign val="subscript"/>
        <sz val="11"/>
        <color theme="1"/>
        <rFont val="Garamond"/>
        <family val="1"/>
      </rPr>
      <t>RDC, max</t>
    </r>
  </si>
  <si>
    <t>Asl</t>
  </si>
  <si>
    <r>
      <t>a</t>
    </r>
    <r>
      <rPr>
        <vertAlign val="subscript"/>
        <sz val="11"/>
        <color theme="1"/>
        <rFont val="Garamond"/>
        <family val="1"/>
      </rPr>
      <t>v</t>
    </r>
  </si>
  <si>
    <r>
      <t xml:space="preserve">Reduction factor </t>
    </r>
    <r>
      <rPr>
        <sz val="11"/>
        <color theme="1"/>
        <rFont val="Symbol"/>
        <family val="1"/>
        <charset val="2"/>
      </rPr>
      <t>b</t>
    </r>
    <r>
      <rPr>
        <sz val="11"/>
        <color theme="1"/>
        <rFont val="Garamond"/>
        <family val="1"/>
      </rPr>
      <t>1</t>
    </r>
  </si>
  <si>
    <r>
      <t>Reduction in Design Shear For Within Zone ( a</t>
    </r>
    <r>
      <rPr>
        <vertAlign val="subscript"/>
        <sz val="11"/>
        <color theme="1"/>
        <rFont val="Garamond"/>
        <family val="1"/>
      </rPr>
      <t>v</t>
    </r>
    <r>
      <rPr>
        <sz val="11"/>
        <color theme="1"/>
        <rFont val="Garamond"/>
        <family val="1"/>
      </rPr>
      <t xml:space="preserve"> = 0.5d to 2d)</t>
    </r>
  </si>
  <si>
    <r>
      <t>Design Shear Force V</t>
    </r>
    <r>
      <rPr>
        <b/>
        <vertAlign val="subscript"/>
        <sz val="11"/>
        <color theme="1"/>
        <rFont val="Garamond"/>
        <family val="1"/>
      </rPr>
      <t>NS</t>
    </r>
    <r>
      <rPr>
        <b/>
        <sz val="11"/>
        <color theme="1"/>
        <rFont val="Garamond"/>
        <family val="1"/>
      </rPr>
      <t>'</t>
    </r>
  </si>
  <si>
    <r>
      <rPr>
        <b/>
        <sz val="11"/>
        <color theme="1"/>
        <rFont val="Symbol"/>
        <family val="1"/>
        <charset val="2"/>
      </rPr>
      <t>b</t>
    </r>
    <r>
      <rPr>
        <b/>
        <sz val="11"/>
        <color theme="1"/>
        <rFont val="Garamond"/>
        <family val="1"/>
      </rPr>
      <t>1 * V</t>
    </r>
    <r>
      <rPr>
        <b/>
        <vertAlign val="subscript"/>
        <sz val="11"/>
        <color theme="1"/>
        <rFont val="Garamond"/>
        <family val="1"/>
      </rPr>
      <t>NS</t>
    </r>
  </si>
  <si>
    <t>Check for Design Shear Reinforcement :</t>
  </si>
  <si>
    <t>*/ fck in Mpa</t>
  </si>
  <si>
    <t>LC_SUM ST</t>
  </si>
  <si>
    <t>Combination -3</t>
  </si>
  <si>
    <t>FOUNDATION DESIGN ULS</t>
  </si>
  <si>
    <t>FOUNDATION DESIGN SLS</t>
  </si>
  <si>
    <t>LC</t>
  </si>
  <si>
    <t>P</t>
  </si>
  <si>
    <t>N</t>
  </si>
  <si>
    <t>Equivalent Modulus of Elasticity for Rare Combination :</t>
  </si>
  <si>
    <r>
      <rPr>
        <sz val="11"/>
        <color theme="1"/>
        <rFont val="Calibri"/>
        <family val="2"/>
      </rPr>
      <t xml:space="preserve">≤  </t>
    </r>
    <r>
      <rPr>
        <sz val="11"/>
        <color theme="1"/>
        <rFont val="Garamond"/>
        <family val="1"/>
      </rPr>
      <t>x</t>
    </r>
    <r>
      <rPr>
        <vertAlign val="subscript"/>
        <sz val="11"/>
        <color theme="1"/>
        <rFont val="Garamond"/>
        <family val="1"/>
      </rPr>
      <t>u,max</t>
    </r>
  </si>
  <si>
    <t>FORCES DUE TO SELFWEIGHT OF SUB_STRUCTURE &amp; FOUNDATION :</t>
  </si>
  <si>
    <t>tm/m</t>
  </si>
  <si>
    <t>Provide</t>
  </si>
  <si>
    <t>Nos</t>
  </si>
  <si>
    <t>Non-Seismic</t>
  </si>
  <si>
    <t>Clear cover</t>
  </si>
  <si>
    <t>dia</t>
  </si>
  <si>
    <t>&lt;</t>
  </si>
  <si>
    <t>K</t>
  </si>
  <si>
    <t>Load factor</t>
  </si>
  <si>
    <t>Summary of Permanent Load (DL+SIDL+SURFACING) seismic Component :</t>
  </si>
  <si>
    <t>Summary of LL seismic component transferred from super-structure :</t>
  </si>
  <si>
    <t>s</t>
  </si>
  <si>
    <r>
      <t>V</t>
    </r>
    <r>
      <rPr>
        <vertAlign val="subscript"/>
        <sz val="11"/>
        <color theme="1"/>
        <rFont val="Garamond"/>
        <family val="1"/>
      </rPr>
      <t>NS</t>
    </r>
  </si>
  <si>
    <t>Minimum shear reinforcement</t>
  </si>
  <si>
    <t>Distribution steel</t>
  </si>
  <si>
    <t>Provide distribution steel as</t>
  </si>
  <si>
    <t>(Refer clause 16.6.1 of IRC :112-2011)</t>
  </si>
  <si>
    <t>of Ast.main</t>
  </si>
  <si>
    <t>Asw</t>
  </si>
  <si>
    <t>GL</t>
  </si>
  <si>
    <t>Pile Cap Top</t>
  </si>
  <si>
    <t>Pile Cap Bottom Level</t>
  </si>
  <si>
    <t>Ground Level</t>
  </si>
  <si>
    <t>Pile Cap Top Level</t>
  </si>
  <si>
    <t>Pile Cap Bottom</t>
  </si>
  <si>
    <t>Calculating Selfweight Pile Cap:</t>
  </si>
  <si>
    <t>Pile Cap</t>
  </si>
  <si>
    <t>Total Sub-structure + Pile Cap</t>
  </si>
  <si>
    <t>Calculating Weight of Earthfill</t>
  </si>
  <si>
    <t>Total Weight of Earthfill</t>
  </si>
  <si>
    <t>B2</t>
  </si>
  <si>
    <t xml:space="preserve">Bearing </t>
  </si>
  <si>
    <t>Reaction</t>
  </si>
  <si>
    <t>Girder Overhang from brg.</t>
  </si>
  <si>
    <t>Dead Load Reaction Forom super-structure</t>
  </si>
  <si>
    <t>Thickness of Deck</t>
  </si>
  <si>
    <t>Thickness of Cross diaphgram</t>
  </si>
  <si>
    <t>End Diaphragm</t>
  </si>
  <si>
    <t>Intemediate</t>
  </si>
  <si>
    <r>
      <t>Moment  M</t>
    </r>
    <r>
      <rPr>
        <b/>
        <vertAlign val="subscript"/>
        <sz val="11"/>
        <color theme="1"/>
        <rFont val="Garamond"/>
        <family val="1"/>
      </rPr>
      <t>X'X'</t>
    </r>
  </si>
  <si>
    <r>
      <t>Moment  M</t>
    </r>
    <r>
      <rPr>
        <b/>
        <vertAlign val="subscript"/>
        <sz val="11"/>
        <color theme="1"/>
        <rFont val="Garamond"/>
        <family val="1"/>
      </rPr>
      <t>Z'Z'</t>
    </r>
  </si>
  <si>
    <t>SIDL REACTION FOROM SUPER-STRUCTURE :</t>
  </si>
  <si>
    <t>Cg of above Deck Top</t>
  </si>
  <si>
    <t>Cg above Deck Top</t>
  </si>
  <si>
    <t>Cg above FRL</t>
  </si>
  <si>
    <t>Cg. From pile cap bottom</t>
  </si>
  <si>
    <t>Distance From Pile cap bottom to bearing top</t>
  </si>
  <si>
    <t>Forces @ Pile cap bottom &amp; Their Lever arm from pile cap bottom</t>
  </si>
  <si>
    <t>Reaction due to DL, SIDL &amp; Surfacing @ Pile cap bottom</t>
  </si>
  <si>
    <t>Live load Reaction &amp; Their Lever arm from Pile cap bottom</t>
  </si>
  <si>
    <r>
      <t>Seismic Component H</t>
    </r>
    <r>
      <rPr>
        <vertAlign val="subscript"/>
        <sz val="11"/>
        <rFont val="Garamond"/>
        <family val="1"/>
      </rPr>
      <t>L</t>
    </r>
  </si>
  <si>
    <r>
      <t>Seismic Component H</t>
    </r>
    <r>
      <rPr>
        <vertAlign val="subscript"/>
        <sz val="11"/>
        <rFont val="Garamond"/>
        <family val="1"/>
      </rPr>
      <t>T</t>
    </r>
  </si>
  <si>
    <t>Lever arm from cg of pile cap (along X'X' axis)</t>
  </si>
  <si>
    <t>Lever arm about c/L base (along Z'-Z' axis)</t>
  </si>
  <si>
    <t>Lever arm from cg of pile cap (along LL axis)</t>
  </si>
  <si>
    <t>Lever arm about c/L base (along TT axis)</t>
  </si>
  <si>
    <t>Cg. Form c/L of pile group ( along T-T axis)</t>
  </si>
  <si>
    <t>Cg. From cg of pile group</t>
  </si>
  <si>
    <t>Cg. from c/L of pile group (along L-L axis)</t>
  </si>
  <si>
    <t>Forces @ L-T axis at c/L Pile Cap bottom</t>
  </si>
  <si>
    <t>Vertical Load (LL Reaction)</t>
  </si>
  <si>
    <t>Lever arm along LL axis</t>
  </si>
  <si>
    <t>Lever arm along TT axis</t>
  </si>
  <si>
    <r>
      <t>Moment about TT axis M</t>
    </r>
    <r>
      <rPr>
        <vertAlign val="subscript"/>
        <sz val="11"/>
        <rFont val="Garamond"/>
        <family val="1"/>
      </rPr>
      <t>TT</t>
    </r>
  </si>
  <si>
    <t>* 20% of braking force is considered</t>
  </si>
  <si>
    <t>Lever arm from bottom of pile cap</t>
  </si>
  <si>
    <t>LC-19</t>
  </si>
  <si>
    <t>LC-20</t>
  </si>
  <si>
    <r>
      <rPr>
        <sz val="11"/>
        <color theme="1"/>
        <rFont val="Symbol"/>
        <family val="1"/>
        <charset val="2"/>
      </rPr>
      <t>S</t>
    </r>
    <r>
      <rPr>
        <sz val="11"/>
        <color theme="1"/>
        <rFont val="Garamond"/>
        <family val="1"/>
      </rPr>
      <t>L</t>
    </r>
    <r>
      <rPr>
        <vertAlign val="superscript"/>
        <sz val="11"/>
        <color theme="1"/>
        <rFont val="Garamond"/>
        <family val="1"/>
      </rPr>
      <t>2</t>
    </r>
  </si>
  <si>
    <r>
      <rPr>
        <sz val="11"/>
        <color theme="1"/>
        <rFont val="Symbol"/>
        <family val="1"/>
        <charset val="2"/>
      </rPr>
      <t>S</t>
    </r>
    <r>
      <rPr>
        <sz val="11"/>
        <color theme="1"/>
        <rFont val="Garamond"/>
        <family val="1"/>
      </rPr>
      <t>T</t>
    </r>
    <r>
      <rPr>
        <vertAlign val="superscript"/>
        <sz val="11"/>
        <color theme="1"/>
        <rFont val="Garamond"/>
        <family val="1"/>
      </rPr>
      <t>2</t>
    </r>
  </si>
  <si>
    <r>
      <t>I</t>
    </r>
    <r>
      <rPr>
        <vertAlign val="subscript"/>
        <sz val="11"/>
        <color theme="1"/>
        <rFont val="Garamond"/>
        <family val="1"/>
      </rPr>
      <t>TT</t>
    </r>
    <r>
      <rPr>
        <sz val="11"/>
        <color theme="1"/>
        <rFont val="Garamond"/>
        <family val="1"/>
      </rPr>
      <t>=</t>
    </r>
  </si>
  <si>
    <r>
      <t>I</t>
    </r>
    <r>
      <rPr>
        <vertAlign val="subscript"/>
        <sz val="11"/>
        <color theme="1"/>
        <rFont val="Garamond"/>
        <family val="1"/>
      </rPr>
      <t>LL</t>
    </r>
    <r>
      <rPr>
        <sz val="11"/>
        <color theme="1"/>
        <rFont val="Garamond"/>
        <family val="1"/>
      </rPr>
      <t>=</t>
    </r>
  </si>
  <si>
    <t>Forces @ cg. Of pile cap bottom</t>
  </si>
  <si>
    <t>Pile Reaction over Pile No.</t>
  </si>
  <si>
    <t>FINDING OUT MAXIMUM &amp; MINIMUM REACTION OVER PILE :</t>
  </si>
  <si>
    <t>Maximum Reaction Over Pile</t>
  </si>
  <si>
    <t>Minimum Reaction Over Pile</t>
  </si>
  <si>
    <t>Resultant horizontal force</t>
  </si>
  <si>
    <t>Maximum Horizontal Force/ Pile</t>
  </si>
  <si>
    <t xml:space="preserve">For Design of Foundations Seismic Forces are increased by </t>
  </si>
  <si>
    <t>LC-21</t>
  </si>
  <si>
    <t>LC-22</t>
  </si>
  <si>
    <t>LC-24</t>
  </si>
  <si>
    <t>MAXIMUM &amp; MINIMUM REACTION OVER PILE</t>
  </si>
  <si>
    <t>Maximum Reaction</t>
  </si>
  <si>
    <t>Pile Nos.</t>
  </si>
  <si>
    <t>Lever arm from face of Pier shaft</t>
  </si>
  <si>
    <t>Pile Dia</t>
  </si>
  <si>
    <t>Effective portion of Pile</t>
  </si>
  <si>
    <t>Distance from c/Lpile to face of Pier shaft</t>
  </si>
  <si>
    <t>Dia of Pile</t>
  </si>
  <si>
    <t>Effective force from Pile</t>
  </si>
  <si>
    <t>Dowanward moment due to selfweight of pile cap &amp; earth fill</t>
  </si>
  <si>
    <t>Weight of pile cap</t>
  </si>
  <si>
    <t>Depth of pile cap</t>
  </si>
  <si>
    <t>Factored weight of pile cap</t>
  </si>
  <si>
    <t>Earth fill over pile cap</t>
  </si>
  <si>
    <t>Density of soil</t>
  </si>
  <si>
    <t>Weight of soil over pile cap</t>
  </si>
  <si>
    <t>Moment at the face of Pier shaft/m</t>
  </si>
  <si>
    <t>Dowanward moment</t>
  </si>
  <si>
    <t>Total factored downward BM</t>
  </si>
  <si>
    <t>Net Factored Design BM</t>
  </si>
  <si>
    <t>Design BM</t>
  </si>
  <si>
    <t>CALCULATING DESIGN SHEAR FORCE AT deff FROM FACE OF PIER SHAFT :</t>
  </si>
  <si>
    <t>Effective force from Pile / m</t>
  </si>
  <si>
    <t>Downward Force</t>
  </si>
  <si>
    <t>Lever arm from face of pier shaft</t>
  </si>
  <si>
    <t>Total factored downward Shear Force</t>
  </si>
  <si>
    <t>Net Factored Design SF</t>
  </si>
  <si>
    <t>Design SF</t>
  </si>
  <si>
    <t>CALCULATING DESIGN BM &amp; SF AT THE FACE OF PIER SHAFT :</t>
  </si>
  <si>
    <t>Pile cap deff</t>
  </si>
  <si>
    <t>Distance from c/L pile to deff section</t>
  </si>
  <si>
    <r>
      <t>Factored weight of pile cap /m</t>
    </r>
    <r>
      <rPr>
        <vertAlign val="superscript"/>
        <sz val="11"/>
        <color theme="1"/>
        <rFont val="Garamond"/>
        <family val="1"/>
      </rPr>
      <t>2</t>
    </r>
  </si>
  <si>
    <t>Downward Shear Force</t>
  </si>
  <si>
    <t>Total factored downward SF</t>
  </si>
  <si>
    <t>Effective SF force from Pile / m</t>
  </si>
  <si>
    <t>DESIGN OF PILE CAP :</t>
  </si>
  <si>
    <r>
      <t>0.5 sin-1 ( 2 V</t>
    </r>
    <r>
      <rPr>
        <vertAlign val="subscript"/>
        <sz val="11"/>
        <color theme="1"/>
        <rFont val="Garamond"/>
        <family val="1"/>
      </rPr>
      <t>NS</t>
    </r>
    <r>
      <rPr>
        <sz val="11"/>
        <color theme="1"/>
        <rFont val="Garamond"/>
        <family val="1"/>
      </rPr>
      <t xml:space="preserve"> / </t>
    </r>
    <r>
      <rPr>
        <sz val="11"/>
        <color theme="1"/>
        <rFont val="Symbol"/>
        <family val="1"/>
        <charset val="2"/>
      </rPr>
      <t>a</t>
    </r>
    <r>
      <rPr>
        <vertAlign val="subscript"/>
        <sz val="11"/>
        <color theme="1"/>
        <rFont val="Garamond"/>
        <family val="1"/>
      </rPr>
      <t>cw</t>
    </r>
    <r>
      <rPr>
        <sz val="11"/>
        <color theme="1"/>
        <rFont val="Garamond"/>
        <family val="1"/>
      </rPr>
      <t xml:space="preserve"> b</t>
    </r>
    <r>
      <rPr>
        <vertAlign val="subscript"/>
        <sz val="11"/>
        <color theme="1"/>
        <rFont val="Garamond"/>
        <family val="1"/>
      </rPr>
      <t>w</t>
    </r>
    <r>
      <rPr>
        <sz val="11"/>
        <color theme="1"/>
        <rFont val="Garamond"/>
        <family val="1"/>
      </rPr>
      <t xml:space="preserve"> z </t>
    </r>
    <r>
      <rPr>
        <sz val="11"/>
        <color theme="1"/>
        <rFont val="Symbol"/>
        <family val="1"/>
        <charset val="2"/>
      </rPr>
      <t>n</t>
    </r>
    <r>
      <rPr>
        <vertAlign val="subscript"/>
        <sz val="11"/>
        <color theme="1"/>
        <rFont val="Garamond"/>
        <family val="1"/>
      </rPr>
      <t>1</t>
    </r>
    <r>
      <rPr>
        <sz val="11"/>
        <color theme="1"/>
        <rFont val="Garamond"/>
        <family val="1"/>
      </rPr>
      <t xml:space="preserve"> f</t>
    </r>
    <r>
      <rPr>
        <vertAlign val="subscript"/>
        <sz val="11"/>
        <color theme="1"/>
        <rFont val="Garamond"/>
        <family val="1"/>
      </rPr>
      <t>cd</t>
    </r>
    <r>
      <rPr>
        <sz val="11"/>
        <color theme="1"/>
        <rFont val="Garamond"/>
        <family val="1"/>
      </rPr>
      <t>)</t>
    </r>
  </si>
  <si>
    <r>
      <rPr>
        <sz val="11"/>
        <color theme="1"/>
        <rFont val="Symbol"/>
        <family val="1"/>
        <charset val="2"/>
      </rPr>
      <t>a</t>
    </r>
    <r>
      <rPr>
        <vertAlign val="subscript"/>
        <sz val="11"/>
        <color theme="1"/>
        <rFont val="Garamond"/>
        <family val="1"/>
      </rPr>
      <t>cw</t>
    </r>
    <r>
      <rPr>
        <sz val="11"/>
        <color theme="1"/>
        <rFont val="Garamond"/>
        <family val="1"/>
      </rPr>
      <t/>
    </r>
  </si>
  <si>
    <r>
      <rPr>
        <sz val="11"/>
        <color theme="1"/>
        <rFont val="Symbol"/>
        <family val="1"/>
        <charset val="2"/>
      </rPr>
      <t>n</t>
    </r>
    <r>
      <rPr>
        <sz val="11"/>
        <color theme="1"/>
        <rFont val="Garamond"/>
        <family val="1"/>
      </rPr>
      <t>1</t>
    </r>
  </si>
  <si>
    <t>0.9*d</t>
  </si>
  <si>
    <r>
      <t>q</t>
    </r>
    <r>
      <rPr>
        <sz val="11"/>
        <color rgb="FFC00000"/>
        <rFont val="Garamond"/>
        <family val="1"/>
      </rPr>
      <t xml:space="preserve"> adopted</t>
    </r>
  </si>
  <si>
    <r>
      <t>V</t>
    </r>
    <r>
      <rPr>
        <vertAlign val="subscript"/>
        <sz val="11"/>
        <color theme="1"/>
        <rFont val="Garamond"/>
        <family val="1"/>
      </rPr>
      <t>Rds</t>
    </r>
  </si>
  <si>
    <r>
      <t>(Asw/s) *z *fywd *cot</t>
    </r>
    <r>
      <rPr>
        <sz val="11"/>
        <color theme="1"/>
        <rFont val="Symbol"/>
        <family val="1"/>
        <charset val="2"/>
      </rPr>
      <t>q</t>
    </r>
  </si>
  <si>
    <r>
      <t xml:space="preserve">FINDING VALUE OF </t>
    </r>
    <r>
      <rPr>
        <i/>
        <sz val="11"/>
        <color theme="1"/>
        <rFont val="Symbol"/>
        <family val="1"/>
        <charset val="2"/>
      </rPr>
      <t xml:space="preserve">q </t>
    </r>
    <r>
      <rPr>
        <i/>
        <sz val="11"/>
        <color theme="1"/>
        <rFont val="Garamond"/>
        <family val="1"/>
      </rPr>
      <t>AT DESIGN SECTIONS FOR DESIGN SHEAR REINFORCEMENT</t>
    </r>
  </si>
  <si>
    <r>
      <t>V</t>
    </r>
    <r>
      <rPr>
        <vertAlign val="subscript"/>
        <sz val="11"/>
        <color theme="1"/>
        <rFont val="Garamond"/>
        <family val="1"/>
      </rPr>
      <t>Rdmax</t>
    </r>
  </si>
  <si>
    <t>FINDING DESIGN SHEAR REINFORCEMENT REQUIREMENT</t>
  </si>
  <si>
    <t>( IRC 112 / clause 10.3.3.2 Eq 10.7 )</t>
  </si>
  <si>
    <t>( IRC 112 / clause 10.3.3.5 Eq 10.20 )</t>
  </si>
  <si>
    <r>
      <t>A</t>
    </r>
    <r>
      <rPr>
        <vertAlign val="subscript"/>
        <sz val="11"/>
        <color theme="1"/>
        <rFont val="Garamond"/>
        <family val="1"/>
      </rPr>
      <t>sw, min</t>
    </r>
  </si>
  <si>
    <r>
      <rPr>
        <sz val="11"/>
        <color theme="1"/>
        <rFont val="Symbol"/>
        <family val="1"/>
        <charset val="2"/>
      </rPr>
      <t>r</t>
    </r>
    <r>
      <rPr>
        <vertAlign val="subscript"/>
        <sz val="11"/>
        <color theme="1"/>
        <rFont val="Garamond"/>
        <family val="1"/>
      </rPr>
      <t>w,min</t>
    </r>
    <r>
      <rPr>
        <sz val="11"/>
        <color theme="1"/>
        <rFont val="Garamond"/>
        <family val="1"/>
      </rPr>
      <t xml:space="preserve"> * s * bw</t>
    </r>
  </si>
  <si>
    <r>
      <rPr>
        <sz val="11"/>
        <color theme="1"/>
        <rFont val="Symbol"/>
        <family val="1"/>
        <charset val="2"/>
      </rPr>
      <t>r</t>
    </r>
    <r>
      <rPr>
        <vertAlign val="subscript"/>
        <sz val="11"/>
        <color theme="1"/>
        <rFont val="Garamond"/>
        <family val="1"/>
      </rPr>
      <t>w, min</t>
    </r>
  </si>
  <si>
    <r>
      <t xml:space="preserve">( 0.072 </t>
    </r>
    <r>
      <rPr>
        <sz val="11"/>
        <color theme="1"/>
        <rFont val="Calibri"/>
        <family val="2"/>
      </rPr>
      <t>√</t>
    </r>
    <r>
      <rPr>
        <sz val="11"/>
        <color theme="1"/>
        <rFont val="Garamond"/>
        <family val="1"/>
      </rPr>
      <t xml:space="preserve"> fck ) / fyk</t>
    </r>
  </si>
  <si>
    <t>legged stp. /m @</t>
  </si>
  <si>
    <t>Þ</t>
  </si>
  <si>
    <r>
      <t>V</t>
    </r>
    <r>
      <rPr>
        <vertAlign val="subscript"/>
        <sz val="11"/>
        <color theme="1"/>
        <rFont val="Garamond"/>
        <family val="1"/>
      </rPr>
      <t>NS</t>
    </r>
    <r>
      <rPr>
        <sz val="11"/>
        <color theme="1"/>
        <rFont val="Garamond"/>
        <family val="1"/>
      </rPr>
      <t xml:space="preserve"> * s / z fywd cot</t>
    </r>
    <r>
      <rPr>
        <sz val="11"/>
        <color theme="1"/>
        <rFont val="Symbol"/>
        <family val="1"/>
        <charset val="2"/>
      </rPr>
      <t>q</t>
    </r>
  </si>
  <si>
    <t>fywd</t>
  </si>
  <si>
    <r>
      <t>0.8 fyk /</t>
    </r>
    <r>
      <rPr>
        <sz val="11"/>
        <color theme="1"/>
        <rFont val="Symbol"/>
        <family val="1"/>
        <charset val="2"/>
      </rPr>
      <t>g</t>
    </r>
    <r>
      <rPr>
        <sz val="11"/>
        <color theme="1"/>
        <rFont val="Garamond"/>
        <family val="1"/>
      </rPr>
      <t>s</t>
    </r>
  </si>
  <si>
    <t>FORCES @ PILE CAP BOTTOM</t>
  </si>
  <si>
    <t>PILE CAPACITY</t>
  </si>
  <si>
    <t>CHECKING MAX PILE CAPACITY  :</t>
  </si>
  <si>
    <t>Pile capacity</t>
  </si>
  <si>
    <t>*/(Non-Seismic case)</t>
  </si>
  <si>
    <t>*/(Seismic Case)</t>
  </si>
  <si>
    <t>Dia of bar</t>
  </si>
  <si>
    <t>Nos. of Bars</t>
  </si>
  <si>
    <t>% steel provided</t>
  </si>
  <si>
    <t>Minimum % steel</t>
  </si>
  <si>
    <t>Reinf Circular dia</t>
  </si>
  <si>
    <t>Effective cover</t>
  </si>
  <si>
    <t>Calculating Depth of Fixity :</t>
  </si>
  <si>
    <t>Q</t>
  </si>
  <si>
    <r>
      <t>kg/cm</t>
    </r>
    <r>
      <rPr>
        <vertAlign val="superscript"/>
        <sz val="11"/>
        <rFont val="Garamond"/>
        <family val="1"/>
      </rPr>
      <t>2</t>
    </r>
  </si>
  <si>
    <r>
      <t>L</t>
    </r>
    <r>
      <rPr>
        <vertAlign val="subscript"/>
        <sz val="11"/>
        <rFont val="Garamond"/>
        <family val="1"/>
      </rPr>
      <t>1</t>
    </r>
  </si>
  <si>
    <r>
      <t>cm</t>
    </r>
    <r>
      <rPr>
        <vertAlign val="superscript"/>
        <sz val="11"/>
        <rFont val="Garamond"/>
        <family val="1"/>
      </rPr>
      <t>4</t>
    </r>
  </si>
  <si>
    <r>
      <t>kg/cm</t>
    </r>
    <r>
      <rPr>
        <vertAlign val="superscript"/>
        <sz val="11"/>
        <rFont val="Garamond"/>
        <family val="1"/>
      </rPr>
      <t>3</t>
    </r>
  </si>
  <si>
    <r>
      <t>L</t>
    </r>
    <r>
      <rPr>
        <vertAlign val="subscript"/>
        <sz val="11"/>
        <rFont val="Garamond"/>
        <family val="1"/>
      </rPr>
      <t>f</t>
    </r>
  </si>
  <si>
    <r>
      <t>L</t>
    </r>
    <r>
      <rPr>
        <vertAlign val="subscript"/>
        <sz val="11"/>
        <rFont val="Garamond"/>
        <family val="1"/>
      </rPr>
      <t>e</t>
    </r>
  </si>
  <si>
    <r>
      <t>Free Length of Pile  , L</t>
    </r>
    <r>
      <rPr>
        <vertAlign val="subscript"/>
        <sz val="11"/>
        <rFont val="Garamond"/>
        <family val="1"/>
      </rPr>
      <t>1</t>
    </r>
  </si>
  <si>
    <t>Total Length of Pile</t>
  </si>
  <si>
    <r>
      <t>Embedded length of pile , L</t>
    </r>
    <r>
      <rPr>
        <vertAlign val="subscript"/>
        <sz val="11"/>
        <rFont val="Garamond"/>
        <family val="1"/>
      </rPr>
      <t>e</t>
    </r>
  </si>
  <si>
    <r>
      <t>Depth of fixity, L</t>
    </r>
    <r>
      <rPr>
        <vertAlign val="subscript"/>
        <sz val="11"/>
        <rFont val="Garamond"/>
        <family val="1"/>
      </rPr>
      <t>f</t>
    </r>
  </si>
  <si>
    <t>cm</t>
  </si>
  <si>
    <r>
      <t>L</t>
    </r>
    <r>
      <rPr>
        <vertAlign val="subscript"/>
        <sz val="11"/>
        <rFont val="Garamond"/>
        <family val="1"/>
      </rPr>
      <t>1</t>
    </r>
    <r>
      <rPr>
        <sz val="11"/>
        <rFont val="Garamond"/>
        <family val="1"/>
      </rPr>
      <t xml:space="preserve"> + L</t>
    </r>
    <r>
      <rPr>
        <vertAlign val="subscript"/>
        <sz val="11"/>
        <rFont val="Garamond"/>
        <family val="1"/>
      </rPr>
      <t>f</t>
    </r>
  </si>
  <si>
    <t>Horizontal force acting on each pile</t>
  </si>
  <si>
    <t xml:space="preserve">Q   </t>
  </si>
  <si>
    <t>L1/T</t>
  </si>
  <si>
    <t>Moment Reduction Factor</t>
  </si>
  <si>
    <t>Pile Head deflection</t>
  </si>
  <si>
    <r>
      <t>Q *(L1 +Lf)</t>
    </r>
    <r>
      <rPr>
        <vertAlign val="superscript"/>
        <sz val="11"/>
        <color theme="1"/>
        <rFont val="Garamond"/>
        <family val="1"/>
      </rPr>
      <t>3</t>
    </r>
    <r>
      <rPr>
        <sz val="11"/>
        <color theme="1"/>
        <rFont val="Garamond"/>
        <family val="1"/>
      </rPr>
      <t>/ 12 EI</t>
    </r>
  </si>
  <si>
    <t>L1/R</t>
  </si>
  <si>
    <t>Permissible pile head deflection</t>
  </si>
  <si>
    <t>Moment reduction factor</t>
  </si>
  <si>
    <t>Area of steel provided</t>
  </si>
  <si>
    <t>Pile Founding Level</t>
  </si>
  <si>
    <t>Length of pile below pile cap bottom</t>
  </si>
  <si>
    <t>ULS Forces at Pile Top Level :</t>
  </si>
  <si>
    <t>Forces @ Pile cap Bootom</t>
  </si>
  <si>
    <t>Summery of Forces at Pile Cap Bottom</t>
  </si>
  <si>
    <t>Pile Reaction</t>
  </si>
  <si>
    <t>Vertical Load</t>
  </si>
  <si>
    <t>Horizontal</t>
  </si>
  <si>
    <t>ULS , SUMMERY OF FORCES AT PILE CAP BOTTOM</t>
  </si>
  <si>
    <t>ULS, FINDING DESIGN FORCES FOR PILE CAP</t>
  </si>
  <si>
    <t>ULS, Maximum &amp; Minimum Reactions over Pile</t>
  </si>
  <si>
    <t>M = Q (L1 + Lf)/2*m</t>
  </si>
  <si>
    <r>
      <t>Moment M</t>
    </r>
    <r>
      <rPr>
        <vertAlign val="subscript"/>
        <sz val="11"/>
        <rFont val="Garamond"/>
        <family val="1"/>
      </rPr>
      <t>ED</t>
    </r>
  </si>
  <si>
    <r>
      <t>Moment M</t>
    </r>
    <r>
      <rPr>
        <vertAlign val="subscript"/>
        <sz val="11"/>
        <rFont val="Garamond"/>
        <family val="1"/>
      </rPr>
      <t>RD</t>
    </r>
  </si>
  <si>
    <t>From Intraction Curve</t>
  </si>
  <si>
    <t>Pile Diamenter</t>
  </si>
  <si>
    <t>CHECK FOR HORIZONTAL CAPACITY OF PILE</t>
  </si>
  <si>
    <r>
      <t>Check  ( M</t>
    </r>
    <r>
      <rPr>
        <vertAlign val="subscript"/>
        <sz val="11"/>
        <color theme="1"/>
        <rFont val="Garamond"/>
        <family val="1"/>
      </rPr>
      <t>ED</t>
    </r>
    <r>
      <rPr>
        <sz val="11"/>
        <color theme="1"/>
        <rFont val="Garamond"/>
        <family val="1"/>
      </rPr>
      <t>&lt; M</t>
    </r>
    <r>
      <rPr>
        <vertAlign val="subscript"/>
        <sz val="11"/>
        <color theme="1"/>
        <rFont val="Garamond"/>
        <family val="1"/>
      </rPr>
      <t>RD</t>
    </r>
    <r>
      <rPr>
        <sz val="11"/>
        <color theme="1"/>
        <rFont val="Garamond"/>
        <family val="1"/>
      </rPr>
      <t>)</t>
    </r>
  </si>
  <si>
    <t>ULS, CHECK FOR PILE MOMENT CAPACITY :</t>
  </si>
  <si>
    <t>Pile Dia  D</t>
  </si>
  <si>
    <r>
      <t>Max N</t>
    </r>
    <r>
      <rPr>
        <vertAlign val="subscript"/>
        <sz val="11"/>
        <color indexed="8"/>
        <rFont val="Garamond"/>
        <family val="1"/>
      </rPr>
      <t>ED</t>
    </r>
  </si>
  <si>
    <r>
      <t>Min N</t>
    </r>
    <r>
      <rPr>
        <vertAlign val="subscript"/>
        <sz val="11"/>
        <color indexed="8"/>
        <rFont val="Garamond"/>
        <family val="1"/>
      </rPr>
      <t>ED</t>
    </r>
  </si>
  <si>
    <t>Section Dimenssion and Forces</t>
  </si>
  <si>
    <t>Mres</t>
  </si>
  <si>
    <r>
      <t>s</t>
    </r>
    <r>
      <rPr>
        <sz val="11"/>
        <color theme="1"/>
        <rFont val="Garamond"/>
        <family val="1"/>
      </rPr>
      <t>con</t>
    </r>
  </si>
  <si>
    <r>
      <t>s</t>
    </r>
    <r>
      <rPr>
        <sz val="11"/>
        <color theme="1"/>
        <rFont val="Garamond"/>
        <family val="1"/>
      </rPr>
      <t>steel</t>
    </r>
  </si>
  <si>
    <t>Outer dia of Column</t>
  </si>
  <si>
    <t>Axial Trust</t>
  </si>
  <si>
    <t>Resultant Moment</t>
  </si>
  <si>
    <t>t*m</t>
  </si>
  <si>
    <t>Modular Ratio m</t>
  </si>
  <si>
    <t>Reinforcement Detail</t>
  </si>
  <si>
    <t>Layer 1</t>
  </si>
  <si>
    <t>Circle Dia</t>
  </si>
  <si>
    <t>Dia of Bar</t>
  </si>
  <si>
    <t>No of bars</t>
  </si>
  <si>
    <t>Readjusted Spacing</t>
  </si>
  <si>
    <r>
      <t>Area of Steel per m A</t>
    </r>
    <r>
      <rPr>
        <vertAlign val="subscript"/>
        <sz val="11"/>
        <rFont val="Garamond"/>
        <family val="1"/>
      </rPr>
      <t>st/m</t>
    </r>
  </si>
  <si>
    <t>mm^2/m</t>
  </si>
  <si>
    <t>Distance of neutral axis from bottom fiber of concrete d1</t>
  </si>
  <si>
    <t xml:space="preserve">Concrete Effective Area properties </t>
  </si>
  <si>
    <t>About Prioncipal axis</t>
  </si>
  <si>
    <t>Outer Dia</t>
  </si>
  <si>
    <r>
      <t>Cos</t>
    </r>
    <r>
      <rPr>
        <vertAlign val="superscript"/>
        <sz val="11"/>
        <rFont val="Garamond"/>
        <family val="1"/>
      </rPr>
      <t>-1</t>
    </r>
    <r>
      <rPr>
        <sz val="11"/>
        <rFont val="Garamond"/>
        <family val="1"/>
      </rPr>
      <t>(d1/r)</t>
    </r>
  </si>
  <si>
    <t>Aeff</t>
  </si>
  <si>
    <t>cgy</t>
  </si>
  <si>
    <t>Ix</t>
  </si>
  <si>
    <t>m^4</t>
  </si>
  <si>
    <t>Transformed propertise</t>
  </si>
  <si>
    <t>Properties of Reinforcement</t>
  </si>
  <si>
    <t>Reinforcement in compression</t>
  </si>
  <si>
    <t>radian</t>
  </si>
  <si>
    <t>Asc</t>
  </si>
  <si>
    <r>
      <t>2*r*a*A</t>
    </r>
    <r>
      <rPr>
        <vertAlign val="subscript"/>
        <sz val="11"/>
        <rFont val="Garamond"/>
        <family val="1"/>
      </rPr>
      <t>st/m</t>
    </r>
  </si>
  <si>
    <t>cgyc</t>
  </si>
  <si>
    <t>r*sin(a)/a</t>
  </si>
  <si>
    <t>Ixc</t>
  </si>
  <si>
    <r>
      <t>A</t>
    </r>
    <r>
      <rPr>
        <vertAlign val="subscript"/>
        <sz val="11"/>
        <rFont val="Garamond"/>
        <family val="1"/>
      </rPr>
      <t>st/m</t>
    </r>
    <r>
      <rPr>
        <sz val="11"/>
        <rFont val="Garamond"/>
        <family val="1"/>
      </rPr>
      <t>* r</t>
    </r>
    <r>
      <rPr>
        <vertAlign val="superscript"/>
        <sz val="11"/>
        <rFont val="Garamond"/>
        <family val="1"/>
      </rPr>
      <t xml:space="preserve">3 </t>
    </r>
    <r>
      <rPr>
        <sz val="11"/>
        <rFont val="Garamond"/>
        <family val="1"/>
      </rPr>
      <t>* ( cos(a )*sin(a) + a )</t>
    </r>
  </si>
  <si>
    <t>Reinforcement in tension</t>
  </si>
  <si>
    <t>As-Asc</t>
  </si>
  <si>
    <t>Cgyt</t>
  </si>
  <si>
    <t xml:space="preserve"> - Asc*Cgyc/Ast</t>
  </si>
  <si>
    <t>Ixt</t>
  </si>
  <si>
    <t>Ix - Ixc</t>
  </si>
  <si>
    <t>Combined Properise of Effective Concrete + Steel compression and tension</t>
  </si>
  <si>
    <t>About Principal axis</t>
  </si>
  <si>
    <t>centrodial axis</t>
  </si>
  <si>
    <t>Cgy</t>
  </si>
  <si>
    <t>=e1x</t>
  </si>
  <si>
    <t>Ixeff</t>
  </si>
  <si>
    <t>M/P  =</t>
  </si>
  <si>
    <t>M</t>
  </si>
  <si>
    <t>N*m</t>
  </si>
  <si>
    <t>recalculation of position of neutral axis.</t>
  </si>
  <si>
    <t>Stress at neutral axis must be zero</t>
  </si>
  <si>
    <t>Stres at point y</t>
  </si>
  <si>
    <t>N/mm^2</t>
  </si>
  <si>
    <t>Results</t>
  </si>
  <si>
    <t>Maximum compressive stress</t>
  </si>
  <si>
    <t>N/m^2</t>
  </si>
  <si>
    <t>Maximum tensile stress</t>
  </si>
  <si>
    <t>SLS, REACTIONS OVER PILE</t>
  </si>
  <si>
    <t>SLS, FINDING REACTIONS OVER PILE</t>
  </si>
  <si>
    <t>CALCULATING DESIGN BM &amp; SF AT THE FACE OF PIER SHAFT : (Quasi Permanent Load Case)</t>
  </si>
  <si>
    <t>CALCULATING DESIGN BM &amp; SF AT THE FACE OF PIER SHAFT:  (Rare Case)</t>
  </si>
  <si>
    <r>
      <rPr>
        <sz val="11"/>
        <color theme="1"/>
        <rFont val="Symbol"/>
        <family val="1"/>
        <charset val="2"/>
      </rPr>
      <t>s</t>
    </r>
    <r>
      <rPr>
        <vertAlign val="subscript"/>
        <sz val="11"/>
        <color theme="1"/>
        <rFont val="Garamond"/>
        <family val="1"/>
      </rPr>
      <t>c</t>
    </r>
  </si>
  <si>
    <r>
      <rPr>
        <sz val="11"/>
        <color theme="1"/>
        <rFont val="Symbol"/>
        <family val="1"/>
        <charset val="2"/>
      </rPr>
      <t>s</t>
    </r>
    <r>
      <rPr>
        <vertAlign val="subscript"/>
        <sz val="11"/>
        <color theme="1"/>
        <rFont val="Garamond"/>
        <family val="1"/>
      </rPr>
      <t>st</t>
    </r>
  </si>
  <si>
    <t>Stresses in Concrete &amp; Steel</t>
  </si>
  <si>
    <r>
      <t>H</t>
    </r>
    <r>
      <rPr>
        <vertAlign val="subscript"/>
        <sz val="10"/>
        <color theme="1"/>
        <rFont val="Garamond"/>
        <family val="1"/>
      </rPr>
      <t>resultant</t>
    </r>
  </si>
  <si>
    <t>SLS, STRESS CHECK FOR PILE :</t>
  </si>
  <si>
    <t>SLS, FORCES AT PILE TOP</t>
  </si>
  <si>
    <t>Forces at Pile Top</t>
  </si>
  <si>
    <t>Moment reduction factor m</t>
  </si>
  <si>
    <t xml:space="preserve">Permissible steel stresses </t>
  </si>
  <si>
    <r>
      <t>s</t>
    </r>
    <r>
      <rPr>
        <vertAlign val="subscript"/>
        <sz val="11"/>
        <rFont val="Symbol"/>
        <family val="1"/>
        <charset val="2"/>
      </rPr>
      <t>NA</t>
    </r>
  </si>
  <si>
    <t>Crack/uncrack</t>
  </si>
  <si>
    <r>
      <t>V</t>
    </r>
    <r>
      <rPr>
        <vertAlign val="subscript"/>
        <sz val="11"/>
        <color theme="1"/>
        <rFont val="Garamond"/>
        <family val="1"/>
      </rPr>
      <t>Ed.red</t>
    </r>
  </si>
  <si>
    <r>
      <t>V</t>
    </r>
    <r>
      <rPr>
        <vertAlign val="subscript"/>
        <sz val="11"/>
        <color theme="1"/>
        <rFont val="Garamond"/>
        <family val="1"/>
      </rPr>
      <t>Ed</t>
    </r>
  </si>
  <si>
    <r>
      <rPr>
        <sz val="11"/>
        <color theme="1"/>
        <rFont val="Symbol"/>
        <family val="1"/>
        <charset val="2"/>
      </rPr>
      <t>D</t>
    </r>
    <r>
      <rPr>
        <sz val="11"/>
        <color theme="1"/>
        <rFont val="Garamond"/>
        <family val="1"/>
      </rPr>
      <t>V</t>
    </r>
    <r>
      <rPr>
        <vertAlign val="subscript"/>
        <sz val="11"/>
        <color theme="1"/>
        <rFont val="Garamond"/>
        <family val="1"/>
      </rPr>
      <t>ED</t>
    </r>
  </si>
  <si>
    <t>Down ward weight of pile cap</t>
  </si>
  <si>
    <r>
      <t>v</t>
    </r>
    <r>
      <rPr>
        <vertAlign val="subscript"/>
        <sz val="11"/>
        <color theme="1"/>
        <rFont val="Garamond"/>
        <family val="1"/>
      </rPr>
      <t>Ed.red</t>
    </r>
  </si>
  <si>
    <r>
      <t>V</t>
    </r>
    <r>
      <rPr>
        <vertAlign val="subscript"/>
        <sz val="11"/>
        <color theme="1"/>
        <rFont val="Garamond"/>
        <family val="1"/>
      </rPr>
      <t>Ed.red</t>
    </r>
    <r>
      <rPr>
        <sz val="11"/>
        <color theme="1"/>
        <rFont val="Garamond"/>
        <family val="1"/>
      </rPr>
      <t xml:space="preserve"> / ud</t>
    </r>
  </si>
  <si>
    <r>
      <t>v</t>
    </r>
    <r>
      <rPr>
        <vertAlign val="subscript"/>
        <sz val="11"/>
        <color theme="1"/>
        <rFont val="Garamond"/>
        <family val="1"/>
      </rPr>
      <t>Rd</t>
    </r>
  </si>
  <si>
    <t>u</t>
  </si>
  <si>
    <t>Length of perimeter</t>
  </si>
  <si>
    <t>A) Check at Control Perimeter 2d</t>
  </si>
  <si>
    <t>Check For Punching Shear :</t>
  </si>
  <si>
    <t>Pile cap thickness d</t>
  </si>
  <si>
    <r>
      <rPr>
        <sz val="11"/>
        <color theme="1"/>
        <rFont val="Symbol"/>
        <family val="1"/>
        <charset val="2"/>
      </rPr>
      <t>n</t>
    </r>
    <r>
      <rPr>
        <vertAlign val="subscript"/>
        <sz val="11"/>
        <color theme="1"/>
        <rFont val="Garamond"/>
        <family val="1"/>
      </rPr>
      <t>min</t>
    </r>
    <r>
      <rPr>
        <sz val="11"/>
        <color theme="1"/>
        <rFont val="Garamond"/>
        <family val="1"/>
      </rPr>
      <t xml:space="preserve"> * 2d/a</t>
    </r>
  </si>
  <si>
    <r>
      <rPr>
        <sz val="11"/>
        <color theme="1"/>
        <rFont val="Symbol"/>
        <family val="1"/>
        <charset val="2"/>
      </rPr>
      <t>n</t>
    </r>
    <r>
      <rPr>
        <vertAlign val="subscript"/>
        <sz val="11"/>
        <color theme="1"/>
        <rFont val="Garamond"/>
        <family val="1"/>
      </rPr>
      <t>min</t>
    </r>
  </si>
  <si>
    <r>
      <t xml:space="preserve">0.031 *  K </t>
    </r>
    <r>
      <rPr>
        <vertAlign val="superscript"/>
        <sz val="11"/>
        <color theme="1"/>
        <rFont val="Garamond"/>
        <family val="1"/>
      </rPr>
      <t>3/2</t>
    </r>
    <r>
      <rPr>
        <sz val="11"/>
        <color theme="1"/>
        <rFont val="Garamond"/>
        <family val="1"/>
      </rPr>
      <t xml:space="preserve"> fck </t>
    </r>
    <r>
      <rPr>
        <vertAlign val="superscript"/>
        <sz val="11"/>
        <color theme="1"/>
        <rFont val="Garamond"/>
        <family val="1"/>
      </rPr>
      <t>1/2</t>
    </r>
  </si>
  <si>
    <r>
      <t xml:space="preserve">1+ </t>
    </r>
    <r>
      <rPr>
        <sz val="11"/>
        <color theme="1"/>
        <rFont val="Symbol"/>
        <family val="1"/>
        <charset val="2"/>
      </rPr>
      <t>Ö</t>
    </r>
    <r>
      <rPr>
        <sz val="11"/>
        <color theme="1"/>
        <rFont val="Garamond"/>
        <family val="1"/>
      </rPr>
      <t xml:space="preserve"> 200/d </t>
    </r>
  </si>
  <si>
    <r>
      <rPr>
        <sz val="11"/>
        <color theme="1"/>
        <rFont val="Symbol"/>
        <family val="1"/>
        <charset val="2"/>
      </rPr>
      <t>r</t>
    </r>
    <r>
      <rPr>
        <vertAlign val="subscript"/>
        <sz val="11"/>
        <color theme="1"/>
        <rFont val="Garamond"/>
        <family val="1"/>
      </rPr>
      <t>ly</t>
    </r>
  </si>
  <si>
    <r>
      <rPr>
        <sz val="11"/>
        <color theme="1"/>
        <rFont val="Symbol"/>
        <family val="1"/>
        <charset val="2"/>
      </rPr>
      <t>r</t>
    </r>
    <r>
      <rPr>
        <vertAlign val="subscript"/>
        <sz val="11"/>
        <color theme="1"/>
        <rFont val="Garamond"/>
        <family val="1"/>
      </rPr>
      <t>lz</t>
    </r>
  </si>
  <si>
    <r>
      <rPr>
        <sz val="11"/>
        <color theme="1"/>
        <rFont val="Symbol"/>
        <family val="1"/>
        <charset val="2"/>
      </rPr>
      <t>r</t>
    </r>
    <r>
      <rPr>
        <vertAlign val="subscript"/>
        <sz val="11"/>
        <color theme="1"/>
        <rFont val="Garamond"/>
        <family val="1"/>
      </rPr>
      <t>l</t>
    </r>
  </si>
  <si>
    <r>
      <rPr>
        <sz val="11"/>
        <color theme="1"/>
        <rFont val="Symbol"/>
        <family val="1"/>
        <charset val="2"/>
      </rPr>
      <t>Ör</t>
    </r>
    <r>
      <rPr>
        <vertAlign val="subscript"/>
        <sz val="11"/>
        <color theme="1"/>
        <rFont val="Garamond"/>
        <family val="1"/>
      </rPr>
      <t>ly</t>
    </r>
    <r>
      <rPr>
        <sz val="11"/>
        <color theme="1"/>
        <rFont val="Garamond"/>
        <family val="1"/>
      </rPr>
      <t xml:space="preserve"> *</t>
    </r>
    <r>
      <rPr>
        <sz val="11"/>
        <color theme="1"/>
        <rFont val="Symbol"/>
        <family val="1"/>
        <charset val="2"/>
      </rPr>
      <t>r</t>
    </r>
    <r>
      <rPr>
        <vertAlign val="subscript"/>
        <sz val="11"/>
        <color theme="1"/>
        <rFont val="Garamond"/>
        <family val="1"/>
      </rPr>
      <t>lz</t>
    </r>
  </si>
  <si>
    <r>
      <t xml:space="preserve">0.12 K (80 </t>
    </r>
    <r>
      <rPr>
        <sz val="11"/>
        <color theme="1"/>
        <rFont val="Symbol"/>
        <family val="1"/>
        <charset val="2"/>
      </rPr>
      <t>r</t>
    </r>
    <r>
      <rPr>
        <vertAlign val="subscript"/>
        <sz val="11"/>
        <color theme="1"/>
        <rFont val="Garamond"/>
        <family val="1"/>
      </rPr>
      <t>l</t>
    </r>
    <r>
      <rPr>
        <sz val="11"/>
        <color theme="1"/>
        <rFont val="Garamond"/>
        <family val="1"/>
      </rPr>
      <t xml:space="preserve"> fck )</t>
    </r>
    <r>
      <rPr>
        <vertAlign val="superscript"/>
        <sz val="11"/>
        <color theme="1"/>
        <rFont val="Garamond"/>
        <family val="1"/>
      </rPr>
      <t>1/3</t>
    </r>
    <r>
      <rPr>
        <sz val="11"/>
        <color theme="1"/>
        <rFont val="Garamond"/>
        <family val="1"/>
      </rPr>
      <t xml:space="preserve"> *2d/a</t>
    </r>
  </si>
  <si>
    <r>
      <t>v</t>
    </r>
    <r>
      <rPr>
        <vertAlign val="subscript"/>
        <sz val="11"/>
        <color theme="1"/>
        <rFont val="Garamond"/>
        <family val="1"/>
      </rPr>
      <t>Rdmax</t>
    </r>
  </si>
  <si>
    <r>
      <t xml:space="preserve">1/2 * </t>
    </r>
    <r>
      <rPr>
        <sz val="11"/>
        <color theme="1"/>
        <rFont val="Symbol"/>
        <family val="1"/>
        <charset val="2"/>
      </rPr>
      <t>n</t>
    </r>
    <r>
      <rPr>
        <sz val="11"/>
        <color theme="1"/>
        <rFont val="Garamond"/>
        <family val="1"/>
      </rPr>
      <t xml:space="preserve"> *fcd</t>
    </r>
  </si>
  <si>
    <t>0.6 [ 1- fck/310 ]</t>
  </si>
  <si>
    <r>
      <t>v</t>
    </r>
    <r>
      <rPr>
        <vertAlign val="subscript"/>
        <sz val="11"/>
        <color theme="1"/>
        <rFont val="Garamond"/>
        <family val="1"/>
      </rPr>
      <t>Ed</t>
    </r>
  </si>
  <si>
    <r>
      <t>v</t>
    </r>
    <r>
      <rPr>
        <vertAlign val="subscript"/>
        <sz val="11"/>
        <color theme="1"/>
        <rFont val="Garamond"/>
        <family val="1"/>
      </rPr>
      <t>Rdc</t>
    </r>
  </si>
  <si>
    <t>B) Check at  face of pile</t>
  </si>
  <si>
    <r>
      <t>V</t>
    </r>
    <r>
      <rPr>
        <vertAlign val="subscript"/>
        <sz val="11"/>
        <color theme="1"/>
        <rFont val="Garamond"/>
        <family val="1"/>
      </rPr>
      <t>Ed.red</t>
    </r>
    <r>
      <rPr>
        <sz val="11"/>
        <color theme="1"/>
        <rFont val="Garamond"/>
        <family val="1"/>
      </rPr>
      <t xml:space="preserve"> / u</t>
    </r>
    <r>
      <rPr>
        <vertAlign val="subscript"/>
        <sz val="11"/>
        <color theme="1"/>
        <rFont val="Garamond"/>
        <family val="1"/>
      </rPr>
      <t>o</t>
    </r>
    <r>
      <rPr>
        <sz val="11"/>
        <color theme="1"/>
        <rFont val="Garamond"/>
        <family val="1"/>
      </rPr>
      <t xml:space="preserve"> d</t>
    </r>
  </si>
  <si>
    <r>
      <t>u</t>
    </r>
    <r>
      <rPr>
        <vertAlign val="subscript"/>
        <sz val="11"/>
        <color theme="1"/>
        <rFont val="Garamond"/>
        <family val="1"/>
      </rPr>
      <t>o</t>
    </r>
  </si>
  <si>
    <r>
      <t>v</t>
    </r>
    <r>
      <rPr>
        <vertAlign val="subscript"/>
        <sz val="11"/>
        <color theme="1"/>
        <rFont val="Garamond"/>
        <family val="1"/>
      </rPr>
      <t>Rd.max</t>
    </r>
  </si>
  <si>
    <t>Forces @ pile cap bottom (L-T) Axis</t>
  </si>
  <si>
    <t>SLS DESIGN OF FOUNDATION  :</t>
  </si>
  <si>
    <t>Left Span</t>
  </si>
  <si>
    <t>Right Span</t>
  </si>
  <si>
    <t>FRL :</t>
  </si>
  <si>
    <t>Free</t>
  </si>
  <si>
    <t>Fix</t>
  </si>
  <si>
    <t>Cap Top :</t>
  </si>
  <si>
    <t>PIER COMPONENT :-</t>
  </si>
  <si>
    <t>2a</t>
  </si>
  <si>
    <t>2b</t>
  </si>
  <si>
    <t>2c</t>
  </si>
  <si>
    <t>3a</t>
  </si>
  <si>
    <t>3b</t>
  </si>
  <si>
    <t>Pier cap</t>
  </si>
  <si>
    <t>Left span</t>
  </si>
  <si>
    <t>Right span</t>
  </si>
  <si>
    <t>eL</t>
  </si>
  <si>
    <t>Cg of super-structure From deck top left span</t>
  </si>
  <si>
    <t>Cg of super-structure From deck top right span</t>
  </si>
  <si>
    <t>Forces @ c/L of Pile cap</t>
  </si>
  <si>
    <r>
      <t>Moment  M</t>
    </r>
    <r>
      <rPr>
        <vertAlign val="subscript"/>
        <sz val="11"/>
        <color theme="1"/>
        <rFont val="Garamond"/>
        <family val="1"/>
      </rPr>
      <t>TT</t>
    </r>
  </si>
  <si>
    <r>
      <t>Moment  M</t>
    </r>
    <r>
      <rPr>
        <vertAlign val="subscript"/>
        <sz val="11"/>
        <color theme="1"/>
        <rFont val="Garamond"/>
        <family val="1"/>
      </rPr>
      <t>LL</t>
    </r>
  </si>
  <si>
    <t>A) Maximum Reaction case</t>
  </si>
  <si>
    <t>B) Maximum Moment case</t>
  </si>
  <si>
    <t>Maximum Reaction case :</t>
  </si>
  <si>
    <r>
      <t>R</t>
    </r>
    <r>
      <rPr>
        <vertAlign val="subscript"/>
        <sz val="11"/>
        <rFont val="Garamond"/>
        <family val="1"/>
      </rPr>
      <t>11</t>
    </r>
  </si>
  <si>
    <r>
      <t>R</t>
    </r>
    <r>
      <rPr>
        <vertAlign val="subscript"/>
        <sz val="11"/>
        <rFont val="Garamond"/>
        <family val="1"/>
      </rPr>
      <t>12</t>
    </r>
  </si>
  <si>
    <r>
      <t>R</t>
    </r>
    <r>
      <rPr>
        <vertAlign val="subscript"/>
        <sz val="11"/>
        <rFont val="Garamond"/>
        <family val="1"/>
      </rPr>
      <t>21</t>
    </r>
  </si>
  <si>
    <r>
      <t>R</t>
    </r>
    <r>
      <rPr>
        <vertAlign val="subscript"/>
        <sz val="11"/>
        <rFont val="Garamond"/>
        <family val="1"/>
      </rPr>
      <t>22</t>
    </r>
  </si>
  <si>
    <r>
      <t>Eccentricity from c/L of pier in longitudinal dir.</t>
    </r>
    <r>
      <rPr>
        <vertAlign val="superscript"/>
        <sz val="11"/>
        <color theme="1"/>
        <rFont val="Garamond"/>
        <family val="1"/>
      </rPr>
      <t>n</t>
    </r>
  </si>
  <si>
    <r>
      <t>Eccentricity from c/L of pier in transverse dir.</t>
    </r>
    <r>
      <rPr>
        <vertAlign val="superscript"/>
        <sz val="11"/>
        <color theme="1"/>
        <rFont val="Garamond"/>
        <family val="1"/>
      </rPr>
      <t>n</t>
    </r>
  </si>
  <si>
    <t>Maximum Moment case :</t>
  </si>
  <si>
    <t>1) Maximum Reaction case</t>
  </si>
  <si>
    <t>Live load reaction</t>
  </si>
  <si>
    <t>2) Maximum Moment case</t>
  </si>
  <si>
    <t>a) Assuming Left span fixed</t>
  </si>
  <si>
    <r>
      <t>F</t>
    </r>
    <r>
      <rPr>
        <vertAlign val="subscript"/>
        <sz val="11"/>
        <rFont val="Garamond"/>
        <family val="1"/>
      </rPr>
      <t>longitudinal</t>
    </r>
  </si>
  <si>
    <t>Reaction due to dead load and SIDL at free end of left &amp; right span</t>
  </si>
  <si>
    <t>Load description</t>
  </si>
  <si>
    <t>b) Assuming Right span fixed</t>
  </si>
  <si>
    <t>LL over span</t>
  </si>
  <si>
    <t>Live load Load case</t>
  </si>
  <si>
    <t>C) Without Live load</t>
  </si>
  <si>
    <t>D) Left span dislodge condition</t>
  </si>
  <si>
    <t>Summery of Live load Longitudinal forces</t>
  </si>
  <si>
    <t>A)</t>
  </si>
  <si>
    <t>Maximum Reaction case</t>
  </si>
  <si>
    <t>B)</t>
  </si>
  <si>
    <t>Maximum moment case</t>
  </si>
  <si>
    <t>C)</t>
  </si>
  <si>
    <t>No Live load condition</t>
  </si>
  <si>
    <t>D)</t>
  </si>
  <si>
    <t>Left span dislodge condition</t>
  </si>
  <si>
    <t>Lever arm from pile cap bottom</t>
  </si>
  <si>
    <r>
      <t>Moment in about transverse axis M</t>
    </r>
    <r>
      <rPr>
        <vertAlign val="subscript"/>
        <sz val="10"/>
        <rFont val="Garamond"/>
        <family val="1"/>
      </rPr>
      <t>TT</t>
    </r>
  </si>
  <si>
    <t>Forces at Pier</t>
  </si>
  <si>
    <t>Max Reaction case</t>
  </si>
  <si>
    <t>Max Moment case</t>
  </si>
  <si>
    <t>Max Llong Moment Case :</t>
  </si>
  <si>
    <t>Max Long. Moment Case :</t>
  </si>
  <si>
    <t>Max Long Moment Case :</t>
  </si>
  <si>
    <t>*/Permanent Loads from left span</t>
  </si>
  <si>
    <t>Super-structure DL Left span</t>
  </si>
  <si>
    <t>SIDL (excluding surfacing) Left span</t>
  </si>
  <si>
    <t>Surfacing Left span</t>
  </si>
  <si>
    <t>Super-structure DL right span</t>
  </si>
  <si>
    <t>SIDL (excluding surfacing) right span</t>
  </si>
  <si>
    <t>Surfacing right span</t>
  </si>
  <si>
    <t>*/Permanent Loads from Right span</t>
  </si>
  <si>
    <t>*/ Live load Reaction</t>
  </si>
  <si>
    <t>6) Maximum Reaction case</t>
  </si>
  <si>
    <t>6.1)</t>
  </si>
  <si>
    <t>6.2)</t>
  </si>
  <si>
    <t>Max React. LL left span</t>
  </si>
  <si>
    <t>Max Reaction LL right span</t>
  </si>
  <si>
    <t>6) Maximum long moment case</t>
  </si>
  <si>
    <t>Max long moment LL left span</t>
  </si>
  <si>
    <t>Max long. Moment LL right span</t>
  </si>
  <si>
    <t>7) Live load longitudinal forces</t>
  </si>
  <si>
    <t>7.1)</t>
  </si>
  <si>
    <t>7.2)</t>
  </si>
  <si>
    <t>7.3)</t>
  </si>
  <si>
    <t>7.4)</t>
  </si>
  <si>
    <t>Permanent Loads Left span</t>
  </si>
  <si>
    <t>Permanent Loads Right span</t>
  </si>
  <si>
    <t>8.1)</t>
  </si>
  <si>
    <t>8.2)</t>
  </si>
  <si>
    <t>*/From super-structure permanent loads</t>
  </si>
  <si>
    <t>9.1)</t>
  </si>
  <si>
    <t>9.2)</t>
  </si>
  <si>
    <t>Live Load  longitudinal Left span</t>
  </si>
  <si>
    <t>Live Load Longitudinal Right span</t>
  </si>
  <si>
    <t>12.1)</t>
  </si>
  <si>
    <t>12.2)</t>
  </si>
  <si>
    <t>*/From super-structure Live loads comp</t>
  </si>
  <si>
    <t>Live Load comp. Left span</t>
  </si>
  <si>
    <t>Live Load comp. Right span</t>
  </si>
  <si>
    <t>*/ Max reaction case</t>
  </si>
  <si>
    <t>*/ Max Long moment case</t>
  </si>
  <si>
    <t>13.1)</t>
  </si>
  <si>
    <t>13.2)</t>
  </si>
  <si>
    <t>14)</t>
  </si>
  <si>
    <t>15.1)</t>
  </si>
  <si>
    <t>15.2)</t>
  </si>
  <si>
    <t>16.1)</t>
  </si>
  <si>
    <t>16.2)</t>
  </si>
  <si>
    <t>17)</t>
  </si>
  <si>
    <t>*/From super-structure Live loads longitudinal (20%)</t>
  </si>
  <si>
    <t>NS LWL Span dislodge case</t>
  </si>
  <si>
    <t>NS LWL No Live load</t>
  </si>
  <si>
    <t>NS LWL With LL max reaction case</t>
  </si>
  <si>
    <t>LC-1 + Seismic Sx=1,Sz=0.3,Sy=-0.3 (50% seismic)</t>
  </si>
  <si>
    <t>LC-2 + Seismic Sx=1,Sz=0.3,Sy=-0.3</t>
  </si>
  <si>
    <t>LC-3 + Seismic Sx=1,Sz=0.3,Sy=-0.3</t>
  </si>
  <si>
    <t>LC-4 + Seismic Sx=1,Sz=0.3,Sy=-0.3</t>
  </si>
  <si>
    <t>LC-1 + Seismic Sx=0.3,Sz=1,Sy=-0.3 (50% seismic)</t>
  </si>
  <si>
    <t>LC-2 + Seismic Sx=0.3,Sz=1,Sy=-0.3</t>
  </si>
  <si>
    <t>LC-3 + Seismic Sx=0.3,Sz=1,Sy=-0.3</t>
  </si>
  <si>
    <t>LC-4 + Seismic Sx=0.3,Sz=1,Sy=-0.3</t>
  </si>
  <si>
    <t>LC-1 + Seismic Sx=0.3,Sz=1,Sy=0.3 (50% seismic)</t>
  </si>
  <si>
    <t>LC-1 + Seismic Sx=1,Sz=0.3,Sy=0.3 (50% seismic)</t>
  </si>
  <si>
    <t>LC-2 + Seismic Sx=1,Sz=0.3,Sy=0.3</t>
  </si>
  <si>
    <t>LC-3 + Seismic Sx=1,Sz=0.3,Sy=0.3</t>
  </si>
  <si>
    <t>LC-4 + Seismic Sx=1,Sz=0.3,Sy=0.3</t>
  </si>
  <si>
    <t>LC-2 + Seismic Sx=0.3,Sz=1,Sy=0.3</t>
  </si>
  <si>
    <t>LC-3 + Seismic Sx=0.3,Sz=1,Sy=0.3</t>
  </si>
  <si>
    <t>LC-4 + Seismic Sx=0.3,Sz=1,Sy=0.3</t>
  </si>
  <si>
    <t xml:space="preserve"> ---- </t>
  </si>
  <si>
    <t xml:space="preserve"> FOR MAXIMUM PILE CAPACITY </t>
  </si>
  <si>
    <t>HFL</t>
  </si>
  <si>
    <t>NS LWL With LL max moment case</t>
  </si>
  <si>
    <t>LL longitudinal force Maximum Reaction case</t>
  </si>
  <si>
    <t>LL longitudinal force Maximum moment case</t>
  </si>
  <si>
    <t>Longitudinal force No Live load condition</t>
  </si>
  <si>
    <t>Fongitudinal force Left span dislodge condition</t>
  </si>
  <si>
    <t>Water current forces :</t>
  </si>
  <si>
    <t>Water current pressure</t>
  </si>
  <si>
    <t>Component</t>
  </si>
  <si>
    <t>K Value</t>
  </si>
  <si>
    <t>Pier</t>
  </si>
  <si>
    <t>Pile cap</t>
  </si>
  <si>
    <t>Mean velocity of current</t>
  </si>
  <si>
    <t>m/s</t>
  </si>
  <si>
    <t>Surface water velocity</t>
  </si>
  <si>
    <t>√2  x</t>
  </si>
  <si>
    <t>m/sec</t>
  </si>
  <si>
    <t>Pressure at HFL Level</t>
  </si>
  <si>
    <t>Pier bottom shaft</t>
  </si>
  <si>
    <t>Pile cap bottom</t>
  </si>
  <si>
    <t>Deepest scour level</t>
  </si>
  <si>
    <t>Founding Level</t>
  </si>
  <si>
    <t>Variation in water current direction</t>
  </si>
  <si>
    <t>o</t>
  </si>
  <si>
    <t>Total Force up to pier shaft bottom</t>
  </si>
  <si>
    <t>tm</t>
  </si>
  <si>
    <r>
      <t>52KV</t>
    </r>
    <r>
      <rPr>
        <vertAlign val="superscript"/>
        <sz val="11"/>
        <rFont val="Garamond"/>
        <family val="1"/>
      </rPr>
      <t>2</t>
    </r>
  </si>
  <si>
    <r>
      <t>kg/m</t>
    </r>
    <r>
      <rPr>
        <vertAlign val="superscript"/>
        <sz val="11"/>
        <rFont val="Garamond"/>
        <family val="1"/>
      </rPr>
      <t>2</t>
    </r>
  </si>
  <si>
    <r>
      <t>Long. dir</t>
    </r>
    <r>
      <rPr>
        <vertAlign val="superscript"/>
        <sz val="11"/>
        <rFont val="Garamond"/>
        <family val="1"/>
      </rPr>
      <t>n</t>
    </r>
  </si>
  <si>
    <r>
      <t>Trans. dir</t>
    </r>
    <r>
      <rPr>
        <vertAlign val="superscript"/>
        <sz val="11"/>
        <rFont val="Garamond"/>
        <family val="1"/>
      </rPr>
      <t>n</t>
    </r>
  </si>
  <si>
    <r>
      <t>52 k V</t>
    </r>
    <r>
      <rPr>
        <vertAlign val="superscript"/>
        <sz val="11"/>
        <rFont val="Garamond"/>
        <family val="1"/>
      </rPr>
      <t>2</t>
    </r>
  </si>
  <si>
    <r>
      <t>*k     kg/m</t>
    </r>
    <r>
      <rPr>
        <vertAlign val="superscript"/>
        <sz val="11"/>
        <rFont val="Garamond"/>
        <family val="1"/>
      </rPr>
      <t>2</t>
    </r>
  </si>
  <si>
    <r>
      <t>*k     tonne/m</t>
    </r>
    <r>
      <rPr>
        <vertAlign val="superscript"/>
        <sz val="11"/>
        <rFont val="Garamond"/>
        <family val="1"/>
      </rPr>
      <t>2</t>
    </r>
  </si>
  <si>
    <t>Pile</t>
  </si>
  <si>
    <t>Pressure diagram</t>
  </si>
  <si>
    <t>Forces in</t>
  </si>
  <si>
    <t>Long</t>
  </si>
  <si>
    <t>Trans</t>
  </si>
  <si>
    <t>Total force</t>
  </si>
  <si>
    <t>In Trans</t>
  </si>
  <si>
    <t>Pressure intensity at HFL</t>
  </si>
  <si>
    <t>Pressure intensity at Pier shaft bottom</t>
  </si>
  <si>
    <t>Dimension</t>
  </si>
  <si>
    <t>Long.</t>
  </si>
  <si>
    <t>Type</t>
  </si>
  <si>
    <t>Rect</t>
  </si>
  <si>
    <t>Obstracted area</t>
  </si>
  <si>
    <t>T/m2</t>
  </si>
  <si>
    <t>m2</t>
  </si>
  <si>
    <t>Lever arm above pile cap bottom</t>
  </si>
  <si>
    <t>Forces Up to Pile cap bottom:</t>
  </si>
  <si>
    <t>*/ Forces over pier shaft</t>
  </si>
  <si>
    <t>*/ Forces over pile cap</t>
  </si>
  <si>
    <t>Pressure intensity at pile cap bottom</t>
  </si>
  <si>
    <t>Total force at pile cap bottom</t>
  </si>
  <si>
    <t>Moment at pile cap ottom</t>
  </si>
  <si>
    <t>*/ Forces over pile</t>
  </si>
  <si>
    <t>Pressure intensity at MSL</t>
  </si>
  <si>
    <t>Water current forces below pile cap bottom</t>
  </si>
  <si>
    <t>Calculation of Hydrodynamic forces</t>
  </si>
  <si>
    <t>Enveloping cylender dia</t>
  </si>
  <si>
    <t>Height</t>
  </si>
  <si>
    <t>Volume</t>
  </si>
  <si>
    <t>m3</t>
  </si>
  <si>
    <t>Weight eq. water</t>
  </si>
  <si>
    <t>Total height</t>
  </si>
  <si>
    <t>Eq. radius</t>
  </si>
  <si>
    <t>H/r</t>
  </si>
  <si>
    <t>Ce</t>
  </si>
  <si>
    <t>h1/H</t>
  </si>
  <si>
    <t>C1= h1/H</t>
  </si>
  <si>
    <t>C2</t>
  </si>
  <si>
    <t>C3</t>
  </si>
  <si>
    <t>C4</t>
  </si>
  <si>
    <t>Total Force F</t>
  </si>
  <si>
    <r>
      <t xml:space="preserve">Ce * </t>
    </r>
    <r>
      <rPr>
        <sz val="11"/>
        <color theme="1"/>
        <rFont val="Symbol"/>
        <family val="1"/>
        <charset val="2"/>
      </rPr>
      <t>a</t>
    </r>
    <r>
      <rPr>
        <sz val="11"/>
        <color theme="1"/>
        <rFont val="Garamond"/>
        <family val="1"/>
      </rPr>
      <t>h *W</t>
    </r>
  </si>
  <si>
    <r>
      <rPr>
        <sz val="11"/>
        <color rgb="FFC00000"/>
        <rFont val="Symbol"/>
        <family val="1"/>
        <charset val="2"/>
      </rPr>
      <t>a</t>
    </r>
    <r>
      <rPr>
        <sz val="11"/>
        <color rgb="FFC00000"/>
        <rFont val="Garamond"/>
        <family val="1"/>
      </rPr>
      <t>h</t>
    </r>
  </si>
  <si>
    <t>Horizontal force up to Pile cap bottom</t>
  </si>
  <si>
    <t>C1 =</t>
  </si>
  <si>
    <t xml:space="preserve">Total force </t>
  </si>
  <si>
    <t>C3 F</t>
  </si>
  <si>
    <t>Force up to pile cap bottom</t>
  </si>
  <si>
    <t>Lever arm above scour level</t>
  </si>
  <si>
    <t>C4H</t>
  </si>
  <si>
    <t>Levera arm above scour level</t>
  </si>
  <si>
    <t>Horizontal force below Pile cap bottom</t>
  </si>
  <si>
    <t>Moment at pile cap bottom</t>
  </si>
  <si>
    <t>Seismic Transvers</t>
  </si>
  <si>
    <t>Total Sub-structure self weight at pile cap bottom</t>
  </si>
  <si>
    <r>
      <t>Force required in trans. Dir. F</t>
    </r>
    <r>
      <rPr>
        <vertAlign val="subscript"/>
        <sz val="11"/>
        <rFont val="Garamond"/>
        <family val="1"/>
      </rPr>
      <t>T</t>
    </r>
  </si>
  <si>
    <t>Byouncy</t>
  </si>
  <si>
    <t>Volume of pile cap</t>
  </si>
  <si>
    <t>Volume of pier shaft</t>
  </si>
  <si>
    <t>Total =</t>
  </si>
  <si>
    <t>8) byouency</t>
  </si>
  <si>
    <t>9) Water current forces</t>
  </si>
  <si>
    <t>9.1) WC 100 % in transverse direction</t>
  </si>
  <si>
    <t>9.2) WC at 20% variation</t>
  </si>
  <si>
    <t>Seismic Longitudinal LWL</t>
  </si>
  <si>
    <t>Seismic Longitudinal HFL</t>
  </si>
  <si>
    <t>Seismic Transveres HFL</t>
  </si>
  <si>
    <t>Seismic Transveres LWL</t>
  </si>
  <si>
    <t>Seismic Vertical Downward HFL</t>
  </si>
  <si>
    <t>Seismic Vertical Downward LWL</t>
  </si>
  <si>
    <t>15)</t>
  </si>
  <si>
    <t xml:space="preserve">12) </t>
  </si>
  <si>
    <t>Hydrodynamic Longitudinal</t>
  </si>
  <si>
    <t>Hydrodynamic Transverse</t>
  </si>
  <si>
    <t>NS HFL Span dislodge case</t>
  </si>
  <si>
    <t>NS HFL No Live load</t>
  </si>
  <si>
    <t>NS HFL With LL max reaction case</t>
  </si>
  <si>
    <t>NS HFL With LL max moment case</t>
  </si>
  <si>
    <t>LC-21 + Seismic Sx=1,Sz=0.3,Sy=-0.3 (50% seismic)</t>
  </si>
  <si>
    <t>LC-21 + Seismic Sx=0.3,Sz=1,Sy=-0.3 (50% seismic)</t>
  </si>
  <si>
    <t>LC-21 + Seismic Sx=1,Sz=0.3,Sy=0.3 (50% seismic)</t>
  </si>
  <si>
    <t>LC-21 + Seismic Sx=0.3,Sz=1,Sy=0.3 (50% seismic)</t>
  </si>
  <si>
    <t>LC-22 + Seismic Sx=1,Sz=0.3,Sy=-0.3</t>
  </si>
  <si>
    <t>LC-22 + Seismic Sx=0.3,Sz=1,Sy=-0.3</t>
  </si>
  <si>
    <t>LC-22 + Seismic Sx=1,Sz=0.3,Sy=0.3</t>
  </si>
  <si>
    <t>LC-22 + Seismic Sx=0.3,Sz=1,Sy=0.3</t>
  </si>
  <si>
    <t>LC-23 + Seismic Sx=1,Sz=0.3,Sy=-0.3</t>
  </si>
  <si>
    <t>LC-23 + Seismic Sx=0.3,Sz=1,Sy=-0.3</t>
  </si>
  <si>
    <t>LC-23 + Seismic Sx=1,Sz=0.3,Sy=0.3</t>
  </si>
  <si>
    <t>LC-23 + Seismic Sx=0.3,Sz=1,Sy=0.3</t>
  </si>
  <si>
    <t>LC-24 + Seismic Sx=1,Sz=0.3,Sy=-0.3</t>
  </si>
  <si>
    <t>LC-24 + Seismic Sx=0.3,Sz=1,Sy=-0.3</t>
  </si>
  <si>
    <t>LC-24 + Seismic Sx=1,Sz=0.3,Sy=0.3</t>
  </si>
  <si>
    <t>LC-24 + Seismic Sx=0.3,Sz=1,Sy=0.3</t>
  </si>
  <si>
    <t>LC-25</t>
  </si>
  <si>
    <t>LC-26</t>
  </si>
  <si>
    <t>LC-27</t>
  </si>
  <si>
    <t>LC-28</t>
  </si>
  <si>
    <t>LC-29</t>
  </si>
  <si>
    <t>LC-30</t>
  </si>
  <si>
    <t>LC-31</t>
  </si>
  <si>
    <t>LC-32</t>
  </si>
  <si>
    <t>LC-33</t>
  </si>
  <si>
    <t>LC-34</t>
  </si>
  <si>
    <t>LC-35</t>
  </si>
  <si>
    <t>LC-36</t>
  </si>
  <si>
    <t>LC-37</t>
  </si>
  <si>
    <t>LC-38</t>
  </si>
  <si>
    <t>LC-39</t>
  </si>
  <si>
    <t>LC-40</t>
  </si>
  <si>
    <t>c</t>
  </si>
  <si>
    <t>As</t>
  </si>
  <si>
    <t>g</t>
  </si>
  <si>
    <t xml:space="preserve">                                                                       </t>
  </si>
  <si>
    <t>Section at deff</t>
  </si>
  <si>
    <t>Lever arm in transverse direction</t>
  </si>
  <si>
    <t>Overall depth</t>
  </si>
  <si>
    <t>Clear cover to main bar</t>
  </si>
  <si>
    <t>Effective depth d</t>
  </si>
  <si>
    <t>a/d</t>
  </si>
  <si>
    <t xml:space="preserve">Cross-setion properties </t>
  </si>
  <si>
    <t>At face of column</t>
  </si>
  <si>
    <t>At deff Location</t>
  </si>
  <si>
    <t>At Bearing Location</t>
  </si>
  <si>
    <t>Width b</t>
  </si>
  <si>
    <t>Overall depth d</t>
  </si>
  <si>
    <t>Cross-section Area at bearing location A</t>
  </si>
  <si>
    <t>Outer perimeter u</t>
  </si>
  <si>
    <t>Effective wall thickness teff,i</t>
  </si>
  <si>
    <t>Area enclosed by c/L of wall, Ak</t>
  </si>
  <si>
    <t>Perimeter of the area Ak</t>
  </si>
  <si>
    <t>Forces Due to Selfweight of pier Cap :</t>
  </si>
  <si>
    <t>Density of concrete</t>
  </si>
  <si>
    <t>At Facs of shaft</t>
  </si>
  <si>
    <t>At deff</t>
  </si>
  <si>
    <t>Below bearing</t>
  </si>
  <si>
    <t>Lever arm from section</t>
  </si>
  <si>
    <t>Torsional Eccentricity</t>
  </si>
  <si>
    <t>Weight of Straight Portion</t>
  </si>
  <si>
    <t>Tappered Portion</t>
  </si>
  <si>
    <t>Lever arm from Section</t>
  </si>
  <si>
    <t>Shear Force at section</t>
  </si>
  <si>
    <t>Moment at section</t>
  </si>
  <si>
    <t>Torsional Moment</t>
  </si>
  <si>
    <t>*/ Forces due to selfweight are increased by 20% on account of stopper etc.</t>
  </si>
  <si>
    <t>Forces due to Super-structure DL, SIDL &amp; Live Load :</t>
  </si>
  <si>
    <t>Bending Moment</t>
  </si>
  <si>
    <t>SUP DL</t>
  </si>
  <si>
    <t>LL (without impact)</t>
  </si>
  <si>
    <t>LL (with impact)</t>
  </si>
  <si>
    <t>Total Load (Tonne)</t>
  </si>
  <si>
    <t>Forces at face of column</t>
  </si>
  <si>
    <t>Shear Force</t>
  </si>
  <si>
    <r>
      <t>Lever arm e</t>
    </r>
    <r>
      <rPr>
        <vertAlign val="subscript"/>
        <sz val="11"/>
        <color theme="1"/>
        <rFont val="Garamond"/>
        <family val="1"/>
      </rPr>
      <t>T</t>
    </r>
  </si>
  <si>
    <r>
      <t>Lever arm e</t>
    </r>
    <r>
      <rPr>
        <vertAlign val="subscript"/>
        <sz val="11"/>
        <color theme="1"/>
        <rFont val="Garamond"/>
        <family val="1"/>
      </rPr>
      <t>L</t>
    </r>
  </si>
  <si>
    <t>ULS</t>
  </si>
  <si>
    <t>SLS Load Factor</t>
  </si>
  <si>
    <t>Rare</t>
  </si>
  <si>
    <t>QP</t>
  </si>
  <si>
    <t>Selfweight of pier cap</t>
  </si>
  <si>
    <t>Design Forces</t>
  </si>
  <si>
    <t>SLS Rare</t>
  </si>
  <si>
    <t>SLS Quasi permanent</t>
  </si>
  <si>
    <t>Forces at section deff</t>
  </si>
  <si>
    <t>Forces below bearing</t>
  </si>
  <si>
    <t>SLS QP</t>
  </si>
  <si>
    <t>Ak</t>
  </si>
  <si>
    <r>
      <t>t</t>
    </r>
    <r>
      <rPr>
        <vertAlign val="subscript"/>
        <sz val="11"/>
        <color theme="1"/>
        <rFont val="Garamond"/>
        <family val="1"/>
      </rPr>
      <t>ef,i</t>
    </r>
  </si>
  <si>
    <t>Impact factor</t>
  </si>
  <si>
    <t>L1</t>
  </si>
  <si>
    <t>R1</t>
  </si>
  <si>
    <t>(L1+ R1)</t>
  </si>
  <si>
    <t>DESIGN OF PIER CAP :</t>
  </si>
  <si>
    <t>MATERIAL PROPERTIES :</t>
  </si>
  <si>
    <t>Grade of concrete</t>
  </si>
  <si>
    <t>=     M</t>
  </si>
  <si>
    <t>PERMISSIBLE STRESSES</t>
  </si>
  <si>
    <t>=     Fe</t>
  </si>
  <si>
    <t>1) Premissble concrete compressive stresses</t>
  </si>
  <si>
    <t>0.8 fyk</t>
  </si>
  <si>
    <t>Load Combi</t>
  </si>
  <si>
    <t>Permissble Stress</t>
  </si>
  <si>
    <t>0.48 fck</t>
  </si>
  <si>
    <t>Modulus of Elasticity steel</t>
  </si>
  <si>
    <t>0.36 fck</t>
  </si>
  <si>
    <t>Mean tensile strength = fctm</t>
  </si>
  <si>
    <t>2) Permissble Tensile stress in steel</t>
  </si>
  <si>
    <t>Creep factor</t>
  </si>
  <si>
    <r>
      <t>3) Permissible crack width w</t>
    </r>
    <r>
      <rPr>
        <vertAlign val="subscript"/>
        <sz val="11"/>
        <rFont val="Garamond"/>
        <family val="1"/>
      </rPr>
      <t>k</t>
    </r>
  </si>
  <si>
    <t>SLS QP Load combination</t>
  </si>
  <si>
    <t>A) ULS CAPACITY CHECK</t>
  </si>
  <si>
    <t>Load comb.</t>
  </si>
  <si>
    <r>
      <t>M</t>
    </r>
    <r>
      <rPr>
        <vertAlign val="subscript"/>
        <sz val="11"/>
        <rFont val="Garamond"/>
        <family val="1"/>
      </rPr>
      <t>ED</t>
    </r>
  </si>
  <si>
    <t>Overall depth D</t>
  </si>
  <si>
    <r>
      <t>x</t>
    </r>
    <r>
      <rPr>
        <vertAlign val="subscript"/>
        <sz val="11"/>
        <rFont val="Garamond"/>
        <family val="1"/>
      </rPr>
      <t>max</t>
    </r>
  </si>
  <si>
    <t>xu = 0.87 fyk Ast /  0.362 fck b</t>
  </si>
  <si>
    <r>
      <t>A</t>
    </r>
    <r>
      <rPr>
        <vertAlign val="subscript"/>
        <sz val="11"/>
        <color theme="1"/>
        <rFont val="Garamond"/>
        <family val="1"/>
      </rPr>
      <t>st,cal</t>
    </r>
    <r>
      <rPr>
        <sz val="11"/>
        <color theme="1"/>
        <rFont val="Garamond"/>
        <family val="1"/>
      </rPr>
      <t xml:space="preserve"> =M/ 0.87 fyk (d'-0.416 xu)</t>
    </r>
  </si>
  <si>
    <r>
      <t>A</t>
    </r>
    <r>
      <rPr>
        <vertAlign val="subscript"/>
        <sz val="11"/>
        <rFont val="Garamond"/>
        <family val="1"/>
      </rPr>
      <t>st min</t>
    </r>
  </si>
  <si>
    <r>
      <rPr>
        <sz val="11"/>
        <color theme="1"/>
        <rFont val="Symbol"/>
        <family val="1"/>
        <charset val="2"/>
      </rPr>
      <t>D</t>
    </r>
    <r>
      <rPr>
        <sz val="11"/>
        <color theme="1"/>
        <rFont val="Garamond"/>
        <family val="1"/>
      </rPr>
      <t>F</t>
    </r>
    <r>
      <rPr>
        <vertAlign val="subscript"/>
        <sz val="11"/>
        <color theme="1"/>
        <rFont val="Garamond"/>
        <family val="1"/>
      </rPr>
      <t>d</t>
    </r>
  </si>
  <si>
    <t>z = d- 0.416 xu</t>
  </si>
  <si>
    <r>
      <t>M</t>
    </r>
    <r>
      <rPr>
        <vertAlign val="subscript"/>
        <sz val="11"/>
        <color theme="1"/>
        <rFont val="Garamond"/>
        <family val="1"/>
      </rPr>
      <t>ED</t>
    </r>
    <r>
      <rPr>
        <sz val="11"/>
        <color theme="1"/>
        <rFont val="Garamond"/>
        <family val="1"/>
      </rPr>
      <t>/z +</t>
    </r>
    <r>
      <rPr>
        <sz val="11"/>
        <color theme="1"/>
        <rFont val="Symbol"/>
        <family val="1"/>
        <charset val="2"/>
      </rPr>
      <t>D</t>
    </r>
    <r>
      <rPr>
        <sz val="11"/>
        <color theme="1"/>
        <rFont val="Garamond"/>
        <family val="1"/>
      </rPr>
      <t>F</t>
    </r>
    <r>
      <rPr>
        <vertAlign val="subscript"/>
        <sz val="11"/>
        <color theme="1"/>
        <rFont val="Garamond"/>
        <family val="1"/>
      </rPr>
      <t>D</t>
    </r>
  </si>
  <si>
    <r>
      <t>M</t>
    </r>
    <r>
      <rPr>
        <vertAlign val="subscript"/>
        <sz val="11"/>
        <color theme="1"/>
        <rFont val="Garamond"/>
        <family val="1"/>
      </rPr>
      <t>Rd</t>
    </r>
    <r>
      <rPr>
        <sz val="11"/>
        <color theme="1"/>
        <rFont val="Garamond"/>
        <family val="1"/>
      </rPr>
      <t xml:space="preserve"> =0.87 fyk Ast (d-0.416 xu)</t>
    </r>
  </si>
  <si>
    <r>
      <t>M</t>
    </r>
    <r>
      <rPr>
        <vertAlign val="subscript"/>
        <sz val="11"/>
        <color theme="1"/>
        <rFont val="Garamond"/>
        <family val="1"/>
      </rPr>
      <t>RD</t>
    </r>
    <r>
      <rPr>
        <sz val="11"/>
        <color theme="1"/>
        <rFont val="Garamond"/>
        <family val="1"/>
      </rPr>
      <t>/z</t>
    </r>
  </si>
  <si>
    <r>
      <t>A</t>
    </r>
    <r>
      <rPr>
        <vertAlign val="subscript"/>
        <sz val="11"/>
        <rFont val="Garamond"/>
        <family val="1"/>
      </rPr>
      <t>st Calc.</t>
    </r>
    <r>
      <rPr>
        <sz val="11"/>
        <rFont val="Garamond"/>
        <family val="1"/>
      </rPr>
      <t>&lt;A</t>
    </r>
    <r>
      <rPr>
        <vertAlign val="subscript"/>
        <sz val="11"/>
        <rFont val="Garamond"/>
        <family val="1"/>
      </rPr>
      <t>st Provided</t>
    </r>
  </si>
  <si>
    <r>
      <t>A</t>
    </r>
    <r>
      <rPr>
        <vertAlign val="subscript"/>
        <sz val="10"/>
        <rFont val="Garamond"/>
        <family val="1"/>
      </rPr>
      <t>st,provided</t>
    </r>
    <r>
      <rPr>
        <sz val="10"/>
        <rFont val="Garamond"/>
        <family val="1"/>
      </rPr>
      <t xml:space="preserve"> &gt; A</t>
    </r>
    <r>
      <rPr>
        <vertAlign val="subscript"/>
        <sz val="10"/>
        <rFont val="Garamond"/>
        <family val="1"/>
      </rPr>
      <t>st</t>
    </r>
    <r>
      <rPr>
        <sz val="10"/>
        <rFont val="Garamond"/>
        <family val="1"/>
      </rPr>
      <t xml:space="preserve"> min</t>
    </r>
  </si>
  <si>
    <r>
      <t>M</t>
    </r>
    <r>
      <rPr>
        <vertAlign val="subscript"/>
        <sz val="11"/>
        <color theme="1"/>
        <rFont val="Garamond"/>
        <family val="1"/>
      </rPr>
      <t>RD</t>
    </r>
    <r>
      <rPr>
        <sz val="11"/>
        <color theme="1"/>
        <rFont val="Garamond"/>
        <family val="1"/>
      </rPr>
      <t>/z &gt; M</t>
    </r>
    <r>
      <rPr>
        <vertAlign val="subscript"/>
        <sz val="11"/>
        <color theme="1"/>
        <rFont val="Garamond"/>
        <family val="1"/>
      </rPr>
      <t>ED</t>
    </r>
    <r>
      <rPr>
        <sz val="11"/>
        <color theme="1"/>
        <rFont val="Garamond"/>
        <family val="1"/>
      </rPr>
      <t>/z +</t>
    </r>
    <r>
      <rPr>
        <sz val="11"/>
        <color theme="1"/>
        <rFont val="Symbol"/>
        <family val="1"/>
        <charset val="2"/>
      </rPr>
      <t>D</t>
    </r>
    <r>
      <rPr>
        <sz val="11"/>
        <color theme="1"/>
        <rFont val="Garamond"/>
        <family val="1"/>
      </rPr>
      <t>F</t>
    </r>
    <r>
      <rPr>
        <vertAlign val="subscript"/>
        <sz val="11"/>
        <color theme="1"/>
        <rFont val="Garamond"/>
        <family val="1"/>
      </rPr>
      <t>D</t>
    </r>
  </si>
  <si>
    <t>Dia</t>
  </si>
  <si>
    <r>
      <t>A</t>
    </r>
    <r>
      <rPr>
        <vertAlign val="subscript"/>
        <sz val="11"/>
        <rFont val="Garamond"/>
        <family val="1"/>
      </rPr>
      <t>st, Provided</t>
    </r>
  </si>
  <si>
    <t>nos</t>
  </si>
  <si>
    <r>
      <t>mm</t>
    </r>
    <r>
      <rPr>
        <vertAlign val="superscript"/>
        <sz val="11"/>
        <rFont val="Garamond"/>
        <family val="1"/>
      </rPr>
      <t>2</t>
    </r>
  </si>
  <si>
    <t>Section at face of columne</t>
  </si>
  <si>
    <t>ULS BM</t>
  </si>
  <si>
    <t>Section at deff from face of columne</t>
  </si>
  <si>
    <t>Section just below bearing</t>
  </si>
  <si>
    <t>B) SLS STRESS CHECK</t>
  </si>
  <si>
    <t>Rare Load combination.</t>
  </si>
  <si>
    <r>
      <t>M</t>
    </r>
    <r>
      <rPr>
        <vertAlign val="subscript"/>
        <sz val="11"/>
        <color theme="1"/>
        <rFont val="Garamond"/>
        <family val="1"/>
      </rPr>
      <t>RARE</t>
    </r>
    <r>
      <rPr>
        <sz val="11"/>
        <color theme="1"/>
        <rFont val="Garamond"/>
        <family val="1"/>
      </rPr>
      <t xml:space="preserve"> -M</t>
    </r>
    <r>
      <rPr>
        <vertAlign val="subscript"/>
        <sz val="11"/>
        <color theme="1"/>
        <rFont val="Garamond"/>
        <family val="1"/>
      </rPr>
      <t>QP</t>
    </r>
  </si>
  <si>
    <t>Quasi Permanent Load Combination</t>
  </si>
  <si>
    <t>Es / Ecm'</t>
  </si>
  <si>
    <t>Stress Check for SLS Load Combinations</t>
  </si>
  <si>
    <t>modular ratio</t>
  </si>
  <si>
    <t>N.A. depth (dc)</t>
  </si>
  <si>
    <t>Comp stress</t>
  </si>
  <si>
    <t>Max C. Stress</t>
  </si>
  <si>
    <t>Tensile stress</t>
  </si>
  <si>
    <t>Max T Stress</t>
  </si>
  <si>
    <t>(tm/m)</t>
  </si>
  <si>
    <t>mm4</t>
  </si>
  <si>
    <t xml:space="preserve"> Mpa</t>
  </si>
  <si>
    <t>SLS (R Comb.)</t>
  </si>
  <si>
    <t>SLS (QP Comb.)</t>
  </si>
  <si>
    <t>C) SLS CRACK WIDTH CHECK (QUASI PERMANENT LOAD COMBINATION)</t>
  </si>
  <si>
    <r>
      <t>1) CHECK A</t>
    </r>
    <r>
      <rPr>
        <b/>
        <vertAlign val="subscript"/>
        <sz val="11"/>
        <rFont val="Garamond"/>
        <family val="1"/>
      </rPr>
      <t>st,min</t>
    </r>
    <r>
      <rPr>
        <b/>
        <sz val="11"/>
        <rFont val="Garamond"/>
        <family val="1"/>
      </rPr>
      <t xml:space="preserve"> for crack control</t>
    </r>
  </si>
  <si>
    <t>Act =bh/2</t>
  </si>
  <si>
    <r>
      <rPr>
        <sz val="11"/>
        <color theme="1"/>
        <rFont val="Symbol"/>
        <family val="1"/>
        <charset val="2"/>
      </rPr>
      <t>s</t>
    </r>
    <r>
      <rPr>
        <vertAlign val="subscript"/>
        <sz val="11"/>
        <color theme="1"/>
        <rFont val="Garamond"/>
        <family val="1"/>
      </rPr>
      <t>s</t>
    </r>
    <r>
      <rPr>
        <sz val="11"/>
        <color theme="1"/>
        <rFont val="Garamond"/>
        <family val="1"/>
      </rPr>
      <t xml:space="preserve"> = fyk</t>
    </r>
  </si>
  <si>
    <r>
      <t>A</t>
    </r>
    <r>
      <rPr>
        <vertAlign val="subscript"/>
        <sz val="11"/>
        <color theme="1"/>
        <rFont val="Garamond"/>
        <family val="1"/>
      </rPr>
      <t>s,min</t>
    </r>
    <r>
      <rPr>
        <sz val="11"/>
        <color theme="1"/>
        <rFont val="Garamond"/>
        <family val="1"/>
      </rPr>
      <t xml:space="preserve"> =k</t>
    </r>
    <r>
      <rPr>
        <vertAlign val="subscript"/>
        <sz val="11"/>
        <color theme="1"/>
        <rFont val="Garamond"/>
        <family val="1"/>
      </rPr>
      <t>c</t>
    </r>
    <r>
      <rPr>
        <sz val="11"/>
        <color theme="1"/>
        <rFont val="Garamond"/>
        <family val="1"/>
      </rPr>
      <t xml:space="preserve"> k f</t>
    </r>
    <r>
      <rPr>
        <vertAlign val="subscript"/>
        <sz val="11"/>
        <color theme="1"/>
        <rFont val="Garamond"/>
        <family val="1"/>
      </rPr>
      <t>ct,eff</t>
    </r>
    <r>
      <rPr>
        <sz val="11"/>
        <color theme="1"/>
        <rFont val="Garamond"/>
        <family val="1"/>
      </rPr>
      <t xml:space="preserve"> A</t>
    </r>
    <r>
      <rPr>
        <vertAlign val="subscript"/>
        <sz val="11"/>
        <color theme="1"/>
        <rFont val="Garamond"/>
        <family val="1"/>
      </rPr>
      <t>ct</t>
    </r>
    <r>
      <rPr>
        <sz val="11"/>
        <color theme="1"/>
        <rFont val="Garamond"/>
        <family val="1"/>
      </rPr>
      <t xml:space="preserve"> / </t>
    </r>
    <r>
      <rPr>
        <sz val="11"/>
        <color theme="1"/>
        <rFont val="Symbol"/>
        <family val="1"/>
        <charset val="2"/>
      </rPr>
      <t>s</t>
    </r>
    <r>
      <rPr>
        <vertAlign val="subscript"/>
        <sz val="11"/>
        <color theme="1"/>
        <rFont val="Garamond"/>
        <family val="1"/>
      </rPr>
      <t>s</t>
    </r>
  </si>
  <si>
    <r>
      <t>A</t>
    </r>
    <r>
      <rPr>
        <vertAlign val="subscript"/>
        <sz val="11"/>
        <color theme="1"/>
        <rFont val="Garamond"/>
        <family val="1"/>
      </rPr>
      <t>s,provided</t>
    </r>
  </si>
  <si>
    <t>check</t>
  </si>
  <si>
    <t>2) CHECK FOR MAXIMUM SPACING b/w bars.</t>
  </si>
  <si>
    <t>cover</t>
  </si>
  <si>
    <t>Provided</t>
  </si>
  <si>
    <t>Calculated</t>
  </si>
  <si>
    <r>
      <rPr>
        <sz val="11"/>
        <color theme="1"/>
        <rFont val="Symbol"/>
        <family val="1"/>
        <charset val="2"/>
      </rPr>
      <t>f</t>
    </r>
    <r>
      <rPr>
        <sz val="11"/>
        <color theme="1"/>
        <rFont val="Garamond"/>
        <family val="1"/>
      </rPr>
      <t>eq</t>
    </r>
  </si>
  <si>
    <t>3) CHECK FOR CRACK WIDTH</t>
  </si>
  <si>
    <r>
      <t>h</t>
    </r>
    <r>
      <rPr>
        <vertAlign val="subscript"/>
        <sz val="11"/>
        <color theme="1"/>
        <rFont val="Garamond"/>
        <family val="1"/>
      </rPr>
      <t>c,eff</t>
    </r>
    <r>
      <rPr>
        <sz val="11"/>
        <color theme="1"/>
        <rFont val="Garamond"/>
        <family val="1"/>
      </rPr>
      <t xml:space="preserve"> =Min [ 2.5 ( h - d )  , ( h - x/3 ) , h/2]</t>
    </r>
  </si>
  <si>
    <r>
      <t>A</t>
    </r>
    <r>
      <rPr>
        <vertAlign val="subscript"/>
        <sz val="11"/>
        <color theme="1"/>
        <rFont val="Garamond"/>
        <family val="1"/>
      </rPr>
      <t>ceff</t>
    </r>
    <r>
      <rPr>
        <sz val="11"/>
        <color theme="1"/>
        <rFont val="Garamond"/>
        <family val="1"/>
      </rPr>
      <t xml:space="preserve"> = h</t>
    </r>
    <r>
      <rPr>
        <vertAlign val="subscript"/>
        <sz val="11"/>
        <color theme="1"/>
        <rFont val="Garamond"/>
        <family val="1"/>
      </rPr>
      <t>c,eff</t>
    </r>
    <r>
      <rPr>
        <sz val="11"/>
        <color theme="1"/>
        <rFont val="Garamond"/>
        <family val="1"/>
      </rPr>
      <t xml:space="preserve"> *b</t>
    </r>
  </si>
  <si>
    <r>
      <t>As</t>
    </r>
    <r>
      <rPr>
        <vertAlign val="subscript"/>
        <sz val="11"/>
        <rFont val="Garamond"/>
        <family val="1"/>
      </rPr>
      <t>provided</t>
    </r>
  </si>
  <si>
    <r>
      <rPr>
        <sz val="11"/>
        <rFont val="Symbol"/>
        <family val="1"/>
        <charset val="2"/>
      </rPr>
      <t>r</t>
    </r>
    <r>
      <rPr>
        <vertAlign val="subscript"/>
        <sz val="11"/>
        <rFont val="Garamond"/>
        <family val="1"/>
      </rPr>
      <t xml:space="preserve">peff = </t>
    </r>
    <r>
      <rPr>
        <sz val="11"/>
        <rFont val="Garamond"/>
        <family val="1"/>
      </rPr>
      <t>A</t>
    </r>
    <r>
      <rPr>
        <vertAlign val="subscript"/>
        <sz val="11"/>
        <rFont val="Garamond"/>
        <family val="1"/>
      </rPr>
      <t>s</t>
    </r>
    <r>
      <rPr>
        <sz val="11"/>
        <rFont val="Garamond"/>
        <family val="1"/>
      </rPr>
      <t>/A</t>
    </r>
    <r>
      <rPr>
        <vertAlign val="subscript"/>
        <sz val="11"/>
        <rFont val="Garamond"/>
        <family val="1"/>
      </rPr>
      <t>c,eff</t>
    </r>
  </si>
  <si>
    <r>
      <t>s</t>
    </r>
    <r>
      <rPr>
        <vertAlign val="subscript"/>
        <sz val="11"/>
        <color theme="1"/>
        <rFont val="Garamond"/>
        <family val="1"/>
      </rPr>
      <t>max</t>
    </r>
    <r>
      <rPr>
        <sz val="11"/>
        <color theme="1"/>
        <rFont val="Garamond"/>
        <family val="1"/>
      </rPr>
      <t xml:space="preserve"> =3.4c + 0.17</t>
    </r>
    <r>
      <rPr>
        <sz val="11"/>
        <color theme="1"/>
        <rFont val="Symbol"/>
        <family val="1"/>
        <charset val="2"/>
      </rPr>
      <t xml:space="preserve"> f /r</t>
    </r>
    <r>
      <rPr>
        <vertAlign val="subscript"/>
        <sz val="11"/>
        <color theme="1"/>
        <rFont val="Garamond"/>
        <family val="1"/>
      </rPr>
      <t>Peff</t>
    </r>
  </si>
  <si>
    <t>x =neutral axis depth</t>
  </si>
  <si>
    <r>
      <rPr>
        <sz val="11"/>
        <rFont val="Symbol"/>
        <family val="1"/>
        <charset val="2"/>
      </rPr>
      <t>a</t>
    </r>
    <r>
      <rPr>
        <sz val="11"/>
        <rFont val="Garamond"/>
        <family val="1"/>
      </rPr>
      <t>e = E</t>
    </r>
    <r>
      <rPr>
        <vertAlign val="subscript"/>
        <sz val="11"/>
        <rFont val="Garamond"/>
        <family val="1"/>
      </rPr>
      <t>s</t>
    </r>
    <r>
      <rPr>
        <sz val="11"/>
        <rFont val="Garamond"/>
        <family val="1"/>
      </rPr>
      <t>/E</t>
    </r>
    <r>
      <rPr>
        <vertAlign val="subscript"/>
        <sz val="11"/>
        <rFont val="Garamond"/>
        <family val="1"/>
      </rPr>
      <t>cm'</t>
    </r>
  </si>
  <si>
    <r>
      <rPr>
        <sz val="10"/>
        <color theme="1"/>
        <rFont val="Symbol"/>
        <family val="1"/>
        <charset val="2"/>
      </rPr>
      <t>e</t>
    </r>
    <r>
      <rPr>
        <vertAlign val="subscript"/>
        <sz val="10"/>
        <color theme="1"/>
        <rFont val="Garamond"/>
        <family val="1"/>
      </rPr>
      <t>sm</t>
    </r>
    <r>
      <rPr>
        <sz val="10"/>
        <color theme="1"/>
        <rFont val="Garamond"/>
        <family val="1"/>
      </rPr>
      <t xml:space="preserve"> - </t>
    </r>
    <r>
      <rPr>
        <sz val="10"/>
        <color theme="1"/>
        <rFont val="Symbol"/>
        <family val="1"/>
        <charset val="2"/>
      </rPr>
      <t>e</t>
    </r>
    <r>
      <rPr>
        <vertAlign val="subscript"/>
        <sz val="10"/>
        <color theme="1"/>
        <rFont val="Garamond"/>
        <family val="1"/>
      </rPr>
      <t>cm</t>
    </r>
    <r>
      <rPr>
        <sz val="10"/>
        <color theme="1"/>
        <rFont val="Garamond"/>
        <family val="1"/>
      </rPr>
      <t xml:space="preserve"> =Max </t>
    </r>
    <r>
      <rPr>
        <sz val="10"/>
        <color theme="1"/>
        <rFont val="Symbol"/>
        <family val="1"/>
        <charset val="2"/>
      </rPr>
      <t>[ [ s</t>
    </r>
    <r>
      <rPr>
        <vertAlign val="subscript"/>
        <sz val="10"/>
        <color theme="1"/>
        <rFont val="Garamond"/>
        <family val="1"/>
      </rPr>
      <t>sc</t>
    </r>
    <r>
      <rPr>
        <sz val="10"/>
        <color theme="1"/>
        <rFont val="Garamond"/>
        <family val="1"/>
      </rPr>
      <t xml:space="preserve"> - k</t>
    </r>
    <r>
      <rPr>
        <vertAlign val="subscript"/>
        <sz val="10"/>
        <color theme="1"/>
        <rFont val="Garamond"/>
        <family val="1"/>
      </rPr>
      <t>t</t>
    </r>
    <r>
      <rPr>
        <sz val="10"/>
        <color theme="1"/>
        <rFont val="Garamond"/>
        <family val="1"/>
      </rPr>
      <t xml:space="preserve"> f</t>
    </r>
    <r>
      <rPr>
        <vertAlign val="subscript"/>
        <sz val="10"/>
        <color theme="1"/>
        <rFont val="Garamond"/>
        <family val="1"/>
      </rPr>
      <t>ct,eff</t>
    </r>
    <r>
      <rPr>
        <sz val="10"/>
        <color theme="1"/>
        <rFont val="Garamond"/>
        <family val="1"/>
      </rPr>
      <t xml:space="preserve"> ( 1+ </t>
    </r>
    <r>
      <rPr>
        <sz val="10"/>
        <color theme="1"/>
        <rFont val="Symbol"/>
        <family val="1"/>
        <charset val="2"/>
      </rPr>
      <t>a</t>
    </r>
    <r>
      <rPr>
        <vertAlign val="subscript"/>
        <sz val="10"/>
        <color theme="1"/>
        <rFont val="Garamond"/>
        <family val="1"/>
      </rPr>
      <t>e</t>
    </r>
    <r>
      <rPr>
        <sz val="10"/>
        <color theme="1"/>
        <rFont val="Garamond"/>
        <family val="1"/>
      </rPr>
      <t xml:space="preserve"> </t>
    </r>
    <r>
      <rPr>
        <sz val="10"/>
        <color theme="1"/>
        <rFont val="Symbol"/>
        <family val="1"/>
        <charset val="2"/>
      </rPr>
      <t>r</t>
    </r>
    <r>
      <rPr>
        <vertAlign val="subscript"/>
        <sz val="10"/>
        <color theme="1"/>
        <rFont val="Garamond"/>
        <family val="1"/>
      </rPr>
      <t>P,eff</t>
    </r>
    <r>
      <rPr>
        <sz val="10"/>
        <color theme="1"/>
        <rFont val="Garamond"/>
        <family val="1"/>
      </rPr>
      <t xml:space="preserve"> ) / </t>
    </r>
    <r>
      <rPr>
        <sz val="10"/>
        <color theme="1"/>
        <rFont val="Symbol"/>
        <family val="1"/>
        <charset val="2"/>
      </rPr>
      <t>r</t>
    </r>
    <r>
      <rPr>
        <vertAlign val="subscript"/>
        <sz val="10"/>
        <color theme="1"/>
        <rFont val="Garamond"/>
        <family val="1"/>
      </rPr>
      <t>P,eff</t>
    </r>
    <r>
      <rPr>
        <sz val="10"/>
        <color theme="1"/>
        <rFont val="Garamond"/>
        <family val="1"/>
      </rPr>
      <t xml:space="preserve"> ] /Es   ,  0.6</t>
    </r>
    <r>
      <rPr>
        <sz val="10"/>
        <color theme="1"/>
        <rFont val="Symbol"/>
        <family val="1"/>
        <charset val="2"/>
      </rPr>
      <t>s</t>
    </r>
    <r>
      <rPr>
        <vertAlign val="subscript"/>
        <sz val="10"/>
        <color theme="1"/>
        <rFont val="Garamond"/>
        <family val="1"/>
      </rPr>
      <t>sc</t>
    </r>
    <r>
      <rPr>
        <sz val="10"/>
        <color theme="1"/>
        <rFont val="Garamond"/>
        <family val="1"/>
      </rPr>
      <t>/Es  ]</t>
    </r>
  </si>
  <si>
    <r>
      <t>w</t>
    </r>
    <r>
      <rPr>
        <vertAlign val="subscript"/>
        <sz val="11"/>
        <color theme="1"/>
        <rFont val="Garamond"/>
        <family val="1"/>
      </rPr>
      <t>k</t>
    </r>
    <r>
      <rPr>
        <sz val="11"/>
        <color theme="1"/>
        <rFont val="Garamond"/>
        <family val="1"/>
      </rPr>
      <t/>
    </r>
  </si>
  <si>
    <t>D) CHECK FOR SHEAR :</t>
  </si>
  <si>
    <t>Check of Shear Reinforcement Requirement</t>
  </si>
  <si>
    <r>
      <t>V</t>
    </r>
    <r>
      <rPr>
        <vertAlign val="subscript"/>
        <sz val="11"/>
        <rFont val="Garamond"/>
        <family val="1"/>
      </rPr>
      <t>ED</t>
    </r>
  </si>
  <si>
    <r>
      <rPr>
        <sz val="11"/>
        <color theme="1"/>
        <rFont val="Symbol"/>
        <family val="1"/>
        <charset val="2"/>
      </rPr>
      <t>b</t>
    </r>
    <r>
      <rPr>
        <sz val="11"/>
        <color theme="1"/>
        <rFont val="Garamond"/>
        <family val="1"/>
      </rPr>
      <t/>
    </r>
  </si>
  <si>
    <r>
      <rPr>
        <sz val="11"/>
        <color theme="1"/>
        <rFont val="Symbol"/>
        <family val="1"/>
        <charset val="2"/>
      </rPr>
      <t>b</t>
    </r>
    <r>
      <rPr>
        <sz val="11"/>
        <color theme="1"/>
        <rFont val="Garamond"/>
        <family val="1"/>
      </rPr>
      <t>V</t>
    </r>
    <r>
      <rPr>
        <vertAlign val="subscript"/>
        <sz val="11"/>
        <color theme="1"/>
        <rFont val="Garamond"/>
        <family val="1"/>
      </rPr>
      <t>ED</t>
    </r>
  </si>
  <si>
    <t>bw</t>
  </si>
  <si>
    <r>
      <t xml:space="preserve">k= Min [ 1 + </t>
    </r>
    <r>
      <rPr>
        <sz val="11"/>
        <color theme="1"/>
        <rFont val="Symbol"/>
        <family val="1"/>
        <charset val="2"/>
      </rPr>
      <t>Ö</t>
    </r>
    <r>
      <rPr>
        <sz val="11"/>
        <color theme="1"/>
        <rFont val="Garamond"/>
        <family val="1"/>
      </rPr>
      <t>200/d  , 2 ]</t>
    </r>
  </si>
  <si>
    <r>
      <rPr>
        <sz val="10"/>
        <color theme="1"/>
        <rFont val="Symbol"/>
        <family val="1"/>
        <charset val="2"/>
      </rPr>
      <t>r</t>
    </r>
    <r>
      <rPr>
        <sz val="10"/>
        <color theme="1"/>
        <rFont val="Garamond"/>
        <family val="1"/>
      </rPr>
      <t>1 = Min [ Asl/bw d , 0.02 ]</t>
    </r>
  </si>
  <si>
    <r>
      <rPr>
        <sz val="11"/>
        <color theme="1"/>
        <rFont val="Symbol"/>
        <family val="1"/>
        <charset val="2"/>
      </rPr>
      <t>n</t>
    </r>
    <r>
      <rPr>
        <vertAlign val="subscript"/>
        <sz val="11"/>
        <color theme="1"/>
        <rFont val="Garamond"/>
        <family val="1"/>
      </rPr>
      <t>min</t>
    </r>
    <r>
      <rPr>
        <sz val="11"/>
        <color theme="1"/>
        <rFont val="Garamond"/>
        <family val="1"/>
      </rPr>
      <t xml:space="preserve"> = 0.031 k</t>
    </r>
    <r>
      <rPr>
        <vertAlign val="superscript"/>
        <sz val="11"/>
        <color theme="1"/>
        <rFont val="Garamond"/>
        <family val="1"/>
      </rPr>
      <t>3/2</t>
    </r>
    <r>
      <rPr>
        <sz val="11"/>
        <color theme="1"/>
        <rFont val="Garamond"/>
        <family val="1"/>
      </rPr>
      <t xml:space="preserve"> fck</t>
    </r>
    <r>
      <rPr>
        <vertAlign val="superscript"/>
        <sz val="11"/>
        <color theme="1"/>
        <rFont val="Garamond"/>
        <family val="1"/>
      </rPr>
      <t>1/2</t>
    </r>
  </si>
  <si>
    <r>
      <t>V</t>
    </r>
    <r>
      <rPr>
        <vertAlign val="subscript"/>
        <sz val="11"/>
        <color theme="1"/>
        <rFont val="Garamond"/>
        <family val="1"/>
      </rPr>
      <t>Rdc</t>
    </r>
    <r>
      <rPr>
        <sz val="11"/>
        <color theme="1"/>
        <rFont val="Garamond"/>
        <family val="1"/>
      </rPr>
      <t xml:space="preserve"> =Max [ ( 0.12 k (80 </t>
    </r>
    <r>
      <rPr>
        <sz val="11"/>
        <color theme="1"/>
        <rFont val="Symbol"/>
        <family val="1"/>
        <charset val="2"/>
      </rPr>
      <t>r</t>
    </r>
    <r>
      <rPr>
        <sz val="11"/>
        <color theme="1"/>
        <rFont val="Garamond"/>
        <family val="1"/>
      </rPr>
      <t>1 fck )</t>
    </r>
    <r>
      <rPr>
        <vertAlign val="superscript"/>
        <sz val="11"/>
        <color theme="1"/>
        <rFont val="Garamond"/>
        <family val="1"/>
      </rPr>
      <t>0.33</t>
    </r>
    <r>
      <rPr>
        <sz val="11"/>
        <color theme="1"/>
        <rFont val="Garamond"/>
        <family val="1"/>
      </rPr>
      <t xml:space="preserve"> + 0.15 </t>
    </r>
    <r>
      <rPr>
        <sz val="11"/>
        <color theme="1"/>
        <rFont val="Symbol"/>
        <family val="1"/>
        <charset val="2"/>
      </rPr>
      <t>s</t>
    </r>
    <r>
      <rPr>
        <vertAlign val="subscript"/>
        <sz val="11"/>
        <color theme="1"/>
        <rFont val="Garamond"/>
        <family val="1"/>
      </rPr>
      <t>cp</t>
    </r>
    <r>
      <rPr>
        <sz val="11"/>
        <color theme="1"/>
        <rFont val="Garamond"/>
        <family val="1"/>
      </rPr>
      <t xml:space="preserve"> ) bw d , (</t>
    </r>
    <r>
      <rPr>
        <sz val="11"/>
        <color theme="1"/>
        <rFont val="Symbol"/>
        <family val="1"/>
        <charset val="2"/>
      </rPr>
      <t>n</t>
    </r>
    <r>
      <rPr>
        <vertAlign val="subscript"/>
        <sz val="11"/>
        <color theme="1"/>
        <rFont val="Garamond"/>
        <family val="1"/>
      </rPr>
      <t>min</t>
    </r>
    <r>
      <rPr>
        <sz val="11"/>
        <color theme="1"/>
        <rFont val="Garamond"/>
        <family val="1"/>
      </rPr>
      <t xml:space="preserve"> +0.15</t>
    </r>
    <r>
      <rPr>
        <sz val="11"/>
        <color theme="1"/>
        <rFont val="Symbol"/>
        <family val="1"/>
        <charset val="2"/>
      </rPr>
      <t>s</t>
    </r>
    <r>
      <rPr>
        <vertAlign val="subscript"/>
        <sz val="11"/>
        <color theme="1"/>
        <rFont val="Garamond"/>
        <family val="1"/>
      </rPr>
      <t>cp</t>
    </r>
    <r>
      <rPr>
        <sz val="11"/>
        <color theme="1"/>
        <rFont val="Garamond"/>
        <family val="1"/>
      </rPr>
      <t xml:space="preserve"> ) bw d ]</t>
    </r>
  </si>
  <si>
    <t xml:space="preserve">Check </t>
  </si>
  <si>
    <r>
      <t xml:space="preserve">    mm</t>
    </r>
    <r>
      <rPr>
        <vertAlign val="superscript"/>
        <sz val="11"/>
        <color theme="1"/>
        <rFont val="Garamond"/>
        <family val="1"/>
      </rPr>
      <t>2</t>
    </r>
  </si>
  <si>
    <t>Check for Maximum Shear Capacity :</t>
  </si>
  <si>
    <r>
      <rPr>
        <sz val="11"/>
        <color theme="1"/>
        <rFont val="Symbol"/>
        <family val="1"/>
        <charset val="2"/>
      </rPr>
      <t>q</t>
    </r>
    <r>
      <rPr>
        <sz val="11"/>
        <color theme="1"/>
        <rFont val="Garamond"/>
        <family val="1"/>
      </rPr>
      <t xml:space="preserve"> = 0.5 sin</t>
    </r>
    <r>
      <rPr>
        <vertAlign val="superscript"/>
        <sz val="11"/>
        <color theme="1"/>
        <rFont val="Garamond"/>
        <family val="1"/>
      </rPr>
      <t>-1</t>
    </r>
    <r>
      <rPr>
        <sz val="11"/>
        <color theme="1"/>
        <rFont val="Garamond"/>
        <family val="1"/>
      </rPr>
      <t xml:space="preserve"> [ 2*V</t>
    </r>
    <r>
      <rPr>
        <vertAlign val="subscript"/>
        <sz val="11"/>
        <color theme="1"/>
        <rFont val="Garamond"/>
        <family val="1"/>
      </rPr>
      <t>NS</t>
    </r>
    <r>
      <rPr>
        <sz val="11"/>
        <color theme="1"/>
        <rFont val="Garamond"/>
        <family val="1"/>
      </rPr>
      <t xml:space="preserve"> / (</t>
    </r>
    <r>
      <rPr>
        <sz val="11"/>
        <color theme="1"/>
        <rFont val="Symbol"/>
        <family val="1"/>
        <charset val="2"/>
      </rPr>
      <t>a</t>
    </r>
    <r>
      <rPr>
        <vertAlign val="subscript"/>
        <sz val="11"/>
        <color theme="1"/>
        <rFont val="Garamond"/>
        <family val="1"/>
      </rPr>
      <t>cw</t>
    </r>
    <r>
      <rPr>
        <sz val="11"/>
        <color theme="1"/>
        <rFont val="Garamond"/>
        <family val="1"/>
      </rPr>
      <t xml:space="preserve"> * b</t>
    </r>
    <r>
      <rPr>
        <vertAlign val="subscript"/>
        <sz val="11"/>
        <color theme="1"/>
        <rFont val="Garamond"/>
        <family val="1"/>
      </rPr>
      <t>w</t>
    </r>
    <r>
      <rPr>
        <sz val="11"/>
        <color theme="1"/>
        <rFont val="Garamond"/>
        <family val="1"/>
      </rPr>
      <t xml:space="preserve"> * z * v1 * f</t>
    </r>
    <r>
      <rPr>
        <vertAlign val="subscript"/>
        <sz val="11"/>
        <color theme="1"/>
        <rFont val="Garamond"/>
        <family val="1"/>
      </rPr>
      <t>cd</t>
    </r>
    <r>
      <rPr>
        <sz val="11"/>
        <color theme="1"/>
        <rFont val="Garamond"/>
        <family val="1"/>
      </rPr>
      <t>) ]</t>
    </r>
  </si>
  <si>
    <t>z =0.9d</t>
  </si>
  <si>
    <r>
      <rPr>
        <sz val="11"/>
        <color theme="1"/>
        <rFont val="Symbol"/>
        <family val="1"/>
        <charset val="2"/>
      </rPr>
      <t>a</t>
    </r>
    <r>
      <rPr>
        <vertAlign val="subscript"/>
        <sz val="11"/>
        <color theme="1"/>
        <rFont val="Garamond"/>
        <family val="1"/>
      </rPr>
      <t>cw</t>
    </r>
    <r>
      <rPr>
        <sz val="11"/>
        <color theme="1"/>
        <rFont val="Garamond"/>
        <family val="1"/>
      </rPr>
      <t xml:space="preserve"> </t>
    </r>
  </si>
  <si>
    <r>
      <t>V</t>
    </r>
    <r>
      <rPr>
        <vertAlign val="subscript"/>
        <sz val="11"/>
        <color theme="1"/>
        <rFont val="Garamond"/>
        <family val="1"/>
      </rPr>
      <t>rdmax</t>
    </r>
    <r>
      <rPr>
        <sz val="11"/>
        <color theme="1"/>
        <rFont val="Garamond"/>
        <family val="1"/>
      </rPr>
      <t xml:space="preserve"> = </t>
    </r>
    <r>
      <rPr>
        <sz val="11"/>
        <color theme="1"/>
        <rFont val="Symbol"/>
        <family val="1"/>
        <charset val="2"/>
      </rPr>
      <t>a</t>
    </r>
    <r>
      <rPr>
        <vertAlign val="subscript"/>
        <sz val="11"/>
        <color theme="1"/>
        <rFont val="Garamond"/>
        <family val="1"/>
      </rPr>
      <t>cw</t>
    </r>
    <r>
      <rPr>
        <sz val="11"/>
        <color theme="1"/>
        <rFont val="Garamond"/>
        <family val="1"/>
      </rPr>
      <t xml:space="preserve"> * bw * z * </t>
    </r>
    <r>
      <rPr>
        <sz val="11"/>
        <color theme="1"/>
        <rFont val="Symbol"/>
        <family val="1"/>
        <charset val="2"/>
      </rPr>
      <t>n</t>
    </r>
    <r>
      <rPr>
        <sz val="11"/>
        <color theme="1"/>
        <rFont val="Garamond"/>
        <family val="1"/>
      </rPr>
      <t>1 * fcd /2</t>
    </r>
  </si>
  <si>
    <t>EQUIVALENT SHEAR CALCULATION DUE TO TORSION :</t>
  </si>
  <si>
    <r>
      <t>T</t>
    </r>
    <r>
      <rPr>
        <vertAlign val="subscript"/>
        <sz val="11"/>
        <color theme="1"/>
        <rFont val="Garamond"/>
        <family val="1"/>
      </rPr>
      <t>ED</t>
    </r>
  </si>
  <si>
    <r>
      <t>A</t>
    </r>
    <r>
      <rPr>
        <vertAlign val="subscript"/>
        <sz val="11"/>
        <color theme="1"/>
        <rFont val="Garamond"/>
        <family val="1"/>
      </rPr>
      <t>k</t>
    </r>
  </si>
  <si>
    <r>
      <t>t</t>
    </r>
    <r>
      <rPr>
        <vertAlign val="subscript"/>
        <sz val="11"/>
        <color theme="1"/>
        <rFont val="Garamond"/>
        <family val="1"/>
      </rPr>
      <t xml:space="preserve">t,i </t>
    </r>
    <r>
      <rPr>
        <sz val="11"/>
        <color theme="1"/>
        <rFont val="Garamond"/>
        <family val="1"/>
      </rPr>
      <t>=T</t>
    </r>
    <r>
      <rPr>
        <vertAlign val="subscript"/>
        <sz val="11"/>
        <color theme="1"/>
        <rFont val="Garamond"/>
        <family val="1"/>
      </rPr>
      <t>ED</t>
    </r>
    <r>
      <rPr>
        <sz val="11"/>
        <color theme="1"/>
        <rFont val="Garamond"/>
        <family val="1"/>
      </rPr>
      <t>/(2A</t>
    </r>
    <r>
      <rPr>
        <vertAlign val="subscript"/>
        <sz val="11"/>
        <color theme="1"/>
        <rFont val="Garamond"/>
        <family val="1"/>
      </rPr>
      <t>k</t>
    </r>
    <r>
      <rPr>
        <sz val="11"/>
        <color theme="1"/>
        <rFont val="Garamond"/>
        <family val="1"/>
      </rPr>
      <t xml:space="preserve"> t</t>
    </r>
    <r>
      <rPr>
        <vertAlign val="subscript"/>
        <sz val="11"/>
        <color theme="1"/>
        <rFont val="Garamond"/>
        <family val="1"/>
      </rPr>
      <t>ef,i</t>
    </r>
    <r>
      <rPr>
        <sz val="11"/>
        <color theme="1"/>
        <rFont val="Garamond"/>
        <family val="1"/>
      </rPr>
      <t>)</t>
    </r>
  </si>
  <si>
    <t>zi =h</t>
  </si>
  <si>
    <r>
      <t>V</t>
    </r>
    <r>
      <rPr>
        <vertAlign val="subscript"/>
        <sz val="11"/>
        <color theme="1"/>
        <rFont val="Garamond"/>
        <family val="1"/>
      </rPr>
      <t>ED,i</t>
    </r>
    <r>
      <rPr>
        <sz val="11"/>
        <color theme="1"/>
        <rFont val="Garamond"/>
        <family val="1"/>
      </rPr>
      <t xml:space="preserve"> =</t>
    </r>
    <r>
      <rPr>
        <sz val="11"/>
        <color theme="1"/>
        <rFont val="Symbol"/>
        <family val="1"/>
        <charset val="2"/>
      </rPr>
      <t>t</t>
    </r>
    <r>
      <rPr>
        <vertAlign val="subscript"/>
        <sz val="11"/>
        <color theme="1"/>
        <rFont val="Garamond"/>
        <family val="1"/>
      </rPr>
      <t>t,i</t>
    </r>
    <r>
      <rPr>
        <sz val="11"/>
        <color theme="1"/>
        <rFont val="Garamond"/>
        <family val="1"/>
      </rPr>
      <t xml:space="preserve"> *t</t>
    </r>
    <r>
      <rPr>
        <vertAlign val="subscript"/>
        <sz val="11"/>
        <color theme="1"/>
        <rFont val="Garamond"/>
        <family val="1"/>
      </rPr>
      <t>ef,i</t>
    </r>
    <r>
      <rPr>
        <sz val="11"/>
        <color theme="1"/>
        <rFont val="Garamond"/>
        <family val="1"/>
      </rPr>
      <t>*z</t>
    </r>
    <r>
      <rPr>
        <vertAlign val="subscript"/>
        <sz val="11"/>
        <color theme="1"/>
        <rFont val="Garamond"/>
        <family val="1"/>
      </rPr>
      <t>i</t>
    </r>
  </si>
  <si>
    <t>FINDING DESIGN SHEAR REINFORCEMENT REQUIREMENT :</t>
  </si>
  <si>
    <r>
      <t>V</t>
    </r>
    <r>
      <rPr>
        <vertAlign val="subscript"/>
        <sz val="11"/>
        <color theme="1"/>
        <rFont val="Garamond"/>
        <family val="1"/>
      </rPr>
      <t>ED1</t>
    </r>
    <r>
      <rPr>
        <sz val="11"/>
        <color theme="1"/>
        <rFont val="Garamond"/>
        <family val="1"/>
      </rPr>
      <t xml:space="preserve"> (Flexure)</t>
    </r>
  </si>
  <si>
    <r>
      <t>V</t>
    </r>
    <r>
      <rPr>
        <vertAlign val="subscript"/>
        <sz val="11"/>
        <color theme="1"/>
        <rFont val="Garamond"/>
        <family val="1"/>
      </rPr>
      <t>ED2</t>
    </r>
    <r>
      <rPr>
        <sz val="11"/>
        <color theme="1"/>
        <rFont val="Garamond"/>
        <family val="1"/>
      </rPr>
      <t xml:space="preserve"> (Torsion)</t>
    </r>
  </si>
  <si>
    <r>
      <t>V</t>
    </r>
    <r>
      <rPr>
        <vertAlign val="subscript"/>
        <sz val="11"/>
        <color theme="1"/>
        <rFont val="Garamond"/>
        <family val="1"/>
      </rPr>
      <t>ED =</t>
    </r>
    <r>
      <rPr>
        <sz val="11"/>
        <color theme="1"/>
        <rFont val="Garamond"/>
        <family val="1"/>
      </rPr>
      <t>V</t>
    </r>
    <r>
      <rPr>
        <vertAlign val="subscript"/>
        <sz val="11"/>
        <color theme="1"/>
        <rFont val="Garamond"/>
        <family val="1"/>
      </rPr>
      <t>ED1+</t>
    </r>
    <r>
      <rPr>
        <sz val="11"/>
        <color theme="1"/>
        <rFont val="Garamond"/>
        <family val="1"/>
      </rPr>
      <t>V</t>
    </r>
    <r>
      <rPr>
        <vertAlign val="subscript"/>
        <sz val="11"/>
        <color theme="1"/>
        <rFont val="Garamond"/>
        <family val="1"/>
      </rPr>
      <t>ED2</t>
    </r>
  </si>
  <si>
    <r>
      <rPr>
        <sz val="11"/>
        <color theme="1"/>
        <rFont val="Symbol"/>
        <family val="1"/>
        <charset val="2"/>
      </rPr>
      <t>q</t>
    </r>
    <r>
      <rPr>
        <vertAlign val="subscript"/>
        <sz val="11"/>
        <color theme="1"/>
        <rFont val="Garamond"/>
        <family val="1"/>
      </rPr>
      <t>design</t>
    </r>
  </si>
  <si>
    <r>
      <t>Asw/s = V</t>
    </r>
    <r>
      <rPr>
        <vertAlign val="subscript"/>
        <sz val="11"/>
        <color theme="1"/>
        <rFont val="Garamond"/>
        <family val="1"/>
      </rPr>
      <t>ED</t>
    </r>
    <r>
      <rPr>
        <sz val="11"/>
        <color theme="1"/>
        <rFont val="Garamond"/>
        <family val="1"/>
      </rPr>
      <t xml:space="preserve"> / z fywd cot</t>
    </r>
    <r>
      <rPr>
        <sz val="11"/>
        <color theme="1"/>
        <rFont val="Symbol"/>
        <family val="1"/>
        <charset val="2"/>
      </rPr>
      <t>q</t>
    </r>
  </si>
  <si>
    <r>
      <rPr>
        <sz val="11"/>
        <color theme="1"/>
        <rFont val="Symbol"/>
        <family val="1"/>
        <charset val="2"/>
      </rPr>
      <t>r</t>
    </r>
    <r>
      <rPr>
        <vertAlign val="subscript"/>
        <sz val="11"/>
        <color theme="1"/>
        <rFont val="Garamond"/>
        <family val="1"/>
      </rPr>
      <t>w,min</t>
    </r>
    <r>
      <rPr>
        <sz val="11"/>
        <color theme="1"/>
        <rFont val="Garamond"/>
        <family val="1"/>
      </rPr>
      <t xml:space="preserve"> =( 0.072 </t>
    </r>
    <r>
      <rPr>
        <sz val="11"/>
        <color theme="1"/>
        <rFont val="Calibri"/>
        <family val="2"/>
      </rPr>
      <t>√</t>
    </r>
    <r>
      <rPr>
        <sz val="11"/>
        <color theme="1"/>
        <rFont val="Garamond"/>
        <family val="1"/>
      </rPr>
      <t xml:space="preserve"> fck ) / fyk</t>
    </r>
  </si>
  <si>
    <r>
      <t>A</t>
    </r>
    <r>
      <rPr>
        <vertAlign val="subscript"/>
        <sz val="11"/>
        <color theme="1"/>
        <rFont val="Garamond"/>
        <family val="1"/>
      </rPr>
      <t>sw,min</t>
    </r>
    <r>
      <rPr>
        <sz val="11"/>
        <color theme="1"/>
        <rFont val="Garamond"/>
        <family val="1"/>
      </rPr>
      <t xml:space="preserve"> = </t>
    </r>
    <r>
      <rPr>
        <sz val="11"/>
        <color theme="1"/>
        <rFont val="Symbol"/>
        <family val="1"/>
        <charset val="2"/>
      </rPr>
      <t>r</t>
    </r>
    <r>
      <rPr>
        <vertAlign val="subscript"/>
        <sz val="11"/>
        <color theme="1"/>
        <rFont val="Garamond"/>
        <family val="1"/>
      </rPr>
      <t>w,min</t>
    </r>
    <r>
      <rPr>
        <sz val="11"/>
        <color theme="1"/>
        <rFont val="Garamond"/>
        <family val="1"/>
      </rPr>
      <t>*s *bw</t>
    </r>
  </si>
  <si>
    <t>Provide Asw</t>
  </si>
  <si>
    <t>Asw/s provide</t>
  </si>
  <si>
    <r>
      <rPr>
        <sz val="11"/>
        <color theme="1"/>
        <rFont val="Symbol"/>
        <family val="1"/>
        <charset val="2"/>
      </rPr>
      <t>D</t>
    </r>
    <r>
      <rPr>
        <sz val="11"/>
        <color theme="1"/>
        <rFont val="Garamond"/>
        <family val="1"/>
      </rPr>
      <t>F</t>
    </r>
    <r>
      <rPr>
        <vertAlign val="subscript"/>
        <sz val="11"/>
        <color theme="1"/>
        <rFont val="Garamond"/>
        <family val="1"/>
      </rPr>
      <t>d</t>
    </r>
    <r>
      <rPr>
        <sz val="11"/>
        <color theme="1"/>
        <rFont val="Garamond"/>
        <family val="1"/>
      </rPr>
      <t xml:space="preserve"> = 0.5 V</t>
    </r>
    <r>
      <rPr>
        <vertAlign val="subscript"/>
        <sz val="11"/>
        <color theme="1"/>
        <rFont val="Garamond"/>
        <family val="1"/>
      </rPr>
      <t>ED</t>
    </r>
    <r>
      <rPr>
        <sz val="11"/>
        <color theme="1"/>
        <rFont val="Garamond"/>
        <family val="1"/>
      </rPr>
      <t xml:space="preserve"> cot</t>
    </r>
    <r>
      <rPr>
        <sz val="11"/>
        <color theme="1"/>
        <rFont val="Symbol"/>
        <family val="1"/>
        <charset val="2"/>
      </rPr>
      <t>q</t>
    </r>
    <r>
      <rPr>
        <sz val="11"/>
        <color theme="1"/>
        <rFont val="Garamond"/>
        <family val="1"/>
      </rPr>
      <t xml:space="preserve"> </t>
    </r>
  </si>
  <si>
    <t>Legs</t>
  </si>
  <si>
    <t>spacing</t>
  </si>
  <si>
    <r>
      <rPr>
        <sz val="11"/>
        <rFont val="Symbol"/>
        <family val="1"/>
        <charset val="2"/>
      </rPr>
      <t>D</t>
    </r>
    <r>
      <rPr>
        <sz val="11"/>
        <rFont val="Garamond"/>
        <family val="1"/>
      </rPr>
      <t>F</t>
    </r>
    <r>
      <rPr>
        <vertAlign val="subscript"/>
        <sz val="11"/>
        <rFont val="Garamond"/>
        <family val="1"/>
      </rPr>
      <t>d</t>
    </r>
  </si>
  <si>
    <t>Additional Tensile force, to be accounted in longitudinal reinforcement</t>
  </si>
  <si>
    <t>Check For Maximum Resistance For Combined Shear &amp; Torsion :</t>
  </si>
  <si>
    <r>
      <t>V</t>
    </r>
    <r>
      <rPr>
        <vertAlign val="subscript"/>
        <sz val="11"/>
        <color theme="1"/>
        <rFont val="Garamond"/>
        <family val="1"/>
      </rPr>
      <t>RDmax</t>
    </r>
  </si>
  <si>
    <r>
      <rPr>
        <sz val="11"/>
        <color theme="1"/>
        <rFont val="Symbol"/>
        <family val="1"/>
        <charset val="2"/>
      </rPr>
      <t>n</t>
    </r>
    <r>
      <rPr>
        <sz val="11"/>
        <color theme="1"/>
        <rFont val="Garamond"/>
        <family val="1"/>
      </rPr>
      <t xml:space="preserve"> = 0.6*[1-fck/310]</t>
    </r>
  </si>
  <si>
    <r>
      <rPr>
        <sz val="10"/>
        <color theme="1"/>
        <rFont val="Symbol"/>
        <family val="1"/>
        <charset val="2"/>
      </rPr>
      <t>a</t>
    </r>
    <r>
      <rPr>
        <vertAlign val="subscript"/>
        <sz val="10"/>
        <color theme="1"/>
        <rFont val="Garamond"/>
        <family val="1"/>
      </rPr>
      <t>cw</t>
    </r>
    <r>
      <rPr>
        <sz val="10"/>
        <color theme="1"/>
        <rFont val="Garamond"/>
        <family val="1"/>
      </rPr>
      <t/>
    </r>
  </si>
  <si>
    <r>
      <t>t</t>
    </r>
    <r>
      <rPr>
        <vertAlign val="subscript"/>
        <sz val="10"/>
        <color theme="1"/>
        <rFont val="Garamond"/>
        <family val="1"/>
      </rPr>
      <t>ef.i</t>
    </r>
    <r>
      <rPr>
        <sz val="10"/>
        <color theme="1"/>
        <rFont val="Garamond"/>
        <family val="1"/>
      </rPr>
      <t/>
    </r>
  </si>
  <si>
    <r>
      <t>T</t>
    </r>
    <r>
      <rPr>
        <vertAlign val="subscript"/>
        <sz val="10"/>
        <color theme="1"/>
        <rFont val="Garamond"/>
        <family val="1"/>
      </rPr>
      <t>RDmax</t>
    </r>
    <r>
      <rPr>
        <sz val="10"/>
        <color theme="1"/>
        <rFont val="Garamond"/>
        <family val="1"/>
      </rPr>
      <t xml:space="preserve"> = 2 </t>
    </r>
    <r>
      <rPr>
        <sz val="10"/>
        <color theme="1"/>
        <rFont val="Symbol"/>
        <family val="1"/>
        <charset val="2"/>
      </rPr>
      <t>n</t>
    </r>
    <r>
      <rPr>
        <sz val="10"/>
        <color theme="1"/>
        <rFont val="Garamond"/>
        <family val="1"/>
      </rPr>
      <t xml:space="preserve"> </t>
    </r>
    <r>
      <rPr>
        <sz val="10"/>
        <color theme="1"/>
        <rFont val="Symbol"/>
        <family val="1"/>
        <charset val="2"/>
      </rPr>
      <t>a</t>
    </r>
    <r>
      <rPr>
        <vertAlign val="subscript"/>
        <sz val="10"/>
        <color theme="1"/>
        <rFont val="Garamond"/>
        <family val="1"/>
      </rPr>
      <t>cw</t>
    </r>
    <r>
      <rPr>
        <sz val="10"/>
        <color theme="1"/>
        <rFont val="Garamond"/>
        <family val="1"/>
      </rPr>
      <t xml:space="preserve"> f</t>
    </r>
    <r>
      <rPr>
        <vertAlign val="subscript"/>
        <sz val="10"/>
        <color theme="1"/>
        <rFont val="Garamond"/>
        <family val="1"/>
      </rPr>
      <t>cd</t>
    </r>
    <r>
      <rPr>
        <sz val="10"/>
        <color theme="1"/>
        <rFont val="Garamond"/>
        <family val="1"/>
      </rPr>
      <t xml:space="preserve"> A</t>
    </r>
    <r>
      <rPr>
        <vertAlign val="subscript"/>
        <sz val="10"/>
        <color theme="1"/>
        <rFont val="Garamond"/>
        <family val="1"/>
      </rPr>
      <t>k</t>
    </r>
    <r>
      <rPr>
        <sz val="10"/>
        <color theme="1"/>
        <rFont val="Garamond"/>
        <family val="1"/>
      </rPr>
      <t xml:space="preserve"> t</t>
    </r>
    <r>
      <rPr>
        <vertAlign val="subscript"/>
        <sz val="10"/>
        <color theme="1"/>
        <rFont val="Garamond"/>
        <family val="1"/>
      </rPr>
      <t>ef.i</t>
    </r>
    <r>
      <rPr>
        <sz val="10"/>
        <color theme="1"/>
        <rFont val="Garamond"/>
        <family val="1"/>
      </rPr>
      <t xml:space="preserve"> Sin</t>
    </r>
    <r>
      <rPr>
        <sz val="10"/>
        <color theme="1"/>
        <rFont val="Symbol"/>
        <family val="1"/>
        <charset val="2"/>
      </rPr>
      <t>q</t>
    </r>
    <r>
      <rPr>
        <sz val="10"/>
        <color theme="1"/>
        <rFont val="Garamond"/>
        <family val="1"/>
      </rPr>
      <t xml:space="preserve"> Cos </t>
    </r>
    <r>
      <rPr>
        <sz val="10"/>
        <color theme="1"/>
        <rFont val="Symbol"/>
        <family val="1"/>
        <charset val="2"/>
      </rPr>
      <t>q</t>
    </r>
  </si>
  <si>
    <r>
      <t>T</t>
    </r>
    <r>
      <rPr>
        <vertAlign val="subscript"/>
        <sz val="11"/>
        <rFont val="Garamond"/>
        <family val="1"/>
      </rPr>
      <t>Ed</t>
    </r>
    <r>
      <rPr>
        <sz val="11"/>
        <rFont val="Garamond"/>
        <family val="1"/>
      </rPr>
      <t>/T</t>
    </r>
    <r>
      <rPr>
        <vertAlign val="subscript"/>
        <sz val="11"/>
        <rFont val="Garamond"/>
        <family val="1"/>
      </rPr>
      <t>Rdmax</t>
    </r>
    <r>
      <rPr>
        <sz val="11"/>
        <rFont val="Garamond"/>
        <family val="1"/>
      </rPr>
      <t xml:space="preserve"> + V</t>
    </r>
    <r>
      <rPr>
        <vertAlign val="subscript"/>
        <sz val="11"/>
        <rFont val="Garamond"/>
        <family val="1"/>
      </rPr>
      <t>Ed</t>
    </r>
    <r>
      <rPr>
        <sz val="11"/>
        <rFont val="Garamond"/>
        <family val="1"/>
      </rPr>
      <t xml:space="preserve"> /V</t>
    </r>
    <r>
      <rPr>
        <vertAlign val="subscript"/>
        <sz val="11"/>
        <rFont val="Garamond"/>
        <family val="1"/>
      </rPr>
      <t>Rd.max</t>
    </r>
    <r>
      <rPr>
        <sz val="11"/>
        <rFont val="Garamond"/>
        <family val="1"/>
      </rPr>
      <t xml:space="preserve"> ≤ 1</t>
    </r>
  </si>
  <si>
    <t>Requirement of Longitudinal area of Reinf</t>
  </si>
  <si>
    <t>uk</t>
  </si>
  <si>
    <r>
      <rPr>
        <sz val="11"/>
        <color theme="1"/>
        <rFont val="Symbol"/>
        <family val="1"/>
        <charset val="2"/>
      </rPr>
      <t>S</t>
    </r>
    <r>
      <rPr>
        <sz val="11"/>
        <color theme="1"/>
        <rFont val="Garamond"/>
        <family val="1"/>
      </rPr>
      <t>A</t>
    </r>
    <r>
      <rPr>
        <vertAlign val="subscript"/>
        <sz val="11"/>
        <color theme="1"/>
        <rFont val="Garamond"/>
        <family val="1"/>
      </rPr>
      <t>sl</t>
    </r>
    <r>
      <rPr>
        <sz val="11"/>
        <color theme="1"/>
        <rFont val="Garamond"/>
        <family val="1"/>
      </rPr>
      <t xml:space="preserve"> /uk = T</t>
    </r>
    <r>
      <rPr>
        <vertAlign val="subscript"/>
        <sz val="11"/>
        <color theme="1"/>
        <rFont val="Garamond"/>
        <family val="1"/>
      </rPr>
      <t>Ed</t>
    </r>
    <r>
      <rPr>
        <sz val="11"/>
        <color theme="1"/>
        <rFont val="Garamond"/>
        <family val="1"/>
      </rPr>
      <t>/tan</t>
    </r>
    <r>
      <rPr>
        <sz val="11"/>
        <color theme="1"/>
        <rFont val="Symbol"/>
        <family val="1"/>
        <charset val="2"/>
      </rPr>
      <t>q</t>
    </r>
    <r>
      <rPr>
        <sz val="11"/>
        <color theme="1"/>
        <rFont val="Garamond"/>
        <family val="1"/>
      </rPr>
      <t>/2/A</t>
    </r>
    <r>
      <rPr>
        <vertAlign val="subscript"/>
        <sz val="11"/>
        <color theme="1"/>
        <rFont val="Garamond"/>
        <family val="1"/>
      </rPr>
      <t>k</t>
    </r>
    <r>
      <rPr>
        <sz val="11"/>
        <color theme="1"/>
        <rFont val="Garamond"/>
        <family val="1"/>
      </rPr>
      <t>/f</t>
    </r>
    <r>
      <rPr>
        <vertAlign val="subscript"/>
        <sz val="11"/>
        <color theme="1"/>
        <rFont val="Garamond"/>
        <family val="1"/>
      </rPr>
      <t>yd</t>
    </r>
  </si>
  <si>
    <t>Reinf. To be added with flexure reinf.</t>
  </si>
  <si>
    <t>Top width</t>
  </si>
  <si>
    <r>
      <t>mm</t>
    </r>
    <r>
      <rPr>
        <vertAlign val="superscript"/>
        <sz val="11"/>
        <rFont val="Garamond"/>
        <family val="1"/>
      </rPr>
      <t>2</t>
    </r>
    <r>
      <rPr>
        <sz val="11"/>
        <rFont val="Garamond"/>
        <family val="1"/>
      </rPr>
      <t>/m</t>
    </r>
  </si>
  <si>
    <r>
      <t>mm</t>
    </r>
    <r>
      <rPr>
        <vertAlign val="superscript"/>
        <sz val="11"/>
        <color theme="1"/>
        <rFont val="Garamond"/>
        <family val="1"/>
      </rPr>
      <t>2</t>
    </r>
    <r>
      <rPr>
        <sz val="11"/>
        <color theme="1"/>
        <rFont val="Garamond"/>
        <family val="1"/>
      </rPr>
      <t xml:space="preserve"> /m</t>
    </r>
  </si>
  <si>
    <t>(Considering Precat Beam material)</t>
  </si>
  <si>
    <t>days</t>
  </si>
  <si>
    <t>to</t>
  </si>
  <si>
    <r>
      <rPr>
        <sz val="11"/>
        <color theme="1"/>
        <rFont val="Symbol"/>
        <family val="1"/>
        <charset val="2"/>
      </rPr>
      <t>f</t>
    </r>
    <r>
      <rPr>
        <sz val="11"/>
        <color theme="1"/>
        <rFont val="Garamond"/>
        <family val="1"/>
      </rPr>
      <t xml:space="preserve"> (t, to)</t>
    </r>
  </si>
  <si>
    <r>
      <rPr>
        <sz val="11"/>
        <color theme="1"/>
        <rFont val="Symbol"/>
        <family val="1"/>
        <charset val="2"/>
      </rPr>
      <t>f</t>
    </r>
    <r>
      <rPr>
        <vertAlign val="subscript"/>
        <sz val="11"/>
        <color theme="1"/>
        <rFont val="Garamond"/>
        <family val="1"/>
      </rPr>
      <t>o</t>
    </r>
    <r>
      <rPr>
        <sz val="11"/>
        <color theme="1"/>
        <rFont val="Garamond"/>
        <family val="1"/>
      </rPr>
      <t xml:space="preserve"> </t>
    </r>
    <r>
      <rPr>
        <sz val="11"/>
        <color theme="1"/>
        <rFont val="Symbol"/>
        <family val="1"/>
        <charset val="2"/>
      </rPr>
      <t>b</t>
    </r>
    <r>
      <rPr>
        <vertAlign val="subscript"/>
        <sz val="11"/>
        <color theme="1"/>
        <rFont val="Garamond"/>
        <family val="1"/>
      </rPr>
      <t>c</t>
    </r>
    <r>
      <rPr>
        <sz val="11"/>
        <color theme="1"/>
        <rFont val="Garamond"/>
        <family val="1"/>
      </rPr>
      <t>( t , to )</t>
    </r>
  </si>
  <si>
    <r>
      <rPr>
        <sz val="11"/>
        <color theme="1"/>
        <rFont val="Symbol"/>
        <family val="1"/>
        <charset val="2"/>
      </rPr>
      <t>f</t>
    </r>
    <r>
      <rPr>
        <vertAlign val="subscript"/>
        <sz val="11"/>
        <color theme="1"/>
        <rFont val="Garamond"/>
        <family val="1"/>
      </rPr>
      <t>o</t>
    </r>
  </si>
  <si>
    <r>
      <rPr>
        <sz val="11"/>
        <color theme="1"/>
        <rFont val="Symbol"/>
        <family val="1"/>
        <charset val="2"/>
      </rPr>
      <t>f</t>
    </r>
    <r>
      <rPr>
        <vertAlign val="subscript"/>
        <sz val="11"/>
        <color theme="1"/>
        <rFont val="Garamond"/>
        <family val="1"/>
      </rPr>
      <t>RH</t>
    </r>
    <r>
      <rPr>
        <sz val="11"/>
        <color theme="1"/>
        <rFont val="Symbol"/>
        <family val="1"/>
        <charset val="2"/>
      </rPr>
      <t xml:space="preserve"> b(</t>
    </r>
    <r>
      <rPr>
        <sz val="11"/>
        <color theme="1"/>
        <rFont val="Garamond"/>
        <family val="1"/>
      </rPr>
      <t>f</t>
    </r>
    <r>
      <rPr>
        <vertAlign val="subscript"/>
        <sz val="11"/>
        <color theme="1"/>
        <rFont val="Garamond"/>
        <family val="1"/>
      </rPr>
      <t>cm</t>
    </r>
    <r>
      <rPr>
        <sz val="11"/>
        <color theme="1"/>
        <rFont val="Symbol"/>
        <family val="1"/>
        <charset val="2"/>
      </rPr>
      <t>) b(</t>
    </r>
    <r>
      <rPr>
        <sz val="11"/>
        <color theme="1"/>
        <rFont val="Garamond"/>
        <family val="1"/>
      </rPr>
      <t>t</t>
    </r>
    <r>
      <rPr>
        <vertAlign val="subscript"/>
        <sz val="11"/>
        <color theme="1"/>
        <rFont val="Garamond"/>
        <family val="1"/>
      </rPr>
      <t>o</t>
    </r>
    <r>
      <rPr>
        <sz val="11"/>
        <color theme="1"/>
        <rFont val="Symbol"/>
        <family val="1"/>
        <charset val="2"/>
      </rPr>
      <t>)</t>
    </r>
  </si>
  <si>
    <r>
      <rPr>
        <sz val="11"/>
        <color theme="1"/>
        <rFont val="Symbol"/>
        <family val="1"/>
        <charset val="2"/>
      </rPr>
      <t>f</t>
    </r>
    <r>
      <rPr>
        <vertAlign val="subscript"/>
        <sz val="11"/>
        <color theme="1"/>
        <rFont val="Garamond"/>
        <family val="1"/>
      </rPr>
      <t>RH</t>
    </r>
    <r>
      <rPr>
        <sz val="11"/>
        <color theme="1"/>
        <rFont val="Symbol"/>
        <family val="1"/>
        <charset val="2"/>
      </rPr>
      <t/>
    </r>
  </si>
  <si>
    <t>1 - RH/100</t>
  </si>
  <si>
    <t>for fcm</t>
  </si>
  <si>
    <r>
      <t>0.1  ( ho )</t>
    </r>
    <r>
      <rPr>
        <vertAlign val="superscript"/>
        <sz val="11"/>
        <color theme="1"/>
        <rFont val="Garamond"/>
        <family val="1"/>
      </rPr>
      <t>1/3</t>
    </r>
  </si>
  <si>
    <r>
      <t>a</t>
    </r>
    <r>
      <rPr>
        <vertAlign val="subscript"/>
        <sz val="11"/>
        <color theme="1"/>
        <rFont val="Symbol"/>
        <family val="1"/>
        <charset val="2"/>
      </rPr>
      <t>1</t>
    </r>
  </si>
  <si>
    <r>
      <t>* a</t>
    </r>
    <r>
      <rPr>
        <vertAlign val="subscript"/>
        <sz val="11"/>
        <color theme="1"/>
        <rFont val="Symbol"/>
        <family val="1"/>
        <charset val="2"/>
      </rPr>
      <t>2</t>
    </r>
  </si>
  <si>
    <t>RH</t>
  </si>
  <si>
    <t>ho</t>
  </si>
  <si>
    <r>
      <rPr>
        <sz val="11"/>
        <color theme="1"/>
        <rFont val="Symbol"/>
        <family val="1"/>
        <charset val="2"/>
      </rPr>
      <t>a</t>
    </r>
    <r>
      <rPr>
        <vertAlign val="subscript"/>
        <sz val="11"/>
        <color theme="1"/>
        <rFont val="Garamond"/>
        <family val="1"/>
      </rPr>
      <t>1</t>
    </r>
  </si>
  <si>
    <r>
      <t>[ 43.75 / fcm ]</t>
    </r>
    <r>
      <rPr>
        <vertAlign val="superscript"/>
        <sz val="11"/>
        <color theme="1"/>
        <rFont val="Garamond"/>
        <family val="1"/>
      </rPr>
      <t>0.7</t>
    </r>
  </si>
  <si>
    <r>
      <t>a</t>
    </r>
    <r>
      <rPr>
        <vertAlign val="subscript"/>
        <sz val="11"/>
        <color theme="1"/>
        <rFont val="Symbol"/>
        <family val="1"/>
        <charset val="2"/>
      </rPr>
      <t>2</t>
    </r>
  </si>
  <si>
    <r>
      <t>[ 43.75 / fcm ]</t>
    </r>
    <r>
      <rPr>
        <vertAlign val="superscript"/>
        <sz val="11"/>
        <color theme="1"/>
        <rFont val="Garamond"/>
        <family val="1"/>
      </rPr>
      <t>0.2</t>
    </r>
  </si>
  <si>
    <r>
      <rPr>
        <b/>
        <sz val="11"/>
        <color theme="1"/>
        <rFont val="Symbol"/>
        <family val="1"/>
        <charset val="2"/>
      </rPr>
      <t>f</t>
    </r>
    <r>
      <rPr>
        <b/>
        <vertAlign val="subscript"/>
        <sz val="11"/>
        <color theme="1"/>
        <rFont val="Garamond"/>
        <family val="1"/>
      </rPr>
      <t>RH</t>
    </r>
    <r>
      <rPr>
        <sz val="11"/>
        <color theme="1"/>
        <rFont val="Symbol"/>
        <family val="1"/>
        <charset val="2"/>
      </rPr>
      <t/>
    </r>
  </si>
  <si>
    <r>
      <rPr>
        <sz val="11"/>
        <color theme="1"/>
        <rFont val="Symbol"/>
        <family val="1"/>
        <charset val="2"/>
      </rPr>
      <t>b(</t>
    </r>
    <r>
      <rPr>
        <sz val="11"/>
        <color theme="1"/>
        <rFont val="Garamond"/>
        <family val="1"/>
      </rPr>
      <t>f</t>
    </r>
    <r>
      <rPr>
        <vertAlign val="subscript"/>
        <sz val="11"/>
        <color theme="1"/>
        <rFont val="Garamond"/>
        <family val="1"/>
      </rPr>
      <t>cm</t>
    </r>
    <r>
      <rPr>
        <sz val="11"/>
        <color theme="1"/>
        <rFont val="Symbol"/>
        <family val="1"/>
        <charset val="2"/>
      </rPr>
      <t>)</t>
    </r>
  </si>
  <si>
    <r>
      <t xml:space="preserve">18.78 / </t>
    </r>
    <r>
      <rPr>
        <sz val="11"/>
        <color theme="1"/>
        <rFont val="Calibri"/>
        <family val="2"/>
      </rPr>
      <t>√</t>
    </r>
    <r>
      <rPr>
        <sz val="11"/>
        <color theme="1"/>
        <rFont val="Garamond"/>
        <family val="1"/>
      </rPr>
      <t>fcm</t>
    </r>
  </si>
  <si>
    <r>
      <rPr>
        <sz val="11"/>
        <color theme="1"/>
        <rFont val="Symbol"/>
        <family val="1"/>
        <charset val="2"/>
      </rPr>
      <t>b(</t>
    </r>
    <r>
      <rPr>
        <sz val="11"/>
        <color theme="1"/>
        <rFont val="Garamond"/>
        <family val="1"/>
      </rPr>
      <t>t</t>
    </r>
    <r>
      <rPr>
        <vertAlign val="subscript"/>
        <sz val="11"/>
        <color theme="1"/>
        <rFont val="Garamond"/>
        <family val="1"/>
      </rPr>
      <t>o</t>
    </r>
    <r>
      <rPr>
        <sz val="11"/>
        <color theme="1"/>
        <rFont val="Symbol"/>
        <family val="1"/>
        <charset val="2"/>
      </rPr>
      <t>)</t>
    </r>
  </si>
  <si>
    <r>
      <t>1/ (0.1+ to</t>
    </r>
    <r>
      <rPr>
        <vertAlign val="superscript"/>
        <sz val="11"/>
        <color theme="1"/>
        <rFont val="Garamond"/>
        <family val="1"/>
      </rPr>
      <t>0.2</t>
    </r>
    <r>
      <rPr>
        <sz val="11"/>
        <color theme="1"/>
        <rFont val="Garamond"/>
        <family val="1"/>
      </rPr>
      <t>)</t>
    </r>
  </si>
  <si>
    <r>
      <rPr>
        <sz val="11"/>
        <color theme="1"/>
        <rFont val="Symbol"/>
        <family val="1"/>
        <charset val="2"/>
      </rPr>
      <t>b</t>
    </r>
    <r>
      <rPr>
        <vertAlign val="subscript"/>
        <sz val="11"/>
        <color theme="1"/>
        <rFont val="Garamond"/>
        <family val="1"/>
      </rPr>
      <t>c</t>
    </r>
    <r>
      <rPr>
        <sz val="11"/>
        <color theme="1"/>
        <rFont val="Garamond"/>
        <family val="1"/>
      </rPr>
      <t>( t , to)</t>
    </r>
  </si>
  <si>
    <r>
      <t>[ (t-to) / (</t>
    </r>
    <r>
      <rPr>
        <sz val="11"/>
        <color theme="1"/>
        <rFont val="Symbol"/>
        <family val="1"/>
        <charset val="2"/>
      </rPr>
      <t>b</t>
    </r>
    <r>
      <rPr>
        <vertAlign val="subscript"/>
        <sz val="11"/>
        <color theme="1"/>
        <rFont val="Garamond"/>
        <family val="1"/>
      </rPr>
      <t>H</t>
    </r>
    <r>
      <rPr>
        <sz val="11"/>
        <color theme="1"/>
        <rFont val="Garamond"/>
        <family val="1"/>
      </rPr>
      <t xml:space="preserve"> +t -to) ]</t>
    </r>
    <r>
      <rPr>
        <vertAlign val="superscript"/>
        <sz val="11"/>
        <color theme="1"/>
        <rFont val="Garamond"/>
        <family val="1"/>
      </rPr>
      <t>0.3</t>
    </r>
  </si>
  <si>
    <r>
      <rPr>
        <sz val="11"/>
        <color theme="1"/>
        <rFont val="Symbol"/>
        <family val="1"/>
        <charset val="2"/>
      </rPr>
      <t>b</t>
    </r>
    <r>
      <rPr>
        <vertAlign val="subscript"/>
        <sz val="11"/>
        <color theme="1"/>
        <rFont val="Garamond"/>
        <family val="1"/>
      </rPr>
      <t>H</t>
    </r>
  </si>
  <si>
    <r>
      <t>1.5 [ 1+ (0.012 RH)</t>
    </r>
    <r>
      <rPr>
        <vertAlign val="superscript"/>
        <sz val="11"/>
        <color theme="1"/>
        <rFont val="Garamond"/>
        <family val="1"/>
      </rPr>
      <t xml:space="preserve">18 </t>
    </r>
    <r>
      <rPr>
        <sz val="11"/>
        <color theme="1"/>
        <rFont val="Garamond"/>
        <family val="1"/>
      </rPr>
      <t>] ho  +250</t>
    </r>
  </si>
  <si>
    <r>
      <t>1.5 [ 1+ (0.012 RH)</t>
    </r>
    <r>
      <rPr>
        <vertAlign val="superscript"/>
        <sz val="11"/>
        <color theme="1"/>
        <rFont val="Garamond"/>
        <family val="1"/>
      </rPr>
      <t xml:space="preserve">18 </t>
    </r>
    <r>
      <rPr>
        <sz val="11"/>
        <color theme="1"/>
        <rFont val="Garamond"/>
        <family val="1"/>
      </rPr>
      <t xml:space="preserve">] ho  +250 </t>
    </r>
    <r>
      <rPr>
        <sz val="11"/>
        <color theme="1"/>
        <rFont val="Symbol"/>
        <family val="1"/>
        <charset val="2"/>
      </rPr>
      <t>a</t>
    </r>
    <r>
      <rPr>
        <vertAlign val="subscript"/>
        <sz val="11"/>
        <color theme="1"/>
        <rFont val="Garamond"/>
        <family val="1"/>
      </rPr>
      <t>3</t>
    </r>
  </si>
  <si>
    <r>
      <t xml:space="preserve">1500* </t>
    </r>
    <r>
      <rPr>
        <sz val="11"/>
        <color theme="1"/>
        <rFont val="Symbol"/>
        <family val="1"/>
        <charset val="2"/>
      </rPr>
      <t>a</t>
    </r>
    <r>
      <rPr>
        <vertAlign val="subscript"/>
        <sz val="11"/>
        <color theme="1"/>
        <rFont val="Garamond"/>
        <family val="1"/>
      </rPr>
      <t>3</t>
    </r>
  </si>
  <si>
    <r>
      <t>[ 43.75 / fcm ]</t>
    </r>
    <r>
      <rPr>
        <vertAlign val="superscript"/>
        <sz val="11"/>
        <color theme="1"/>
        <rFont val="Garamond"/>
        <family val="1"/>
      </rPr>
      <t>0.5</t>
    </r>
  </si>
  <si>
    <r>
      <rPr>
        <b/>
        <sz val="11"/>
        <color theme="1"/>
        <rFont val="Symbol"/>
        <family val="1"/>
        <charset val="2"/>
      </rPr>
      <t>f</t>
    </r>
    <r>
      <rPr>
        <b/>
        <sz val="11"/>
        <color theme="1"/>
        <rFont val="Garamond"/>
        <family val="1"/>
      </rPr>
      <t xml:space="preserve"> (t, to)</t>
    </r>
  </si>
  <si>
    <t>Cross-sectional Area</t>
  </si>
  <si>
    <t>Perimeter in contact with atmosphere u</t>
  </si>
  <si>
    <t>Notational size ho</t>
  </si>
  <si>
    <t>2Ac/u</t>
  </si>
  <si>
    <t>Age of concrete at the time of loading to</t>
  </si>
  <si>
    <r>
      <t>t</t>
    </r>
    <r>
      <rPr>
        <vertAlign val="subscript"/>
        <sz val="11"/>
        <color theme="1"/>
        <rFont val="Symbol"/>
        <family val="1"/>
        <charset val="2"/>
      </rPr>
      <t>¥</t>
    </r>
    <r>
      <rPr>
        <sz val="11"/>
        <color theme="1"/>
        <rFont val="Garamond"/>
        <family val="1"/>
      </rPr>
      <t xml:space="preserve"> considered</t>
    </r>
  </si>
  <si>
    <t>(Refer Appendix B)</t>
  </si>
  <si>
    <r>
      <t>N/mm</t>
    </r>
    <r>
      <rPr>
        <b/>
        <vertAlign val="superscript"/>
        <sz val="11"/>
        <color theme="1"/>
        <rFont val="Garamond"/>
        <family val="1"/>
      </rPr>
      <t>2</t>
    </r>
  </si>
  <si>
    <t>Creep for pier shaft</t>
  </si>
  <si>
    <t>*(Increased by 10% on the conservative side)</t>
  </si>
  <si>
    <t>Creep for pier cap</t>
  </si>
  <si>
    <t>FINDING DESIGN REINFORCEMENT  REQUIREMENT FOR TORSION ONLY</t>
  </si>
  <si>
    <r>
      <t>Ast/st  =T</t>
    </r>
    <r>
      <rPr>
        <vertAlign val="subscript"/>
        <sz val="11"/>
        <color theme="1"/>
        <rFont val="Garamond"/>
        <family val="1"/>
      </rPr>
      <t>ED</t>
    </r>
    <r>
      <rPr>
        <sz val="11"/>
        <color theme="1"/>
        <rFont val="Garamond"/>
        <family val="1"/>
      </rPr>
      <t xml:space="preserve"> / (2 Ak fyd cot </t>
    </r>
    <r>
      <rPr>
        <sz val="11"/>
        <color theme="1"/>
        <rFont val="Symbol"/>
        <family val="1"/>
        <charset val="2"/>
      </rPr>
      <t>q</t>
    </r>
    <r>
      <rPr>
        <sz val="11"/>
        <color theme="1"/>
        <rFont val="Garamond"/>
        <family val="1"/>
      </rPr>
      <t>)</t>
    </r>
  </si>
  <si>
    <t>LWL</t>
  </si>
  <si>
    <t>Non-seismic case  LWL condition:</t>
  </si>
  <si>
    <t>Non Seismic</t>
  </si>
  <si>
    <t>Seismic</t>
  </si>
  <si>
    <t>LC-41</t>
  </si>
  <si>
    <t>LC-42</t>
  </si>
  <si>
    <t>LC-43</t>
  </si>
  <si>
    <t>LC-44</t>
  </si>
  <si>
    <t>LC-45</t>
  </si>
  <si>
    <t>LC-46</t>
  </si>
  <si>
    <t>LC-47</t>
  </si>
  <si>
    <t>LC-48</t>
  </si>
  <si>
    <t>NS LWL Span dislodge case Comb-1</t>
  </si>
  <si>
    <t>NS LWL No Live load  Comb-1</t>
  </si>
  <si>
    <t>NS LWL With LL max reaction case  Comb-1</t>
  </si>
  <si>
    <t>NS LWL With LL max moment case  Comb-1</t>
  </si>
  <si>
    <t>NS LWL Span dislodge case Comb-2</t>
  </si>
  <si>
    <t>NS LWL No Live load  Comb-2</t>
  </si>
  <si>
    <t>NS LWL With LL max reaction case  Comb-2</t>
  </si>
  <si>
    <t>NS LWL With LL max moment case  Comb-2</t>
  </si>
  <si>
    <t>NS HFL Span dislodge case Comb-1</t>
  </si>
  <si>
    <t>NS HFL No Live load Comb-1</t>
  </si>
  <si>
    <t>NS HFL With LL max reaction case Comb-1</t>
  </si>
  <si>
    <t>NS HFL With LL max moment case Comb-1</t>
  </si>
  <si>
    <t>NS HFL Span dislodge case Comb-2</t>
  </si>
  <si>
    <t>NS HFL No Live load Comb-2</t>
  </si>
  <si>
    <t>NS HFL With LL max reaction case Comb-2</t>
  </si>
  <si>
    <t>NS HFL With LL max moment case Comb-2</t>
  </si>
  <si>
    <t>LWL QP, NS LWL DL, SIDL</t>
  </si>
  <si>
    <t>HFL QP, NS LWL DL, SIDL</t>
  </si>
  <si>
    <t>HFL RARE, NS LWL DL, SIDL, LL Max reaction</t>
  </si>
  <si>
    <t>HFL RARE, NS LWL DL, SIDL, LL Max Long. Moment</t>
  </si>
  <si>
    <t>LWL RARE, NS LWL DL, SIDL, LL Max reaction</t>
  </si>
  <si>
    <t>LWL RARE, NS LWL DL, SIDL, LL Max Long. Moment</t>
  </si>
  <si>
    <r>
      <t>A</t>
    </r>
    <r>
      <rPr>
        <vertAlign val="subscript"/>
        <sz val="11"/>
        <color theme="1"/>
        <rFont val="Garamond"/>
        <family val="1"/>
      </rPr>
      <t>st,additional (Torsion)</t>
    </r>
  </si>
  <si>
    <r>
      <t>Toatl A</t>
    </r>
    <r>
      <rPr>
        <vertAlign val="subscript"/>
        <sz val="11"/>
        <color theme="1"/>
        <rFont val="Garamond"/>
        <family val="1"/>
      </rPr>
      <t xml:space="preserve">st </t>
    </r>
    <r>
      <rPr>
        <sz val="11"/>
        <color theme="1"/>
        <rFont val="Garamond"/>
        <family val="1"/>
      </rPr>
      <t>Required</t>
    </r>
  </si>
  <si>
    <r>
      <rPr>
        <sz val="11"/>
        <rFont val="Symbol"/>
        <family val="1"/>
        <charset val="2"/>
      </rPr>
      <t>h</t>
    </r>
    <r>
      <rPr>
        <vertAlign val="subscript"/>
        <sz val="11"/>
        <rFont val="Garamond"/>
        <family val="1"/>
      </rPr>
      <t>h</t>
    </r>
  </si>
  <si>
    <t>Lonitudinal direction</t>
  </si>
  <si>
    <t>Transverse Direction</t>
  </si>
  <si>
    <r>
      <t>Longitudinal Dir</t>
    </r>
    <r>
      <rPr>
        <b/>
        <vertAlign val="superscript"/>
        <sz val="11"/>
        <rFont val="Garamond"/>
        <family val="1"/>
      </rPr>
      <t>n</t>
    </r>
  </si>
  <si>
    <r>
      <t>Transverse Dir</t>
    </r>
    <r>
      <rPr>
        <vertAlign val="superscript"/>
        <sz val="11"/>
        <color theme="1"/>
        <rFont val="Garamond"/>
        <family val="1"/>
      </rPr>
      <t>n</t>
    </r>
  </si>
  <si>
    <t>DESIGN OF PILE CAP IN TRANSVERSE DIRECTION :</t>
  </si>
  <si>
    <t>UNFACTORED FORCES FOR DESIGN OF SHAFT :</t>
  </si>
  <si>
    <t>LWL condition</t>
  </si>
  <si>
    <t>HFL Condition</t>
  </si>
  <si>
    <t>For sub-structure</t>
  </si>
  <si>
    <t>For foundation</t>
  </si>
  <si>
    <t>Calculating Forces @ Shaft Bottom ( Non-Seismic Component)</t>
  </si>
  <si>
    <t>Boyant weight over pile cap &amp; pier shaft</t>
  </si>
  <si>
    <t>Boyant weight over pier shaft</t>
  </si>
  <si>
    <t>Forces Up to Pile cap Top:</t>
  </si>
  <si>
    <t>Lever arm above Pier shaft bottom</t>
  </si>
  <si>
    <t>Circ</t>
  </si>
  <si>
    <t>Summery of Pile cap seismic component :</t>
  </si>
  <si>
    <t>12)</t>
  </si>
  <si>
    <t>18)</t>
  </si>
  <si>
    <t>Forces up to Pile cap bottom</t>
  </si>
  <si>
    <t>Forces up to Pier shaft bottom</t>
  </si>
  <si>
    <t>Height up to Pier shaft bottom</t>
  </si>
  <si>
    <t>Horizontal force up to Pier shaft bottom</t>
  </si>
  <si>
    <t>Force up to pier shaft bottom</t>
  </si>
  <si>
    <t>Lever arm above pier shaft bottom</t>
  </si>
  <si>
    <t>Moment at pier shaft bottom</t>
  </si>
  <si>
    <t>FORCES @ SHAFT BOTTOM</t>
  </si>
  <si>
    <r>
      <rPr>
        <sz val="11"/>
        <color theme="1"/>
        <rFont val="Symbol"/>
        <family val="1"/>
        <charset val="2"/>
      </rPr>
      <t>h</t>
    </r>
    <r>
      <rPr>
        <vertAlign val="subscript"/>
        <sz val="11"/>
        <color theme="1"/>
        <rFont val="Garamond"/>
        <family val="1"/>
      </rPr>
      <t>k</t>
    </r>
  </si>
  <si>
    <r>
      <t>N</t>
    </r>
    <r>
      <rPr>
        <vertAlign val="subscript"/>
        <sz val="11"/>
        <color theme="1"/>
        <rFont val="Garamond"/>
        <family val="1"/>
      </rPr>
      <t>ED</t>
    </r>
    <r>
      <rPr>
        <sz val="11"/>
        <color theme="1"/>
        <rFont val="Garamond"/>
        <family val="1"/>
      </rPr>
      <t>/Ac fck</t>
    </r>
  </si>
  <si>
    <r>
      <t>N</t>
    </r>
    <r>
      <rPr>
        <vertAlign val="subscript"/>
        <sz val="11"/>
        <color theme="1"/>
        <rFont val="Garamond"/>
        <family val="1"/>
      </rPr>
      <t>ED</t>
    </r>
  </si>
  <si>
    <t>mm2</t>
  </si>
  <si>
    <r>
      <rPr>
        <sz val="11"/>
        <color theme="1"/>
        <rFont val="Symbol"/>
        <family val="1"/>
        <charset val="2"/>
      </rPr>
      <t>r</t>
    </r>
    <r>
      <rPr>
        <vertAlign val="subscript"/>
        <sz val="11"/>
        <color theme="1"/>
        <rFont val="Garamond"/>
        <family val="1"/>
      </rPr>
      <t>w</t>
    </r>
  </si>
  <si>
    <t>Normalized axial force</t>
  </si>
  <si>
    <t xml:space="preserve">Extent of confinment </t>
  </si>
  <si>
    <t>Depth of section within the plane of bending</t>
  </si>
  <si>
    <t>The distance from the point of maximum design moment to the point at which design moment is 80 % of the value of the maximum moment.</t>
  </si>
  <si>
    <t>Volumentic ratio of transverse reinforcement</t>
  </si>
  <si>
    <r>
      <t>4 Asp / Dsp S</t>
    </r>
    <r>
      <rPr>
        <vertAlign val="subscript"/>
        <sz val="11"/>
        <color theme="1"/>
        <rFont val="Garamond"/>
        <family val="1"/>
      </rPr>
      <t>L</t>
    </r>
  </si>
  <si>
    <t>Asp</t>
  </si>
  <si>
    <t>Area of the spiral or hoop bar</t>
  </si>
  <si>
    <t>Dsp</t>
  </si>
  <si>
    <t>Diameter of the spiral</t>
  </si>
  <si>
    <r>
      <t>S</t>
    </r>
    <r>
      <rPr>
        <vertAlign val="subscript"/>
        <sz val="11"/>
        <color theme="1"/>
        <rFont val="Garamond"/>
        <family val="1"/>
      </rPr>
      <t>L</t>
    </r>
  </si>
  <si>
    <t>Spacing of bars</t>
  </si>
  <si>
    <r>
      <rPr>
        <sz val="11"/>
        <color theme="1"/>
        <rFont val="Symbol"/>
        <family val="1"/>
        <charset val="2"/>
      </rPr>
      <t>w</t>
    </r>
    <r>
      <rPr>
        <vertAlign val="subscript"/>
        <sz val="11"/>
        <color theme="1"/>
        <rFont val="Garamond"/>
        <family val="1"/>
      </rPr>
      <t>w,req</t>
    </r>
  </si>
  <si>
    <r>
      <t xml:space="preserve">0.37 Ac/ Acc </t>
    </r>
    <r>
      <rPr>
        <sz val="11"/>
        <color theme="1"/>
        <rFont val="Symbol"/>
        <family val="1"/>
        <charset val="2"/>
      </rPr>
      <t>h</t>
    </r>
    <r>
      <rPr>
        <vertAlign val="subscript"/>
        <sz val="11"/>
        <color theme="1"/>
        <rFont val="Garamond"/>
        <family val="1"/>
      </rPr>
      <t>k</t>
    </r>
    <r>
      <rPr>
        <sz val="11"/>
        <color theme="1"/>
        <rFont val="Garamond"/>
        <family val="1"/>
      </rPr>
      <t xml:space="preserve"> +0.13 fyd/fcd (</t>
    </r>
    <r>
      <rPr>
        <sz val="11"/>
        <color theme="1"/>
        <rFont val="Symbol"/>
        <family val="1"/>
        <charset val="2"/>
      </rPr>
      <t>r</t>
    </r>
    <r>
      <rPr>
        <vertAlign val="subscript"/>
        <sz val="11"/>
        <color theme="1"/>
        <rFont val="Garamond"/>
        <family val="1"/>
      </rPr>
      <t>L</t>
    </r>
    <r>
      <rPr>
        <sz val="11"/>
        <color theme="1"/>
        <rFont val="Garamond"/>
        <family val="1"/>
      </rPr>
      <t>-0.01)</t>
    </r>
  </si>
  <si>
    <t>Area of gross concrete section</t>
  </si>
  <si>
    <t>Acc</t>
  </si>
  <si>
    <t>Confined dia of column</t>
  </si>
  <si>
    <r>
      <rPr>
        <sz val="11"/>
        <color theme="1"/>
        <rFont val="Symbol"/>
        <family val="1"/>
        <charset val="2"/>
      </rPr>
      <t>r</t>
    </r>
    <r>
      <rPr>
        <vertAlign val="subscript"/>
        <sz val="11"/>
        <color theme="1"/>
        <rFont val="Garamond"/>
        <family val="1"/>
      </rPr>
      <t>L</t>
    </r>
  </si>
  <si>
    <t>Reinforcement ratio of the longitudinal reinforcement</t>
  </si>
  <si>
    <t>As/Acc</t>
  </si>
  <si>
    <t>Minimum Confining Reinforcement</t>
  </si>
  <si>
    <r>
      <rPr>
        <sz val="11"/>
        <color theme="1"/>
        <rFont val="Symbol"/>
        <family val="1"/>
        <charset val="2"/>
      </rPr>
      <t>w</t>
    </r>
    <r>
      <rPr>
        <vertAlign val="subscript"/>
        <sz val="11"/>
        <color theme="1"/>
        <rFont val="Garamond"/>
        <family val="1"/>
      </rPr>
      <t>w,d</t>
    </r>
  </si>
  <si>
    <r>
      <t xml:space="preserve">Max(1.4* </t>
    </r>
    <r>
      <rPr>
        <sz val="11"/>
        <color theme="1"/>
        <rFont val="Symbol"/>
        <family val="1"/>
        <charset val="2"/>
      </rPr>
      <t>w</t>
    </r>
    <r>
      <rPr>
        <vertAlign val="subscript"/>
        <sz val="11"/>
        <color theme="1"/>
        <rFont val="Garamond"/>
        <family val="1"/>
      </rPr>
      <t>w,req</t>
    </r>
    <r>
      <rPr>
        <sz val="11"/>
        <color theme="1"/>
        <rFont val="Garamond"/>
        <family val="1"/>
      </rPr>
      <t xml:space="preserve"> , 0.18)</t>
    </r>
  </si>
  <si>
    <r>
      <rPr>
        <sz val="11"/>
        <color theme="1"/>
        <rFont val="Symbol"/>
        <family val="1"/>
        <charset val="2"/>
      </rPr>
      <t>w</t>
    </r>
    <r>
      <rPr>
        <vertAlign val="subscript"/>
        <sz val="11"/>
        <color theme="1"/>
        <rFont val="Garamond"/>
        <family val="1"/>
      </rPr>
      <t>wd</t>
    </r>
    <r>
      <rPr>
        <sz val="11"/>
        <color theme="1"/>
        <rFont val="Garamond"/>
        <family val="1"/>
      </rPr>
      <t>fcd/fyd</t>
    </r>
  </si>
  <si>
    <r>
      <rPr>
        <sz val="11"/>
        <color theme="1"/>
        <rFont val="Symbol"/>
        <family val="1"/>
        <charset val="2"/>
      </rPr>
      <t>r</t>
    </r>
    <r>
      <rPr>
        <vertAlign val="subscript"/>
        <sz val="11"/>
        <color theme="1"/>
        <rFont val="Garamond"/>
        <family val="1"/>
      </rPr>
      <t>w</t>
    </r>
    <r>
      <rPr>
        <sz val="11"/>
        <color theme="1"/>
        <rFont val="Garamond"/>
        <family val="1"/>
      </rPr>
      <t xml:space="preserve"> *D</t>
    </r>
    <r>
      <rPr>
        <vertAlign val="subscript"/>
        <sz val="11"/>
        <color theme="1"/>
        <rFont val="Garamond"/>
        <family val="1"/>
      </rPr>
      <t>sp</t>
    </r>
    <r>
      <rPr>
        <sz val="11"/>
        <color theme="1"/>
        <rFont val="Garamond"/>
        <family val="1"/>
      </rPr>
      <t xml:space="preserve"> * S</t>
    </r>
    <r>
      <rPr>
        <vertAlign val="subscript"/>
        <sz val="11"/>
        <color theme="1"/>
        <rFont val="Garamond"/>
        <family val="1"/>
      </rPr>
      <t>L</t>
    </r>
    <r>
      <rPr>
        <sz val="11"/>
        <color theme="1"/>
        <rFont val="Garamond"/>
        <family val="1"/>
      </rPr>
      <t xml:space="preserve"> /4</t>
    </r>
  </si>
  <si>
    <t>Area of bar rquired</t>
  </si>
  <si>
    <t>dia loop @</t>
  </si>
  <si>
    <t>mm c/c</t>
  </si>
  <si>
    <t>Required volumentic ratio of transverse reinforcement</t>
  </si>
  <si>
    <t>Finding creep coefficent for Pier cap :</t>
  </si>
  <si>
    <t>Finding creep coefficent for Pier shaft</t>
  </si>
  <si>
    <t>SEISMIC COMPONENT OF SUPER-STRUCTURE DL &amp; SIDL LWL CONDITION:</t>
  </si>
  <si>
    <t>SEISMIC COMPONENT OF LIVE LOAD LWL CONDITION:</t>
  </si>
  <si>
    <t>Check Not Required</t>
  </si>
  <si>
    <t>Lf/T</t>
  </si>
  <si>
    <t>Confined core concrete area of the section within the outside dia of loop.</t>
  </si>
  <si>
    <t>LWL Condition</t>
  </si>
  <si>
    <t>C/c of Girder</t>
  </si>
  <si>
    <r>
      <t>KN/m</t>
    </r>
    <r>
      <rPr>
        <vertAlign val="superscript"/>
        <sz val="11"/>
        <color theme="1"/>
        <rFont val="Garamond"/>
        <family val="1"/>
      </rPr>
      <t>3</t>
    </r>
  </si>
  <si>
    <t>N value</t>
  </si>
  <si>
    <t>Dry</t>
  </si>
  <si>
    <t>avg</t>
  </si>
  <si>
    <r>
      <t>Kg/cm</t>
    </r>
    <r>
      <rPr>
        <vertAlign val="superscript"/>
        <sz val="11"/>
        <color theme="1"/>
        <rFont val="Garamond"/>
        <family val="1"/>
      </rPr>
      <t>3</t>
    </r>
  </si>
  <si>
    <t xml:space="preserve"> */ HFL condition</t>
  </si>
  <si>
    <t>SLS, FORCES AT PIER SHAFT BOTTOM</t>
  </si>
  <si>
    <t>Stress Check For Pile</t>
  </si>
  <si>
    <t>SLS , SUMMERY OF FORCES AT PILE CAP BOTTOM</t>
  </si>
  <si>
    <t>DESIGN OF PIER CAP TRANSVERSE DIRECTION :</t>
  </si>
  <si>
    <t>CHECKING SHAFT  :</t>
  </si>
  <si>
    <t>CHECK SHAFT FOR ULS :</t>
  </si>
  <si>
    <t>ULS, SUMMERY OF FORCES AT BASE OF PIER SHAFT</t>
  </si>
  <si>
    <t>SLS FORCES AT BASE OF PIER SHAFT  :</t>
  </si>
  <si>
    <t>Confinment  Reinforcement for Pile:</t>
  </si>
  <si>
    <t>Dia of pile</t>
  </si>
  <si>
    <t>*/assumed</t>
  </si>
  <si>
    <t>As per clause No. 17.3.2</t>
  </si>
  <si>
    <t>From</t>
  </si>
  <si>
    <t>To</t>
  </si>
  <si>
    <t>NONE</t>
  </si>
  <si>
    <t>1+2+3</t>
  </si>
  <si>
    <t>4+5+6</t>
  </si>
  <si>
    <t>1+4</t>
  </si>
  <si>
    <t>3+6</t>
  </si>
  <si>
    <t>Sr.No</t>
  </si>
  <si>
    <t>As.min</t>
  </si>
  <si>
    <t>bt d</t>
  </si>
  <si>
    <t>0.0013 bt d</t>
  </si>
  <si>
    <t>Max of</t>
  </si>
  <si>
    <t>fct.eff</t>
  </si>
  <si>
    <t>Max (</t>
  </si>
  <si>
    <t>fctm,</t>
  </si>
  <si>
    <t>Modulus of subgarde reaction for cohessive soil</t>
  </si>
  <si>
    <t>k1</t>
  </si>
  <si>
    <t>Modulus of horizontal subgrade reaction</t>
  </si>
  <si>
    <t>k1 *0.3 / 1.5 B</t>
  </si>
  <si>
    <t>*/B in m</t>
  </si>
  <si>
    <t>KB</t>
  </si>
  <si>
    <t>Stiffness factor for P.C. Cohesive soil</t>
  </si>
  <si>
    <t>R</t>
  </si>
  <si>
    <r>
      <rPr>
        <vertAlign val="superscript"/>
        <sz val="11"/>
        <rFont val="Garamond"/>
        <family val="1"/>
      </rPr>
      <t>4</t>
    </r>
    <r>
      <rPr>
        <sz val="11"/>
        <rFont val="Garamond"/>
        <family val="1"/>
      </rPr>
      <t>√(EI/</t>
    </r>
    <r>
      <rPr>
        <sz val="11"/>
        <rFont val="Symbol"/>
        <family val="1"/>
        <charset val="2"/>
      </rPr>
      <t>K B</t>
    </r>
    <r>
      <rPr>
        <sz val="11"/>
        <rFont val="Garamond"/>
        <family val="1"/>
      </rPr>
      <t>)</t>
    </r>
  </si>
  <si>
    <t>Lf/R</t>
  </si>
  <si>
    <t>Depth</t>
  </si>
  <si>
    <t>Vertical capacity</t>
  </si>
  <si>
    <t>Latteral capacity</t>
  </si>
  <si>
    <r>
      <t>T =</t>
    </r>
    <r>
      <rPr>
        <vertAlign val="superscript"/>
        <sz val="11"/>
        <rFont val="Garamond"/>
        <family val="1"/>
      </rPr>
      <t>5</t>
    </r>
    <r>
      <rPr>
        <sz val="11"/>
        <rFont val="Garamond"/>
        <family val="1"/>
      </rPr>
      <t>√(EI/</t>
    </r>
    <r>
      <rPr>
        <sz val="11"/>
        <rFont val="Symbol"/>
        <family val="1"/>
        <charset val="2"/>
      </rPr>
      <t>h</t>
    </r>
    <r>
      <rPr>
        <vertAlign val="subscript"/>
        <sz val="11"/>
        <rFont val="Garamond"/>
        <family val="1"/>
      </rPr>
      <t>h</t>
    </r>
    <r>
      <rPr>
        <sz val="11"/>
        <rFont val="Garamond"/>
        <family val="1"/>
      </rPr>
      <t>)</t>
    </r>
  </si>
  <si>
    <t>Longitudinal Direction</t>
  </si>
  <si>
    <t>Tranverse Direction</t>
  </si>
  <si>
    <t>(Min Bed Level)</t>
  </si>
  <si>
    <t>(As per Hydrological Calculation)</t>
  </si>
  <si>
    <t>Pile Coordinates</t>
  </si>
  <si>
    <t>RL of Pile Tip lvl</t>
  </si>
  <si>
    <t>At Pier Location</t>
  </si>
  <si>
    <t>Scour/Liqefaction level</t>
  </si>
  <si>
    <t>FINDING LIVE LOAD REACTIONS OVER PIER</t>
  </si>
  <si>
    <t>SPAN_1</t>
  </si>
  <si>
    <t>CLASS A</t>
  </si>
  <si>
    <t>TYPE</t>
  </si>
  <si>
    <t>DIST</t>
  </si>
  <si>
    <t>CLASS 70R Wheeled</t>
  </si>
  <si>
    <t>CLASS 70R Tracked</t>
  </si>
  <si>
    <t>Reactions</t>
  </si>
  <si>
    <t>R11</t>
  </si>
  <si>
    <t>R12</t>
  </si>
  <si>
    <t>R21</t>
  </si>
  <si>
    <t>R22</t>
  </si>
  <si>
    <t>Transverse Ecc</t>
  </si>
  <si>
    <t>Rmax</t>
  </si>
  <si>
    <t>Maximum Reaction Case :</t>
  </si>
  <si>
    <t>Class A</t>
  </si>
  <si>
    <t>Clas 70R wheeled</t>
  </si>
  <si>
    <t>Clas 70R tracked</t>
  </si>
  <si>
    <t>Class A 2Lane</t>
  </si>
  <si>
    <t>Class A 3Lane</t>
  </si>
  <si>
    <t>Class A + 70R wheeled</t>
  </si>
  <si>
    <t>Class A + 70R tracked</t>
  </si>
  <si>
    <t>Mmax</t>
  </si>
  <si>
    <t>Maximum Possible Eccentricity in transverse direction</t>
  </si>
  <si>
    <t>Ecc</t>
  </si>
  <si>
    <t>Class A 2 Lane</t>
  </si>
  <si>
    <t>Class 70R Tracked</t>
  </si>
  <si>
    <t>Class A 3 Lane</t>
  </si>
  <si>
    <t>Class A 1 Lane + Class 70R Wheeled I</t>
  </si>
  <si>
    <t>Class A 1 Lane + Class 70R Wheeled II</t>
  </si>
  <si>
    <t>Class A 1 Lane + Class 70R Tracked I</t>
  </si>
  <si>
    <t>Class A 1 Lane + Class 70R Tracked II</t>
  </si>
  <si>
    <t>Maximum moment Case :</t>
  </si>
  <si>
    <t>Class 70R wheeled 2 Lane</t>
  </si>
  <si>
    <t>Class A 2 Lane + Class 70R Wheeled I</t>
  </si>
  <si>
    <t>Class A 2 Lane + Class 70R Wheeled II</t>
  </si>
  <si>
    <t>Class 70R Tracked  2lane</t>
  </si>
  <si>
    <t>Class A (2 lane) 70R Tracked II</t>
  </si>
  <si>
    <t>Class A (2 lane) 70R Tracked I</t>
  </si>
  <si>
    <t>(As given in Geotech Report)</t>
  </si>
  <si>
    <t>Max permissible Stress in Steel(rare)</t>
  </si>
  <si>
    <t>SURFACING REACTION FROM SUPER-STRUCTURE :</t>
  </si>
  <si>
    <r>
      <t>MN/m</t>
    </r>
    <r>
      <rPr>
        <vertAlign val="superscript"/>
        <sz val="11"/>
        <color theme="1"/>
        <rFont val="Garamond"/>
        <family val="1"/>
      </rPr>
      <t>3</t>
    </r>
  </si>
  <si>
    <r>
      <t>mm c/c in long dir.</t>
    </r>
    <r>
      <rPr>
        <vertAlign val="superscript"/>
        <sz val="11"/>
        <color theme="1"/>
        <rFont val="Garamond"/>
        <family val="1"/>
      </rPr>
      <t>n</t>
    </r>
  </si>
  <si>
    <t>Uncracked</t>
  </si>
  <si>
    <t>Forces &amp; Eccentricity @ Pile cap bottom</t>
  </si>
  <si>
    <t>Forces &amp; Eccentricity @ Pier Shaft Bottom</t>
  </si>
  <si>
    <t>Pier Cap weight Considered</t>
  </si>
  <si>
    <t>Pier shaft weight considered.</t>
  </si>
  <si>
    <t xml:space="preserve">m </t>
  </si>
  <si>
    <t>B3</t>
  </si>
  <si>
    <t>B4</t>
  </si>
  <si>
    <t>Unconfined compressive strength</t>
  </si>
  <si>
    <r>
      <t>q</t>
    </r>
    <r>
      <rPr>
        <vertAlign val="subscript"/>
        <sz val="11"/>
        <color theme="1"/>
        <rFont val="Garamond"/>
        <family val="1"/>
      </rPr>
      <t>u</t>
    </r>
  </si>
  <si>
    <r>
      <t>kg/cm</t>
    </r>
    <r>
      <rPr>
        <vertAlign val="superscript"/>
        <sz val="11"/>
        <color theme="1"/>
        <rFont val="Garamond"/>
        <family val="1"/>
      </rPr>
      <t>2</t>
    </r>
  </si>
  <si>
    <t>*/ As revcomended in geotech report (Average value adopted)</t>
  </si>
  <si>
    <t>*/ As per IS2911-2010</t>
  </si>
  <si>
    <r>
      <t>L</t>
    </r>
    <r>
      <rPr>
        <vertAlign val="subscript"/>
        <sz val="11"/>
        <rFont val="Garamond"/>
        <family val="1"/>
      </rPr>
      <t>1</t>
    </r>
    <r>
      <rPr>
        <sz val="11"/>
        <rFont val="Garamond"/>
        <family val="1"/>
      </rPr>
      <t>/R</t>
    </r>
  </si>
  <si>
    <r>
      <t>Corresponding value of L</t>
    </r>
    <r>
      <rPr>
        <vertAlign val="subscript"/>
        <sz val="11"/>
        <rFont val="Garamond"/>
        <family val="1"/>
      </rPr>
      <t>f</t>
    </r>
    <r>
      <rPr>
        <sz val="11"/>
        <rFont val="Garamond"/>
        <family val="1"/>
      </rPr>
      <t>/R</t>
    </r>
  </si>
  <si>
    <t>3+4+5</t>
  </si>
  <si>
    <t>As1</t>
  </si>
  <si>
    <r>
      <t>N</t>
    </r>
    <r>
      <rPr>
        <vertAlign val="subscript"/>
        <sz val="11"/>
        <rFont val="Garamond"/>
        <family val="1"/>
      </rPr>
      <t>RD</t>
    </r>
  </si>
  <si>
    <r>
      <t>A</t>
    </r>
    <r>
      <rPr>
        <vertAlign val="subscript"/>
        <sz val="11"/>
        <rFont val="Garamond"/>
        <family val="1"/>
      </rPr>
      <t>c</t>
    </r>
    <r>
      <rPr>
        <sz val="11"/>
        <rFont val="Garamond"/>
        <family val="1"/>
      </rPr>
      <t xml:space="preserve"> f</t>
    </r>
    <r>
      <rPr>
        <vertAlign val="subscript"/>
        <sz val="11"/>
        <rFont val="Garamond"/>
        <family val="1"/>
      </rPr>
      <t>cd</t>
    </r>
    <r>
      <rPr>
        <sz val="11"/>
        <rFont val="Garamond"/>
        <family val="1"/>
      </rPr>
      <t>+A</t>
    </r>
    <r>
      <rPr>
        <vertAlign val="subscript"/>
        <sz val="11"/>
        <rFont val="Garamond"/>
        <family val="1"/>
      </rPr>
      <t>s</t>
    </r>
    <r>
      <rPr>
        <sz val="11"/>
        <rFont val="Garamond"/>
        <family val="1"/>
      </rPr>
      <t xml:space="preserve"> f</t>
    </r>
    <r>
      <rPr>
        <vertAlign val="subscript"/>
        <sz val="11"/>
        <rFont val="Garamond"/>
        <family val="1"/>
      </rPr>
      <t>yd</t>
    </r>
  </si>
  <si>
    <r>
      <t>N</t>
    </r>
    <r>
      <rPr>
        <vertAlign val="subscript"/>
        <sz val="9"/>
        <color theme="1"/>
        <rFont val="Garamond"/>
        <family val="1"/>
      </rPr>
      <t>ED</t>
    </r>
    <r>
      <rPr>
        <sz val="9"/>
        <color theme="1"/>
        <rFont val="Garamond"/>
        <family val="1"/>
      </rPr>
      <t>/N</t>
    </r>
    <r>
      <rPr>
        <vertAlign val="subscript"/>
        <sz val="9"/>
        <color theme="1"/>
        <rFont val="Garamond"/>
        <family val="1"/>
      </rPr>
      <t>RD</t>
    </r>
  </si>
  <si>
    <t>T =</t>
  </si>
  <si>
    <r>
      <t>M</t>
    </r>
    <r>
      <rPr>
        <vertAlign val="subscript"/>
        <sz val="11"/>
        <color theme="1"/>
        <rFont val="Garamond"/>
        <family val="1"/>
      </rPr>
      <t xml:space="preserve">EDT </t>
    </r>
    <r>
      <rPr>
        <sz val="11"/>
        <color theme="1"/>
        <rFont val="Garamond"/>
        <family val="1"/>
      </rPr>
      <t/>
    </r>
  </si>
  <si>
    <r>
      <t>M</t>
    </r>
    <r>
      <rPr>
        <vertAlign val="subscript"/>
        <sz val="11"/>
        <color theme="1"/>
        <rFont val="Garamond"/>
        <family val="1"/>
      </rPr>
      <t xml:space="preserve">EDL </t>
    </r>
    <r>
      <rPr>
        <sz val="11"/>
        <color theme="1"/>
        <rFont val="Garamond"/>
        <family val="1"/>
      </rPr>
      <t/>
    </r>
  </si>
  <si>
    <t>As4</t>
  </si>
  <si>
    <r>
      <t>M</t>
    </r>
    <r>
      <rPr>
        <vertAlign val="subscript"/>
        <sz val="11"/>
        <color theme="1"/>
        <rFont val="Garamond"/>
        <family val="1"/>
      </rPr>
      <t>RDL</t>
    </r>
    <r>
      <rPr>
        <sz val="11"/>
        <color theme="1"/>
        <rFont val="Garamond"/>
        <family val="1"/>
      </rPr>
      <t/>
    </r>
  </si>
  <si>
    <t>As3</t>
  </si>
  <si>
    <t>As2</t>
  </si>
  <si>
    <t>L=</t>
  </si>
  <si>
    <t>CHECK FOR MOMENT CAPACITY</t>
  </si>
  <si>
    <r>
      <t>N</t>
    </r>
    <r>
      <rPr>
        <vertAlign val="subscript"/>
        <sz val="11"/>
        <color theme="1"/>
        <rFont val="Garamond"/>
        <family val="1"/>
      </rPr>
      <t>ED</t>
    </r>
    <r>
      <rPr>
        <sz val="11"/>
        <color theme="1"/>
        <rFont val="Garamond"/>
        <family val="1"/>
      </rPr>
      <t>/ N</t>
    </r>
    <r>
      <rPr>
        <vertAlign val="subscript"/>
        <sz val="11"/>
        <color theme="1"/>
        <rFont val="Garamond"/>
        <family val="1"/>
      </rPr>
      <t>RD</t>
    </r>
  </si>
  <si>
    <r>
      <t>M</t>
    </r>
    <r>
      <rPr>
        <vertAlign val="subscript"/>
        <sz val="11"/>
        <color theme="1"/>
        <rFont val="Garamond"/>
        <family val="1"/>
      </rPr>
      <t>RTT</t>
    </r>
  </si>
  <si>
    <r>
      <t>M</t>
    </r>
    <r>
      <rPr>
        <vertAlign val="subscript"/>
        <sz val="11"/>
        <color theme="1"/>
        <rFont val="Garamond"/>
        <family val="1"/>
      </rPr>
      <t>RLL</t>
    </r>
  </si>
  <si>
    <r>
      <t>(M</t>
    </r>
    <r>
      <rPr>
        <vertAlign val="subscript"/>
        <sz val="10"/>
        <color theme="1"/>
        <rFont val="Garamond"/>
        <family val="1"/>
      </rPr>
      <t xml:space="preserve">EDT </t>
    </r>
    <r>
      <rPr>
        <sz val="10"/>
        <color theme="1"/>
        <rFont val="Garamond"/>
        <family val="1"/>
      </rPr>
      <t>/M</t>
    </r>
    <r>
      <rPr>
        <vertAlign val="subscript"/>
        <sz val="10"/>
        <color theme="1"/>
        <rFont val="Garamond"/>
        <family val="1"/>
      </rPr>
      <t>RDT</t>
    </r>
    <r>
      <rPr>
        <sz val="10"/>
        <color theme="1"/>
        <rFont val="Garamond"/>
        <family val="1"/>
      </rPr>
      <t>)</t>
    </r>
    <r>
      <rPr>
        <vertAlign val="superscript"/>
        <sz val="10"/>
        <color theme="1"/>
        <rFont val="Symbol"/>
        <family val="1"/>
        <charset val="2"/>
      </rPr>
      <t xml:space="preserve">a </t>
    </r>
    <r>
      <rPr>
        <sz val="10"/>
        <color theme="1"/>
        <rFont val="Garamond"/>
        <family val="1"/>
      </rPr>
      <t>+(M</t>
    </r>
    <r>
      <rPr>
        <vertAlign val="subscript"/>
        <sz val="10"/>
        <color theme="1"/>
        <rFont val="Garamond"/>
        <family val="1"/>
      </rPr>
      <t xml:space="preserve">EDL </t>
    </r>
    <r>
      <rPr>
        <sz val="10"/>
        <color theme="1"/>
        <rFont val="Garamond"/>
        <family val="1"/>
      </rPr>
      <t>/M</t>
    </r>
    <r>
      <rPr>
        <vertAlign val="subscript"/>
        <sz val="10"/>
        <color theme="1"/>
        <rFont val="Garamond"/>
        <family val="1"/>
      </rPr>
      <t>RDL</t>
    </r>
    <r>
      <rPr>
        <sz val="10"/>
        <color theme="1"/>
        <rFont val="Garamond"/>
        <family val="1"/>
      </rPr>
      <t>)</t>
    </r>
    <r>
      <rPr>
        <vertAlign val="superscript"/>
        <sz val="10"/>
        <color theme="1"/>
        <rFont val="Symbol"/>
        <family val="1"/>
        <charset val="2"/>
      </rPr>
      <t>a</t>
    </r>
  </si>
  <si>
    <t>INTERACTION DIAGRAM  :</t>
  </si>
  <si>
    <r>
      <t>(P : M</t>
    </r>
    <r>
      <rPr>
        <b/>
        <vertAlign val="subscript"/>
        <sz val="11"/>
        <color theme="1"/>
        <rFont val="Garamond"/>
        <family val="1"/>
      </rPr>
      <t>TT</t>
    </r>
    <r>
      <rPr>
        <b/>
        <sz val="11"/>
        <color theme="1"/>
        <rFont val="Garamond"/>
        <family val="1"/>
      </rPr>
      <t>)</t>
    </r>
  </si>
  <si>
    <t>SECTION AT SHAFT BOTTOM</t>
  </si>
  <si>
    <t>Section Dimensions:</t>
  </si>
  <si>
    <t>Reinforcement Details :</t>
  </si>
  <si>
    <t>Reinf.</t>
  </si>
  <si>
    <t>Cover</t>
  </si>
  <si>
    <t>Y_Cg</t>
  </si>
  <si>
    <t>Reinforcement in transverse direction</t>
  </si>
  <si>
    <t>Total vertical reinf.</t>
  </si>
  <si>
    <t>Length of abutment</t>
  </si>
  <si>
    <t>Reinf. /m length</t>
  </si>
  <si>
    <t>mm2/m</t>
  </si>
  <si>
    <t>Reinforcement in transvesre direction</t>
  </si>
  <si>
    <t>0.25 times vertical reinf</t>
  </si>
  <si>
    <t>NA</t>
  </si>
  <si>
    <t>Total As</t>
  </si>
  <si>
    <t>mm2/m ( total on both face)</t>
  </si>
  <si>
    <t>Cross -sectional area Ac per meter length/ heigth</t>
  </si>
  <si>
    <t>Minimum reinf.</t>
  </si>
  <si>
    <t>0.001 Ac</t>
  </si>
  <si>
    <t>mm2/m (total on both face)</t>
  </si>
  <si>
    <t>c/c on each face</t>
  </si>
  <si>
    <t>mm2/m (total on botah faces</t>
  </si>
  <si>
    <t>Formula Used In Construction of Intraction Diagram :</t>
  </si>
  <si>
    <t>Cc+ Cs</t>
  </si>
  <si>
    <t>Mc + Ms</t>
  </si>
  <si>
    <t>Cc</t>
  </si>
  <si>
    <r>
      <t>0.361*fck*x</t>
    </r>
    <r>
      <rPr>
        <vertAlign val="subscript"/>
        <sz val="12"/>
        <rFont val="Garamond"/>
        <family val="1"/>
      </rPr>
      <t>u</t>
    </r>
    <r>
      <rPr>
        <sz val="12"/>
        <rFont val="Garamond"/>
        <family val="1"/>
      </rPr>
      <t>*b</t>
    </r>
  </si>
  <si>
    <t>xu ≤ D</t>
  </si>
  <si>
    <t>0.447*fck*(1 - 4*g/21)*b *D</t>
  </si>
  <si>
    <t>xu &gt; D</t>
  </si>
  <si>
    <r>
      <t>16 / ( 7x</t>
    </r>
    <r>
      <rPr>
        <vertAlign val="subscript"/>
        <sz val="12"/>
        <rFont val="Garamond"/>
        <family val="1"/>
      </rPr>
      <t>u</t>
    </r>
    <r>
      <rPr>
        <sz val="12"/>
        <rFont val="Garamond"/>
        <family val="1"/>
      </rPr>
      <t xml:space="preserve"> / D - 3 )</t>
    </r>
    <r>
      <rPr>
        <vertAlign val="superscript"/>
        <sz val="12"/>
        <rFont val="Garamond"/>
        <family val="1"/>
      </rPr>
      <t>2</t>
    </r>
  </si>
  <si>
    <t>Cs</t>
  </si>
  <si>
    <r>
      <rPr>
        <sz val="11"/>
        <rFont val="Symbol"/>
        <family val="1"/>
        <charset val="2"/>
      </rPr>
      <t>S</t>
    </r>
    <r>
      <rPr>
        <sz val="11"/>
        <rFont val="Garamond"/>
        <family val="1"/>
      </rPr>
      <t xml:space="preserve"> ( fsi -fci) Asi</t>
    </r>
  </si>
  <si>
    <t>fci</t>
  </si>
  <si>
    <r>
      <rPr>
        <sz val="12"/>
        <rFont val="Symbol"/>
        <family val="1"/>
        <charset val="2"/>
      </rPr>
      <t>e</t>
    </r>
    <r>
      <rPr>
        <sz val="12"/>
        <rFont val="Garamond"/>
        <family val="1"/>
      </rPr>
      <t>si  ≤</t>
    </r>
  </si>
  <si>
    <t>0.447fck</t>
  </si>
  <si>
    <r>
      <rPr>
        <sz val="12"/>
        <rFont val="Symbol"/>
        <family val="1"/>
        <charset val="2"/>
      </rPr>
      <t>e</t>
    </r>
    <r>
      <rPr>
        <sz val="12"/>
        <rFont val="Garamond"/>
        <family val="1"/>
      </rPr>
      <t>si  ≥</t>
    </r>
  </si>
  <si>
    <r>
      <t>0.447fck [ 2 * (</t>
    </r>
    <r>
      <rPr>
        <sz val="12"/>
        <rFont val="Symbol"/>
        <family val="1"/>
        <charset val="2"/>
      </rPr>
      <t>e</t>
    </r>
    <r>
      <rPr>
        <sz val="12"/>
        <rFont val="Garamond"/>
        <family val="1"/>
      </rPr>
      <t>si / 0.002) -(</t>
    </r>
    <r>
      <rPr>
        <sz val="12"/>
        <rFont val="Symbol"/>
        <family val="1"/>
        <charset val="2"/>
      </rPr>
      <t>e</t>
    </r>
    <r>
      <rPr>
        <sz val="12"/>
        <rFont val="Garamond"/>
        <family val="1"/>
      </rPr>
      <t>si / 0.002)</t>
    </r>
    <r>
      <rPr>
        <vertAlign val="superscript"/>
        <sz val="12"/>
        <rFont val="Garamond"/>
        <family val="1"/>
      </rPr>
      <t>2</t>
    </r>
    <r>
      <rPr>
        <sz val="12"/>
        <rFont val="Garamond"/>
        <family val="1"/>
      </rPr>
      <t xml:space="preserve"> ]</t>
    </r>
  </si>
  <si>
    <t>otherwise</t>
  </si>
  <si>
    <t>fsi</t>
  </si>
  <si>
    <t>-0.87 fy</t>
  </si>
  <si>
    <t>esi* Es</t>
  </si>
  <si>
    <r>
      <rPr>
        <sz val="12"/>
        <rFont val="Symbol"/>
        <family val="1"/>
        <charset val="2"/>
      </rPr>
      <t>e</t>
    </r>
    <r>
      <rPr>
        <sz val="12"/>
        <rFont val="Garamond"/>
        <family val="1"/>
      </rPr>
      <t>si  &gt;</t>
    </r>
  </si>
  <si>
    <t>0.87 fy</t>
  </si>
  <si>
    <t>Mc</t>
  </si>
  <si>
    <t>Cc * ( 0.5D - x )</t>
  </si>
  <si>
    <t>Ms</t>
  </si>
  <si>
    <r>
      <rPr>
        <sz val="11"/>
        <rFont val="Symbol"/>
        <family val="1"/>
        <charset val="2"/>
      </rPr>
      <t>S</t>
    </r>
    <r>
      <rPr>
        <sz val="11"/>
        <rFont val="Garamond"/>
        <family val="1"/>
      </rPr>
      <t xml:space="preserve"> Csi * yi</t>
    </r>
  </si>
  <si>
    <t>0.416 xu</t>
  </si>
  <si>
    <t>(0.5 - 8*g /49)*{D/ (1-4*g/21)}</t>
  </si>
  <si>
    <t>Centroid of stress blok area from most compressed edge</t>
  </si>
  <si>
    <t xml:space="preserve">0.0035 * </t>
  </si>
  <si>
    <t xml:space="preserve"> xu - D/ 2 + yi </t>
  </si>
  <si>
    <r>
      <rPr>
        <sz val="12"/>
        <rFont val="Symbol"/>
        <family val="1"/>
        <charset val="2"/>
      </rPr>
      <t>e</t>
    </r>
    <r>
      <rPr>
        <vertAlign val="subscript"/>
        <sz val="12"/>
        <rFont val="Garamond"/>
        <family val="1"/>
      </rPr>
      <t>si</t>
    </r>
  </si>
  <si>
    <t>0.002*</t>
  </si>
  <si>
    <t xml:space="preserve">1 +  </t>
  </si>
  <si>
    <t>yi - D/14</t>
  </si>
  <si>
    <t>xu -3D/7</t>
  </si>
  <si>
    <t>Width of abutment shaft</t>
  </si>
  <si>
    <t>Length of abutment shaft</t>
  </si>
  <si>
    <t>Confined area of concrete</t>
  </si>
  <si>
    <r>
      <t xml:space="preserve">Max(1.4* </t>
    </r>
    <r>
      <rPr>
        <sz val="11"/>
        <color theme="1"/>
        <rFont val="Symbol"/>
        <family val="1"/>
        <charset val="2"/>
      </rPr>
      <t>w</t>
    </r>
    <r>
      <rPr>
        <vertAlign val="subscript"/>
        <sz val="11"/>
        <color theme="1"/>
        <rFont val="Garamond"/>
        <family val="1"/>
      </rPr>
      <t>w,req</t>
    </r>
    <r>
      <rPr>
        <sz val="11"/>
        <color theme="1"/>
        <rFont val="Garamond"/>
        <family val="1"/>
      </rPr>
      <t xml:space="preserve"> , 0.12)</t>
    </r>
  </si>
  <si>
    <r>
      <t>Asw / b S</t>
    </r>
    <r>
      <rPr>
        <vertAlign val="subscript"/>
        <sz val="11"/>
        <color theme="1"/>
        <rFont val="Garamond"/>
        <family val="1"/>
      </rPr>
      <t>L</t>
    </r>
  </si>
  <si>
    <t>AsW</t>
  </si>
  <si>
    <r>
      <rPr>
        <sz val="11"/>
        <color theme="1"/>
        <rFont val="Symbol"/>
        <family val="1"/>
        <charset val="2"/>
      </rPr>
      <t>r</t>
    </r>
    <r>
      <rPr>
        <vertAlign val="subscript"/>
        <sz val="11"/>
        <color theme="1"/>
        <rFont val="Garamond"/>
        <family val="1"/>
      </rPr>
      <t>w</t>
    </r>
    <r>
      <rPr>
        <sz val="11"/>
        <color theme="1"/>
        <rFont val="Garamond"/>
        <family val="1"/>
      </rPr>
      <t xml:space="preserve"> *b * S</t>
    </r>
    <r>
      <rPr>
        <vertAlign val="subscript"/>
        <sz val="11"/>
        <color theme="1"/>
        <rFont val="Garamond"/>
        <family val="1"/>
      </rPr>
      <t>L</t>
    </r>
  </si>
  <si>
    <t>Dimension of the core perpendicular to the direction of confinment.</t>
  </si>
  <si>
    <t>Spacing of hoops or ties in longitudinal direction (in vertical direction)</t>
  </si>
  <si>
    <t>&lt;=</t>
  </si>
  <si>
    <t>1/5 * smalllest dimension of confined core</t>
  </si>
  <si>
    <t xml:space="preserve">dia </t>
  </si>
  <si>
    <t>Nos.  @</t>
  </si>
  <si>
    <t>Area of reinforcement provided at one section</t>
  </si>
  <si>
    <t>Transverse distance b/w hoops legs or suplementry cross ties :</t>
  </si>
  <si>
    <r>
      <t>S</t>
    </r>
    <r>
      <rPr>
        <vertAlign val="subscript"/>
        <sz val="11"/>
        <color theme="1"/>
        <rFont val="Garamond"/>
        <family val="1"/>
      </rPr>
      <t>T</t>
    </r>
  </si>
  <si>
    <t>1/3 * smalllest dimension of confined core</t>
  </si>
  <si>
    <r>
      <t>mm</t>
    </r>
    <r>
      <rPr>
        <vertAlign val="superscript"/>
        <sz val="11"/>
        <color theme="1"/>
        <rFont val="Garamond"/>
        <family val="1"/>
      </rPr>
      <t>2</t>
    </r>
    <r>
      <rPr>
        <sz val="11"/>
        <color theme="1"/>
        <rFont val="Garamond"/>
        <family val="1"/>
      </rPr>
      <t>/m on compression face</t>
    </r>
  </si>
  <si>
    <r>
      <t>mm</t>
    </r>
    <r>
      <rPr>
        <vertAlign val="superscript"/>
        <sz val="11"/>
        <color theme="1"/>
        <rFont val="Garamond"/>
        <family val="1"/>
      </rPr>
      <t>2</t>
    </r>
    <r>
      <rPr>
        <sz val="11"/>
        <color theme="1"/>
        <rFont val="Garamond"/>
        <family val="1"/>
      </rPr>
      <t>/m on tension face</t>
    </r>
  </si>
  <si>
    <r>
      <t>I</t>
    </r>
    <r>
      <rPr>
        <vertAlign val="subscript"/>
        <sz val="11"/>
        <color theme="1"/>
        <rFont val="Garamond"/>
        <family val="1"/>
      </rPr>
      <t>Leff</t>
    </r>
    <r>
      <rPr>
        <sz val="11"/>
        <color theme="1"/>
        <rFont val="Garamond"/>
        <family val="1"/>
      </rPr>
      <t xml:space="preserve"> - (I</t>
    </r>
    <r>
      <rPr>
        <vertAlign val="subscript"/>
        <sz val="11"/>
        <color theme="1"/>
        <rFont val="Garamond"/>
        <family val="1"/>
      </rPr>
      <t>LTeff</t>
    </r>
    <r>
      <rPr>
        <vertAlign val="superscript"/>
        <sz val="11"/>
        <color theme="1"/>
        <rFont val="Garamond"/>
        <family val="1"/>
      </rPr>
      <t>2</t>
    </r>
    <r>
      <rPr>
        <sz val="11"/>
        <color theme="1"/>
        <rFont val="Garamond"/>
        <family val="1"/>
      </rPr>
      <t xml:space="preserve"> / I</t>
    </r>
    <r>
      <rPr>
        <vertAlign val="subscript"/>
        <sz val="11"/>
        <color theme="1"/>
        <rFont val="Garamond"/>
        <family val="1"/>
      </rPr>
      <t>Teff</t>
    </r>
    <r>
      <rPr>
        <sz val="11"/>
        <color theme="1"/>
        <rFont val="Garamond"/>
        <family val="1"/>
      </rPr>
      <t>)</t>
    </r>
  </si>
  <si>
    <r>
      <t xml:space="preserve">( </t>
    </r>
    <r>
      <rPr>
        <i/>
        <sz val="11"/>
        <color theme="1"/>
        <rFont val="Garamond"/>
        <family val="1"/>
      </rPr>
      <t>T1</t>
    </r>
    <r>
      <rPr>
        <sz val="11"/>
        <color theme="1"/>
        <rFont val="Garamond"/>
        <family val="1"/>
      </rPr>
      <t>- Cg</t>
    </r>
    <r>
      <rPr>
        <vertAlign val="subscript"/>
        <sz val="11"/>
        <color theme="1"/>
        <rFont val="Garamond"/>
        <family val="1"/>
      </rPr>
      <t>Teff</t>
    </r>
    <r>
      <rPr>
        <sz val="11"/>
        <color theme="1"/>
        <rFont val="Garamond"/>
        <family val="1"/>
      </rPr>
      <t xml:space="preserve"> )</t>
    </r>
  </si>
  <si>
    <r>
      <t>P*(e</t>
    </r>
    <r>
      <rPr>
        <vertAlign val="subscript"/>
        <sz val="11"/>
        <color theme="1"/>
        <rFont val="Garamond"/>
        <family val="1"/>
      </rPr>
      <t>T</t>
    </r>
    <r>
      <rPr>
        <sz val="11"/>
        <color theme="1"/>
        <rFont val="Garamond"/>
        <family val="1"/>
      </rPr>
      <t>-e</t>
    </r>
    <r>
      <rPr>
        <vertAlign val="subscript"/>
        <sz val="11"/>
        <color theme="1"/>
        <rFont val="Garamond"/>
        <family val="1"/>
      </rPr>
      <t>T</t>
    </r>
    <r>
      <rPr>
        <sz val="11"/>
        <color theme="1"/>
        <rFont val="Garamond"/>
        <family val="1"/>
      </rPr>
      <t>')  -  P*(e</t>
    </r>
    <r>
      <rPr>
        <vertAlign val="subscript"/>
        <sz val="11"/>
        <color theme="1"/>
        <rFont val="Garamond"/>
        <family val="1"/>
      </rPr>
      <t>L</t>
    </r>
    <r>
      <rPr>
        <sz val="11"/>
        <color theme="1"/>
        <rFont val="Garamond"/>
        <family val="1"/>
      </rPr>
      <t>-e</t>
    </r>
    <r>
      <rPr>
        <vertAlign val="subscript"/>
        <sz val="11"/>
        <color theme="1"/>
        <rFont val="Garamond"/>
        <family val="1"/>
      </rPr>
      <t>L</t>
    </r>
    <r>
      <rPr>
        <sz val="11"/>
        <color theme="1"/>
        <rFont val="Garamond"/>
        <family val="1"/>
      </rPr>
      <t>')*(I</t>
    </r>
    <r>
      <rPr>
        <vertAlign val="subscript"/>
        <sz val="11"/>
        <color theme="1"/>
        <rFont val="Garamond"/>
        <family val="1"/>
      </rPr>
      <t>LTeff</t>
    </r>
    <r>
      <rPr>
        <sz val="11"/>
        <color theme="1"/>
        <rFont val="Garamond"/>
        <family val="1"/>
      </rPr>
      <t xml:space="preserve"> / I</t>
    </r>
    <r>
      <rPr>
        <vertAlign val="subscript"/>
        <sz val="11"/>
        <color theme="1"/>
        <rFont val="Garamond"/>
        <family val="1"/>
      </rPr>
      <t>Teff</t>
    </r>
    <r>
      <rPr>
        <sz val="11"/>
        <color theme="1"/>
        <rFont val="Garamond"/>
        <family val="1"/>
      </rPr>
      <t>)</t>
    </r>
  </si>
  <si>
    <r>
      <t>I</t>
    </r>
    <r>
      <rPr>
        <vertAlign val="subscript"/>
        <sz val="11"/>
        <color theme="1"/>
        <rFont val="Garamond"/>
        <family val="1"/>
      </rPr>
      <t>Teff</t>
    </r>
    <r>
      <rPr>
        <sz val="11"/>
        <color theme="1"/>
        <rFont val="Garamond"/>
        <family val="1"/>
      </rPr>
      <t xml:space="preserve"> - (I</t>
    </r>
    <r>
      <rPr>
        <vertAlign val="subscript"/>
        <sz val="11"/>
        <color theme="1"/>
        <rFont val="Garamond"/>
        <family val="1"/>
      </rPr>
      <t>LTeff</t>
    </r>
    <r>
      <rPr>
        <vertAlign val="superscript"/>
        <sz val="11"/>
        <color theme="1"/>
        <rFont val="Garamond"/>
        <family val="1"/>
      </rPr>
      <t>2</t>
    </r>
    <r>
      <rPr>
        <sz val="11"/>
        <color theme="1"/>
        <rFont val="Garamond"/>
        <family val="1"/>
      </rPr>
      <t xml:space="preserve"> / I</t>
    </r>
    <r>
      <rPr>
        <vertAlign val="subscript"/>
        <sz val="11"/>
        <color theme="1"/>
        <rFont val="Garamond"/>
        <family val="1"/>
      </rPr>
      <t>Leff</t>
    </r>
    <r>
      <rPr>
        <sz val="11"/>
        <color theme="1"/>
        <rFont val="Garamond"/>
        <family val="1"/>
      </rPr>
      <t>)</t>
    </r>
  </si>
  <si>
    <r>
      <t xml:space="preserve">( </t>
    </r>
    <r>
      <rPr>
        <i/>
        <sz val="11"/>
        <color theme="1"/>
        <rFont val="Garamond"/>
        <family val="1"/>
      </rPr>
      <t>L1</t>
    </r>
    <r>
      <rPr>
        <sz val="11"/>
        <color theme="1"/>
        <rFont val="Garamond"/>
        <family val="1"/>
      </rPr>
      <t>- Cg</t>
    </r>
    <r>
      <rPr>
        <vertAlign val="subscript"/>
        <sz val="11"/>
        <color theme="1"/>
        <rFont val="Garamond"/>
        <family val="1"/>
      </rPr>
      <t>Leff</t>
    </r>
    <r>
      <rPr>
        <sz val="11"/>
        <color theme="1"/>
        <rFont val="Garamond"/>
        <family val="1"/>
      </rPr>
      <t xml:space="preserve"> )</t>
    </r>
  </si>
  <si>
    <r>
      <t>P*(e</t>
    </r>
    <r>
      <rPr>
        <vertAlign val="subscript"/>
        <sz val="11"/>
        <color theme="1"/>
        <rFont val="Garamond"/>
        <family val="1"/>
      </rPr>
      <t>L</t>
    </r>
    <r>
      <rPr>
        <sz val="11"/>
        <color theme="1"/>
        <rFont val="Garamond"/>
        <family val="1"/>
      </rPr>
      <t>-e</t>
    </r>
    <r>
      <rPr>
        <vertAlign val="subscript"/>
        <sz val="11"/>
        <color theme="1"/>
        <rFont val="Garamond"/>
        <family val="1"/>
      </rPr>
      <t>L</t>
    </r>
    <r>
      <rPr>
        <sz val="11"/>
        <color theme="1"/>
        <rFont val="Garamond"/>
        <family val="1"/>
      </rPr>
      <t>')  -  P*(e</t>
    </r>
    <r>
      <rPr>
        <vertAlign val="subscript"/>
        <sz val="11"/>
        <color theme="1"/>
        <rFont val="Garamond"/>
        <family val="1"/>
      </rPr>
      <t>T</t>
    </r>
    <r>
      <rPr>
        <sz val="11"/>
        <color theme="1"/>
        <rFont val="Garamond"/>
        <family val="1"/>
      </rPr>
      <t>-e</t>
    </r>
    <r>
      <rPr>
        <vertAlign val="subscript"/>
        <sz val="11"/>
        <color theme="1"/>
        <rFont val="Garamond"/>
        <family val="1"/>
      </rPr>
      <t>T</t>
    </r>
    <r>
      <rPr>
        <sz val="11"/>
        <color theme="1"/>
        <rFont val="Garamond"/>
        <family val="1"/>
      </rPr>
      <t>')*(I</t>
    </r>
    <r>
      <rPr>
        <vertAlign val="subscript"/>
        <sz val="11"/>
        <color theme="1"/>
        <rFont val="Garamond"/>
        <family val="1"/>
      </rPr>
      <t>LTeff</t>
    </r>
    <r>
      <rPr>
        <sz val="11"/>
        <color theme="1"/>
        <rFont val="Garamond"/>
        <family val="1"/>
      </rPr>
      <t xml:space="preserve"> / I</t>
    </r>
    <r>
      <rPr>
        <vertAlign val="subscript"/>
        <sz val="11"/>
        <color theme="1"/>
        <rFont val="Garamond"/>
        <family val="1"/>
      </rPr>
      <t>Leff</t>
    </r>
    <r>
      <rPr>
        <sz val="11"/>
        <color theme="1"/>
        <rFont val="Garamond"/>
        <family val="1"/>
      </rPr>
      <t>)</t>
    </r>
  </si>
  <si>
    <t>P/Aeff</t>
  </si>
  <si>
    <r>
      <rPr>
        <sz val="11"/>
        <color theme="1"/>
        <rFont val="Symbol"/>
        <family val="1"/>
        <charset val="2"/>
      </rPr>
      <t>s</t>
    </r>
    <r>
      <rPr>
        <sz val="11"/>
        <color theme="1"/>
        <rFont val="Garamond"/>
        <family val="1"/>
      </rPr>
      <t xml:space="preserve"> (</t>
    </r>
    <r>
      <rPr>
        <vertAlign val="subscript"/>
        <sz val="11"/>
        <color theme="1"/>
        <rFont val="Garamond"/>
        <family val="1"/>
      </rPr>
      <t>L1 , T1</t>
    </r>
    <r>
      <rPr>
        <sz val="11"/>
        <color theme="1"/>
        <rFont val="Garamond"/>
        <family val="1"/>
      </rPr>
      <t>)</t>
    </r>
  </si>
  <si>
    <r>
      <t>(e</t>
    </r>
    <r>
      <rPr>
        <vertAlign val="subscript"/>
        <sz val="11"/>
        <color theme="1"/>
        <rFont val="Garamond"/>
        <family val="1"/>
      </rPr>
      <t>T</t>
    </r>
    <r>
      <rPr>
        <sz val="11"/>
        <color theme="1"/>
        <rFont val="Garamond"/>
        <family val="1"/>
      </rPr>
      <t>-e</t>
    </r>
    <r>
      <rPr>
        <vertAlign val="subscript"/>
        <sz val="11"/>
        <color theme="1"/>
        <rFont val="Garamond"/>
        <family val="1"/>
      </rPr>
      <t>T</t>
    </r>
    <r>
      <rPr>
        <sz val="11"/>
        <color theme="1"/>
        <rFont val="Garamond"/>
        <family val="1"/>
      </rPr>
      <t>') * I</t>
    </r>
    <r>
      <rPr>
        <vertAlign val="subscript"/>
        <sz val="11"/>
        <color theme="1"/>
        <rFont val="Garamond"/>
        <family val="1"/>
      </rPr>
      <t>TT</t>
    </r>
    <r>
      <rPr>
        <sz val="11"/>
        <color theme="1"/>
        <rFont val="Garamond"/>
        <family val="1"/>
      </rPr>
      <t xml:space="preserve"> - (e</t>
    </r>
    <r>
      <rPr>
        <vertAlign val="subscript"/>
        <sz val="11"/>
        <color theme="1"/>
        <rFont val="Garamond"/>
        <family val="1"/>
      </rPr>
      <t>L</t>
    </r>
    <r>
      <rPr>
        <sz val="11"/>
        <color theme="1"/>
        <rFont val="Garamond"/>
        <family val="1"/>
      </rPr>
      <t>-e</t>
    </r>
    <r>
      <rPr>
        <vertAlign val="subscript"/>
        <sz val="11"/>
        <color theme="1"/>
        <rFont val="Garamond"/>
        <family val="1"/>
      </rPr>
      <t>L</t>
    </r>
    <r>
      <rPr>
        <sz val="11"/>
        <color theme="1"/>
        <rFont val="Garamond"/>
        <family val="1"/>
      </rPr>
      <t>')*I</t>
    </r>
    <r>
      <rPr>
        <vertAlign val="subscript"/>
        <sz val="11"/>
        <color theme="1"/>
        <rFont val="Garamond"/>
        <family val="1"/>
      </rPr>
      <t>LT</t>
    </r>
  </si>
  <si>
    <r>
      <t>(e</t>
    </r>
    <r>
      <rPr>
        <vertAlign val="subscript"/>
        <sz val="11"/>
        <color theme="1"/>
        <rFont val="Garamond"/>
        <family val="1"/>
      </rPr>
      <t>L</t>
    </r>
    <r>
      <rPr>
        <sz val="11"/>
        <color theme="1"/>
        <rFont val="Garamond"/>
        <family val="1"/>
      </rPr>
      <t>-e</t>
    </r>
    <r>
      <rPr>
        <vertAlign val="subscript"/>
        <sz val="11"/>
        <color theme="1"/>
        <rFont val="Garamond"/>
        <family val="1"/>
      </rPr>
      <t>L</t>
    </r>
    <r>
      <rPr>
        <sz val="11"/>
        <color theme="1"/>
        <rFont val="Garamond"/>
        <family val="1"/>
      </rPr>
      <t>') * I</t>
    </r>
    <r>
      <rPr>
        <vertAlign val="subscript"/>
        <sz val="11"/>
        <color theme="1"/>
        <rFont val="Garamond"/>
        <family val="1"/>
      </rPr>
      <t>LL</t>
    </r>
    <r>
      <rPr>
        <sz val="11"/>
        <color theme="1"/>
        <rFont val="Garamond"/>
        <family val="1"/>
      </rPr>
      <t xml:space="preserve"> - (e</t>
    </r>
    <r>
      <rPr>
        <vertAlign val="subscript"/>
        <sz val="11"/>
        <color theme="1"/>
        <rFont val="Garamond"/>
        <family val="1"/>
      </rPr>
      <t>T</t>
    </r>
    <r>
      <rPr>
        <sz val="11"/>
        <color theme="1"/>
        <rFont val="Garamond"/>
        <family val="1"/>
      </rPr>
      <t>-e</t>
    </r>
    <r>
      <rPr>
        <vertAlign val="subscript"/>
        <sz val="11"/>
        <color theme="1"/>
        <rFont val="Garamond"/>
        <family val="1"/>
      </rPr>
      <t>T</t>
    </r>
    <r>
      <rPr>
        <sz val="11"/>
        <color theme="1"/>
        <rFont val="Garamond"/>
        <family val="1"/>
      </rPr>
      <t>')*I</t>
    </r>
    <r>
      <rPr>
        <vertAlign val="subscript"/>
        <sz val="11"/>
        <color theme="1"/>
        <rFont val="Garamond"/>
        <family val="1"/>
      </rPr>
      <t>LT</t>
    </r>
  </si>
  <si>
    <r>
      <t>tan (</t>
    </r>
    <r>
      <rPr>
        <sz val="11"/>
        <color theme="1"/>
        <rFont val="Symbol"/>
        <family val="1"/>
        <charset val="2"/>
      </rPr>
      <t>f</t>
    </r>
    <r>
      <rPr>
        <sz val="11"/>
        <color theme="1"/>
        <rFont val="Garamond"/>
        <family val="1"/>
      </rPr>
      <t>)=</t>
    </r>
  </si>
  <si>
    <r>
      <t>M</t>
    </r>
    <r>
      <rPr>
        <vertAlign val="subscript"/>
        <sz val="11"/>
        <color theme="1"/>
        <rFont val="Garamond"/>
        <family val="1"/>
      </rPr>
      <t>LL</t>
    </r>
    <r>
      <rPr>
        <sz val="11"/>
        <color theme="1"/>
        <rFont val="Garamond"/>
        <family val="1"/>
      </rPr>
      <t xml:space="preserve"> * I</t>
    </r>
    <r>
      <rPr>
        <vertAlign val="subscript"/>
        <sz val="11"/>
        <color theme="1"/>
        <rFont val="Garamond"/>
        <family val="1"/>
      </rPr>
      <t>TT</t>
    </r>
    <r>
      <rPr>
        <sz val="11"/>
        <color theme="1"/>
        <rFont val="Garamond"/>
        <family val="1"/>
      </rPr>
      <t>/ M</t>
    </r>
    <r>
      <rPr>
        <vertAlign val="subscript"/>
        <sz val="11"/>
        <color theme="1"/>
        <rFont val="Garamond"/>
        <family val="1"/>
      </rPr>
      <t>TT</t>
    </r>
    <r>
      <rPr>
        <sz val="11"/>
        <color theme="1"/>
        <rFont val="Garamond"/>
        <family val="1"/>
      </rPr>
      <t xml:space="preserve"> / I</t>
    </r>
    <r>
      <rPr>
        <vertAlign val="subscript"/>
        <sz val="11"/>
        <color theme="1"/>
        <rFont val="Garamond"/>
        <family val="1"/>
      </rPr>
      <t>LL</t>
    </r>
  </si>
  <si>
    <t>First Trail NA</t>
  </si>
  <si>
    <t>LOAD COMBIANTIONS</t>
  </si>
  <si>
    <t>Permissible steel stresses (Mpa)</t>
  </si>
  <si>
    <t>Max. Tensile Stress (Mpa)</t>
  </si>
  <si>
    <t>Permissible conc. stresses(Mpa)</t>
  </si>
  <si>
    <t>Max. Concrete Stress (Mpa)</t>
  </si>
  <si>
    <t>Dist. from  N.A (mm) (4)</t>
  </si>
  <si>
    <t>NA_stress</t>
  </si>
  <si>
    <t>dy</t>
  </si>
  <si>
    <t>Value suggested by program</t>
  </si>
  <si>
    <t>Valuse Adopted</t>
  </si>
  <si>
    <t>First Trail</t>
  </si>
  <si>
    <t>Finding Position of Neutral Axs</t>
  </si>
  <si>
    <t>Forces</t>
  </si>
  <si>
    <r>
      <t>I</t>
    </r>
    <r>
      <rPr>
        <vertAlign val="subscript"/>
        <sz val="11"/>
        <color theme="1"/>
        <rFont val="Garamond"/>
        <family val="1"/>
      </rPr>
      <t>LT</t>
    </r>
  </si>
  <si>
    <r>
      <t>I</t>
    </r>
    <r>
      <rPr>
        <vertAlign val="subscript"/>
        <sz val="11"/>
        <color theme="1"/>
        <rFont val="Garamond"/>
        <family val="1"/>
      </rPr>
      <t>TT</t>
    </r>
  </si>
  <si>
    <t>Closed</t>
  </si>
  <si>
    <r>
      <t>I</t>
    </r>
    <r>
      <rPr>
        <vertAlign val="subscript"/>
        <sz val="11"/>
        <color theme="1"/>
        <rFont val="Garamond"/>
        <family val="1"/>
      </rPr>
      <t>LL</t>
    </r>
  </si>
  <si>
    <t>cgT</t>
  </si>
  <si>
    <t>cgL</t>
  </si>
  <si>
    <t>@ centrodial axis</t>
  </si>
  <si>
    <t>@ XY axis</t>
  </si>
  <si>
    <t>Properties</t>
  </si>
  <si>
    <t>Properties of Gross Cross-section</t>
  </si>
  <si>
    <t>S.N</t>
  </si>
  <si>
    <t>SECTION COORDINATE</t>
  </si>
  <si>
    <r>
      <t>mm</t>
    </r>
    <r>
      <rPr>
        <vertAlign val="superscript"/>
        <sz val="11"/>
        <color theme="1"/>
        <rFont val="Garamond"/>
        <family val="1"/>
      </rPr>
      <t>2</t>
    </r>
    <r>
      <rPr>
        <sz val="11"/>
        <color theme="1"/>
        <rFont val="Garamond"/>
        <family val="1"/>
      </rPr>
      <t>/mm</t>
    </r>
  </si>
  <si>
    <t xml:space="preserve">As per unit </t>
  </si>
  <si>
    <t>Eff. cover</t>
  </si>
  <si>
    <r>
      <t>N/mm</t>
    </r>
    <r>
      <rPr>
        <vertAlign val="superscript"/>
        <sz val="11"/>
        <rFont val="Garamond"/>
        <family val="1"/>
      </rPr>
      <t>2</t>
    </r>
  </si>
  <si>
    <t>Moderate</t>
  </si>
  <si>
    <t>Min of Scour</t>
  </si>
  <si>
    <t>Craked</t>
  </si>
  <si>
    <t>Design of Pier</t>
  </si>
  <si>
    <t>Socket length of pile</t>
  </si>
  <si>
    <t>Ls</t>
  </si>
  <si>
    <t xml:space="preserve">2H </t>
  </si>
  <si>
    <r>
      <t>s</t>
    </r>
    <r>
      <rPr>
        <vertAlign val="subscript"/>
        <sz val="11"/>
        <color theme="1"/>
        <rFont val="Garamond"/>
        <family val="1"/>
      </rPr>
      <t>1</t>
    </r>
    <r>
      <rPr>
        <sz val="11"/>
        <color theme="1"/>
        <rFont val="Garamond"/>
        <family val="1"/>
      </rPr>
      <t xml:space="preserve"> D</t>
    </r>
  </si>
  <si>
    <t>6 M</t>
  </si>
  <si>
    <r>
      <t>s</t>
    </r>
    <r>
      <rPr>
        <vertAlign val="subscript"/>
        <sz val="11"/>
        <color theme="1"/>
        <rFont val="Garamond"/>
        <family val="1"/>
      </rPr>
      <t>1</t>
    </r>
    <r>
      <rPr>
        <vertAlign val="superscript"/>
        <sz val="11"/>
        <color theme="1"/>
        <rFont val="Garamond"/>
        <family val="1"/>
      </rPr>
      <t>2</t>
    </r>
    <r>
      <rPr>
        <sz val="11"/>
        <color theme="1"/>
        <rFont val="Garamond"/>
        <family val="1"/>
      </rPr>
      <t xml:space="preserve"> D</t>
    </r>
    <r>
      <rPr>
        <vertAlign val="superscript"/>
        <sz val="11"/>
        <color theme="1"/>
        <rFont val="Garamond"/>
        <family val="1"/>
      </rPr>
      <t>2</t>
    </r>
  </si>
  <si>
    <r>
      <t>4H</t>
    </r>
    <r>
      <rPr>
        <vertAlign val="superscript"/>
        <sz val="11"/>
        <color theme="1"/>
        <rFont val="Garamond"/>
        <family val="1"/>
      </rPr>
      <t>2</t>
    </r>
  </si>
  <si>
    <r>
      <rPr>
        <sz val="11"/>
        <color theme="1"/>
        <rFont val="Symbol"/>
        <family val="1"/>
        <charset val="2"/>
      </rPr>
      <t>s</t>
    </r>
    <r>
      <rPr>
        <vertAlign val="subscript"/>
        <sz val="11"/>
        <color theme="1"/>
        <rFont val="Garamond"/>
        <family val="1"/>
      </rPr>
      <t>1</t>
    </r>
  </si>
  <si>
    <t>0.33 qc</t>
  </si>
  <si>
    <t>qc of rock</t>
  </si>
  <si>
    <t>Min of</t>
  </si>
  <si>
    <t>LS</t>
  </si>
  <si>
    <t>FRL</t>
  </si>
  <si>
    <t xml:space="preserve">FRL : </t>
  </si>
  <si>
    <t>Camber</t>
  </si>
  <si>
    <t>Wc</t>
  </si>
  <si>
    <t>Sup depth</t>
  </si>
  <si>
    <t>Flange camber</t>
  </si>
  <si>
    <t>brg+pedestal</t>
  </si>
  <si>
    <t>Cap top level</t>
  </si>
  <si>
    <t>Railing weight</t>
  </si>
  <si>
    <t>B5</t>
  </si>
  <si>
    <t>Footpath Live load</t>
  </si>
  <si>
    <t>t/m2</t>
  </si>
  <si>
    <t>20% of 100t +5% of 55.4 t</t>
  </si>
  <si>
    <t>*/ Included with surfacing</t>
  </si>
  <si>
    <t>Left span Reaction</t>
  </si>
  <si>
    <t>Right span Reaction</t>
  </si>
  <si>
    <t>FPLL</t>
  </si>
  <si>
    <t>Sur+FPLL</t>
  </si>
  <si>
    <t>Column Cross-Section</t>
  </si>
  <si>
    <r>
      <t>mm</t>
    </r>
    <r>
      <rPr>
        <vertAlign val="superscript"/>
        <sz val="11"/>
        <rFont val="Garamond"/>
        <family val="1"/>
      </rPr>
      <t>4</t>
    </r>
  </si>
  <si>
    <r>
      <t>I</t>
    </r>
    <r>
      <rPr>
        <vertAlign val="subscript"/>
        <sz val="11"/>
        <rFont val="Garamond"/>
        <family val="1"/>
      </rPr>
      <t>TT</t>
    </r>
  </si>
  <si>
    <r>
      <t>I</t>
    </r>
    <r>
      <rPr>
        <vertAlign val="subscript"/>
        <sz val="11"/>
        <rFont val="Garamond"/>
        <family val="1"/>
      </rPr>
      <t>LL</t>
    </r>
  </si>
  <si>
    <t xml:space="preserve">SEISMIC FORCE CALCULATION </t>
  </si>
  <si>
    <t>Seismic Transveres</t>
  </si>
  <si>
    <t xml:space="preserve"> ------- </t>
  </si>
  <si>
    <t xml:space="preserve"> SLS LOADS &amp; FORCES AT TOP OF PILE. </t>
  </si>
  <si>
    <t xml:space="preserve"> SLS FORCES AT BASE OF PIER SHAFT </t>
  </si>
  <si>
    <t xml:space="preserve"> ------ </t>
  </si>
  <si>
    <t xml:space="preserve"> DESIGN OF PILE &amp; PILE CAP_ULS </t>
  </si>
  <si>
    <t xml:space="preserve"> ULS FORCES AT BASE OF PIER SHAFT </t>
  </si>
  <si>
    <t>2+6</t>
  </si>
  <si>
    <r>
      <t xml:space="preserve">*/ On the conservative side </t>
    </r>
    <r>
      <rPr>
        <sz val="11"/>
        <color rgb="FFC00000"/>
        <rFont val="Symbol"/>
        <family val="1"/>
        <charset val="2"/>
      </rPr>
      <t>b</t>
    </r>
    <r>
      <rPr>
        <sz val="11"/>
        <color rgb="FFC00000"/>
        <rFont val="Garamond"/>
        <family val="1"/>
      </rPr>
      <t xml:space="preserve"> factor considered as 1.</t>
    </r>
  </si>
  <si>
    <t>ULS, Pu-Mu Intraction co-ordinate</t>
  </si>
  <si>
    <r>
      <t>mm</t>
    </r>
    <r>
      <rPr>
        <vertAlign val="superscript"/>
        <sz val="11"/>
        <color indexed="8"/>
        <rFont val="Garamond"/>
        <family val="1"/>
      </rPr>
      <t>2</t>
    </r>
  </si>
  <si>
    <t>Min ( fctm , 2.9)</t>
  </si>
  <si>
    <t>Total area of reinf.</t>
  </si>
  <si>
    <t>Tension reinf . Considered</t>
  </si>
  <si>
    <t>of total reinf</t>
  </si>
  <si>
    <t>*/ Equavelent inscribed square considered</t>
  </si>
  <si>
    <t>*/ Tension reinf. Considered</t>
  </si>
  <si>
    <t>*/ 40% reinf considered</t>
  </si>
  <si>
    <r>
      <rPr>
        <sz val="11"/>
        <color theme="1"/>
        <rFont val="Symbol"/>
        <family val="1"/>
        <charset val="2"/>
      </rPr>
      <t>s</t>
    </r>
    <r>
      <rPr>
        <vertAlign val="subscript"/>
        <sz val="11"/>
        <color theme="1"/>
        <rFont val="Garamond"/>
        <family val="1"/>
      </rPr>
      <t>cp</t>
    </r>
    <r>
      <rPr>
        <sz val="11"/>
        <color theme="1"/>
        <rFont val="Garamond"/>
        <family val="1"/>
      </rPr>
      <t xml:space="preserve"> = N</t>
    </r>
    <r>
      <rPr>
        <vertAlign val="subscript"/>
        <sz val="11"/>
        <color theme="1"/>
        <rFont val="Garamond"/>
        <family val="1"/>
      </rPr>
      <t>ED</t>
    </r>
    <r>
      <rPr>
        <sz val="11"/>
        <color theme="1"/>
        <rFont val="Garamond"/>
        <family val="1"/>
      </rPr>
      <t>/A</t>
    </r>
    <r>
      <rPr>
        <vertAlign val="subscript"/>
        <sz val="11"/>
        <color theme="1"/>
        <rFont val="Garamond"/>
        <family val="1"/>
      </rPr>
      <t>C</t>
    </r>
  </si>
  <si>
    <r>
      <t>N</t>
    </r>
    <r>
      <rPr>
        <vertAlign val="subscript"/>
        <sz val="10"/>
        <color theme="1"/>
        <rFont val="Garamond"/>
        <family val="1"/>
      </rPr>
      <t>ED</t>
    </r>
  </si>
  <si>
    <t>*/ Equavelent width &amp; depth</t>
  </si>
  <si>
    <r>
      <t>M</t>
    </r>
    <r>
      <rPr>
        <vertAlign val="subscript"/>
        <sz val="11"/>
        <color theme="1"/>
        <rFont val="Garamond"/>
        <family val="1"/>
      </rPr>
      <t>ED</t>
    </r>
    <r>
      <rPr>
        <sz val="11"/>
        <color theme="1"/>
        <rFont val="Garamond"/>
        <family val="1"/>
      </rPr>
      <t xml:space="preserve"> / M</t>
    </r>
    <r>
      <rPr>
        <vertAlign val="subscript"/>
        <sz val="11"/>
        <color theme="1"/>
        <rFont val="Garamond"/>
        <family val="1"/>
      </rPr>
      <t>RD</t>
    </r>
  </si>
  <si>
    <r>
      <t>Max M</t>
    </r>
    <r>
      <rPr>
        <vertAlign val="subscript"/>
        <sz val="11"/>
        <color theme="1"/>
        <rFont val="Garamond"/>
        <family val="1"/>
      </rPr>
      <t>ED</t>
    </r>
    <r>
      <rPr>
        <sz val="11"/>
        <color theme="1"/>
        <rFont val="Garamond"/>
        <family val="1"/>
      </rPr>
      <t>/M</t>
    </r>
    <r>
      <rPr>
        <vertAlign val="subscript"/>
        <sz val="11"/>
        <color theme="1"/>
        <rFont val="Garamond"/>
        <family val="1"/>
      </rPr>
      <t>RD</t>
    </r>
  </si>
  <si>
    <r>
      <t>f</t>
    </r>
    <r>
      <rPr>
        <vertAlign val="subscript"/>
        <sz val="11"/>
        <color theme="1"/>
        <rFont val="Garamond"/>
        <family val="1"/>
      </rPr>
      <t>ctm</t>
    </r>
  </si>
  <si>
    <t>xna</t>
  </si>
  <si>
    <t>*/ With Max Pile Reaction</t>
  </si>
  <si>
    <t>*/ With Min Pile Reaction</t>
  </si>
  <si>
    <t>Es/Ecm'</t>
  </si>
  <si>
    <t>Permissible conc. Stresses Rare Comb.</t>
  </si>
  <si>
    <t>Permissible conc. Stresses QP Comb.</t>
  </si>
  <si>
    <t>Calculation of crack width for QP Load Comb.:</t>
  </si>
  <si>
    <t>Q *(L1 +Lf)/2</t>
  </si>
  <si>
    <r>
      <t>For M</t>
    </r>
    <r>
      <rPr>
        <vertAlign val="subscript"/>
        <sz val="11"/>
        <color theme="1"/>
        <rFont val="Garamond"/>
        <family val="1"/>
      </rPr>
      <t>TT</t>
    </r>
  </si>
  <si>
    <r>
      <t>For M</t>
    </r>
    <r>
      <rPr>
        <vertAlign val="subscript"/>
        <sz val="11"/>
        <color theme="1"/>
        <rFont val="Garamond"/>
        <family val="1"/>
      </rPr>
      <t>LL</t>
    </r>
  </si>
  <si>
    <t>D =</t>
  </si>
  <si>
    <t>B =</t>
  </si>
  <si>
    <r>
      <t>x</t>
    </r>
    <r>
      <rPr>
        <vertAlign val="subscript"/>
        <sz val="11"/>
        <color indexed="8"/>
        <rFont val="Garamond"/>
        <family val="1"/>
      </rPr>
      <t>u</t>
    </r>
  </si>
  <si>
    <t>ULS(n, Sec , MAT, REFAcross bending axis, REFAlong Bending Axis, RESULT)</t>
  </si>
  <si>
    <t>Reinforcement Along Longitudinal Axis</t>
  </si>
  <si>
    <t>Reinforcement Along transverse Axis</t>
  </si>
  <si>
    <t>As3  tension face (Length)</t>
  </si>
  <si>
    <r>
      <t>mm</t>
    </r>
    <r>
      <rPr>
        <i/>
        <vertAlign val="superscript"/>
        <sz val="11"/>
        <color indexed="8"/>
        <rFont val="Garamond"/>
        <family val="1"/>
      </rPr>
      <t>2</t>
    </r>
  </si>
  <si>
    <t>As4 Compression face (Length)</t>
  </si>
  <si>
    <t>As1 tension face (wiidth)</t>
  </si>
  <si>
    <t>As2 Compression face (width)</t>
  </si>
  <si>
    <r>
      <t>mm</t>
    </r>
    <r>
      <rPr>
        <b/>
        <i/>
        <vertAlign val="superscript"/>
        <sz val="11"/>
        <color indexed="8"/>
        <rFont val="Garamond"/>
        <family val="1"/>
      </rPr>
      <t>2</t>
    </r>
  </si>
  <si>
    <r>
      <t>M</t>
    </r>
    <r>
      <rPr>
        <vertAlign val="subscript"/>
        <sz val="11"/>
        <color theme="1"/>
        <rFont val="Garamond"/>
        <family val="1"/>
      </rPr>
      <t>UTT</t>
    </r>
  </si>
  <si>
    <r>
      <t>M</t>
    </r>
    <r>
      <rPr>
        <vertAlign val="subscript"/>
        <sz val="11"/>
        <color theme="1"/>
        <rFont val="Garamond"/>
        <family val="1"/>
      </rPr>
      <t>ULL</t>
    </r>
  </si>
  <si>
    <r>
      <t>mm</t>
    </r>
    <r>
      <rPr>
        <vertAlign val="superscript"/>
        <sz val="11"/>
        <color indexed="8"/>
        <rFont val="Garamond"/>
        <family val="1"/>
      </rPr>
      <t>2</t>
    </r>
    <r>
      <rPr>
        <sz val="11"/>
        <color indexed="8"/>
        <rFont val="Garamond"/>
        <family val="1"/>
      </rPr>
      <t xml:space="preserve"> /m</t>
    </r>
  </si>
  <si>
    <r>
      <rPr>
        <sz val="11"/>
        <color indexed="8"/>
        <rFont val="Symbol"/>
        <family val="1"/>
        <charset val="2"/>
      </rPr>
      <t>f</t>
    </r>
    <r>
      <rPr>
        <sz val="11"/>
        <color indexed="8"/>
        <rFont val="Garamond"/>
        <family val="1"/>
      </rPr>
      <t xml:space="preserve">  @</t>
    </r>
  </si>
  <si>
    <t>Bending about LL axis</t>
  </si>
  <si>
    <t>About TT Axis</t>
  </si>
  <si>
    <t>;</t>
  </si>
  <si>
    <r>
      <t>w</t>
    </r>
    <r>
      <rPr>
        <vertAlign val="subscript"/>
        <sz val="11"/>
        <color indexed="8"/>
        <rFont val="Garamond"/>
        <family val="1"/>
      </rPr>
      <t>k,max</t>
    </r>
  </si>
  <si>
    <t>(ULS) CHECK FOR SHEAR FORCE  (Along Long. Direction)</t>
  </si>
  <si>
    <r>
      <t>Max H</t>
    </r>
    <r>
      <rPr>
        <vertAlign val="subscript"/>
        <sz val="11"/>
        <color theme="1"/>
        <rFont val="Garamond"/>
        <family val="1"/>
      </rPr>
      <t>L</t>
    </r>
  </si>
  <si>
    <r>
      <t>Maximum H</t>
    </r>
    <r>
      <rPr>
        <vertAlign val="subscript"/>
        <sz val="11"/>
        <color theme="1"/>
        <rFont val="Garamond"/>
        <family val="1"/>
      </rPr>
      <t>T</t>
    </r>
    <r>
      <rPr>
        <sz val="11"/>
        <color theme="1"/>
        <rFont val="Garamond"/>
        <family val="1"/>
      </rPr>
      <t xml:space="preserve"> Force &amp; corresponding force</t>
    </r>
  </si>
  <si>
    <r>
      <t>Maximum H</t>
    </r>
    <r>
      <rPr>
        <vertAlign val="subscript"/>
        <sz val="11"/>
        <color theme="1"/>
        <rFont val="Garamond"/>
        <family val="1"/>
      </rPr>
      <t>L</t>
    </r>
    <r>
      <rPr>
        <sz val="11"/>
        <color theme="1"/>
        <rFont val="Garamond"/>
        <family val="1"/>
      </rPr>
      <t>Force &amp; corresponding force</t>
    </r>
  </si>
  <si>
    <t>*/ Tension Reinforcement</t>
  </si>
  <si>
    <t xml:space="preserve">Confinment  Reinforcement </t>
  </si>
  <si>
    <t>CHECK FOR PIER SHAFT SLENDERNESS RATIO:</t>
  </si>
  <si>
    <r>
      <t xml:space="preserve">( </t>
    </r>
    <r>
      <rPr>
        <i/>
        <sz val="11"/>
        <color theme="1"/>
        <rFont val="Garamond"/>
        <family val="1"/>
      </rPr>
      <t>IRC 112 / clause 8.3.2 (3))</t>
    </r>
  </si>
  <si>
    <t>Selenderness crateria</t>
  </si>
  <si>
    <t>Moment of Inertia about TT axis</t>
  </si>
  <si>
    <t>Moment of Inertia about LL axis</t>
  </si>
  <si>
    <t>Radius of gyration along LL axis</t>
  </si>
  <si>
    <r>
      <t>i</t>
    </r>
    <r>
      <rPr>
        <vertAlign val="subscript"/>
        <sz val="11"/>
        <color theme="1"/>
        <rFont val="Garamond"/>
        <family val="1"/>
      </rPr>
      <t>L</t>
    </r>
  </si>
  <si>
    <r>
      <rPr>
        <sz val="11"/>
        <color theme="1"/>
        <rFont val="Symbol"/>
        <family val="1"/>
        <charset val="2"/>
      </rPr>
      <t>Ö</t>
    </r>
    <r>
      <rPr>
        <sz val="11"/>
        <color theme="1"/>
        <rFont val="Garamond"/>
        <family val="1"/>
      </rPr>
      <t xml:space="preserve"> I</t>
    </r>
    <r>
      <rPr>
        <vertAlign val="subscript"/>
        <sz val="11"/>
        <color theme="1"/>
        <rFont val="Garamond"/>
        <family val="1"/>
      </rPr>
      <t>TT</t>
    </r>
    <r>
      <rPr>
        <sz val="11"/>
        <color theme="1"/>
        <rFont val="Garamond"/>
        <family val="1"/>
      </rPr>
      <t xml:space="preserve"> /A</t>
    </r>
  </si>
  <si>
    <t>Radius of gyration along TT axis</t>
  </si>
  <si>
    <r>
      <t>i</t>
    </r>
    <r>
      <rPr>
        <vertAlign val="subscript"/>
        <sz val="11"/>
        <color theme="1"/>
        <rFont val="Garamond"/>
        <family val="1"/>
      </rPr>
      <t>T</t>
    </r>
  </si>
  <si>
    <r>
      <rPr>
        <sz val="11"/>
        <color theme="1"/>
        <rFont val="Symbol"/>
        <family val="1"/>
        <charset val="2"/>
      </rPr>
      <t>Ö</t>
    </r>
    <r>
      <rPr>
        <sz val="11"/>
        <color theme="1"/>
        <rFont val="Garamond"/>
        <family val="1"/>
      </rPr>
      <t xml:space="preserve"> I</t>
    </r>
    <r>
      <rPr>
        <vertAlign val="subscript"/>
        <sz val="11"/>
        <color theme="1"/>
        <rFont val="Garamond"/>
        <family val="1"/>
      </rPr>
      <t>LL</t>
    </r>
    <r>
      <rPr>
        <sz val="11"/>
        <color theme="1"/>
        <rFont val="Garamond"/>
        <family val="1"/>
      </rPr>
      <t xml:space="preserve"> /A</t>
    </r>
  </si>
  <si>
    <t>Clear Height of compression member</t>
  </si>
  <si>
    <t>lo</t>
  </si>
  <si>
    <t>Effective Length of column along LL -axis</t>
  </si>
  <si>
    <r>
      <t>l</t>
    </r>
    <r>
      <rPr>
        <vertAlign val="subscript"/>
        <sz val="11"/>
        <color theme="1"/>
        <rFont val="Garamond"/>
        <family val="1"/>
      </rPr>
      <t>eL</t>
    </r>
  </si>
  <si>
    <t>*lo</t>
  </si>
  <si>
    <t>Selenderness ratio along L-L axis</t>
  </si>
  <si>
    <r>
      <t>l</t>
    </r>
    <r>
      <rPr>
        <vertAlign val="subscript"/>
        <sz val="11"/>
        <color theme="1"/>
        <rFont val="Garamond"/>
        <family val="1"/>
      </rPr>
      <t>L</t>
    </r>
  </si>
  <si>
    <r>
      <t>l</t>
    </r>
    <r>
      <rPr>
        <vertAlign val="subscript"/>
        <sz val="11"/>
        <color theme="1"/>
        <rFont val="Garamond"/>
        <family val="1"/>
      </rPr>
      <t>eL</t>
    </r>
    <r>
      <rPr>
        <sz val="11"/>
        <color theme="1"/>
        <rFont val="Garamond"/>
        <family val="1"/>
      </rPr>
      <t>/ i</t>
    </r>
    <r>
      <rPr>
        <vertAlign val="subscript"/>
        <sz val="11"/>
        <color theme="1"/>
        <rFont val="Garamond"/>
        <family val="1"/>
      </rPr>
      <t>L</t>
    </r>
  </si>
  <si>
    <t>Effective Length of column along TT -axis</t>
  </si>
  <si>
    <r>
      <t>l</t>
    </r>
    <r>
      <rPr>
        <vertAlign val="subscript"/>
        <sz val="11"/>
        <color theme="1"/>
        <rFont val="Garamond"/>
        <family val="1"/>
      </rPr>
      <t>eT</t>
    </r>
  </si>
  <si>
    <t>Selenderness ratio along TT axis</t>
  </si>
  <si>
    <r>
      <t>l</t>
    </r>
    <r>
      <rPr>
        <vertAlign val="subscript"/>
        <sz val="11"/>
        <color theme="1"/>
        <rFont val="Garamond"/>
        <family val="1"/>
      </rPr>
      <t>T</t>
    </r>
  </si>
  <si>
    <r>
      <t>l</t>
    </r>
    <r>
      <rPr>
        <vertAlign val="subscript"/>
        <sz val="11"/>
        <color theme="1"/>
        <rFont val="Garamond"/>
        <family val="1"/>
      </rPr>
      <t>eT</t>
    </r>
    <r>
      <rPr>
        <sz val="11"/>
        <color theme="1"/>
        <rFont val="Garamond"/>
        <family val="1"/>
      </rPr>
      <t>/ i</t>
    </r>
    <r>
      <rPr>
        <vertAlign val="subscript"/>
        <sz val="11"/>
        <color theme="1"/>
        <rFont val="Garamond"/>
        <family val="1"/>
      </rPr>
      <t>T</t>
    </r>
  </si>
  <si>
    <r>
      <t>l</t>
    </r>
    <r>
      <rPr>
        <vertAlign val="subscript"/>
        <sz val="11"/>
        <color theme="1"/>
        <rFont val="Garamond"/>
        <family val="1"/>
      </rPr>
      <t>L</t>
    </r>
    <r>
      <rPr>
        <sz val="11"/>
        <color theme="1"/>
        <rFont val="Garamond"/>
        <family val="1"/>
      </rPr>
      <t xml:space="preserve"> / </t>
    </r>
    <r>
      <rPr>
        <sz val="11"/>
        <color theme="1"/>
        <rFont val="Symbol"/>
        <family val="1"/>
        <charset val="2"/>
      </rPr>
      <t>l</t>
    </r>
    <r>
      <rPr>
        <vertAlign val="subscript"/>
        <sz val="11"/>
        <color theme="1"/>
        <rFont val="Garamond"/>
        <family val="1"/>
      </rPr>
      <t>T</t>
    </r>
  </si>
  <si>
    <t>And</t>
  </si>
  <si>
    <r>
      <t>l</t>
    </r>
    <r>
      <rPr>
        <vertAlign val="subscript"/>
        <sz val="11"/>
        <color theme="1"/>
        <rFont val="Garamond"/>
        <family val="1"/>
      </rPr>
      <t>T</t>
    </r>
    <r>
      <rPr>
        <sz val="11"/>
        <color theme="1"/>
        <rFont val="Garamond"/>
        <family val="1"/>
      </rPr>
      <t xml:space="preserve"> / </t>
    </r>
    <r>
      <rPr>
        <sz val="11"/>
        <color theme="1"/>
        <rFont val="Symbol"/>
        <family val="1"/>
        <charset val="2"/>
      </rPr>
      <t>l</t>
    </r>
    <r>
      <rPr>
        <vertAlign val="subscript"/>
        <sz val="11"/>
        <color theme="1"/>
        <rFont val="Garamond"/>
        <family val="1"/>
      </rPr>
      <t>L</t>
    </r>
  </si>
  <si>
    <t>SUMMERY OF FORCES AT BOTTOM OF SHAFT:</t>
  </si>
  <si>
    <t>CHECK FOR SLENDERNESS RATIO</t>
  </si>
  <si>
    <t>Forces at bottom of PIER shaft</t>
  </si>
  <si>
    <r>
      <t>e</t>
    </r>
    <r>
      <rPr>
        <vertAlign val="subscript"/>
        <sz val="9"/>
        <color theme="1"/>
        <rFont val="Garamond"/>
        <family val="1"/>
      </rPr>
      <t>L</t>
    </r>
    <r>
      <rPr>
        <sz val="9"/>
        <color theme="1"/>
        <rFont val="Garamond"/>
        <family val="1"/>
      </rPr>
      <t xml:space="preserve"> = M</t>
    </r>
    <r>
      <rPr>
        <vertAlign val="subscript"/>
        <sz val="9"/>
        <color theme="1"/>
        <rFont val="Garamond"/>
        <family val="1"/>
      </rPr>
      <t>TT</t>
    </r>
    <r>
      <rPr>
        <sz val="9"/>
        <color theme="1"/>
        <rFont val="Garamond"/>
        <family val="1"/>
      </rPr>
      <t>/N</t>
    </r>
    <r>
      <rPr>
        <vertAlign val="subscript"/>
        <sz val="9"/>
        <color theme="1"/>
        <rFont val="Garamond"/>
        <family val="1"/>
      </rPr>
      <t>ED</t>
    </r>
  </si>
  <si>
    <r>
      <t>e</t>
    </r>
    <r>
      <rPr>
        <vertAlign val="subscript"/>
        <sz val="9"/>
        <color theme="1"/>
        <rFont val="Garamond"/>
        <family val="1"/>
      </rPr>
      <t>T</t>
    </r>
    <r>
      <rPr>
        <sz val="9"/>
        <color theme="1"/>
        <rFont val="Garamond"/>
        <family val="1"/>
      </rPr>
      <t xml:space="preserve"> = M</t>
    </r>
    <r>
      <rPr>
        <vertAlign val="subscript"/>
        <sz val="9"/>
        <color theme="1"/>
        <rFont val="Garamond"/>
        <family val="1"/>
      </rPr>
      <t>LL</t>
    </r>
    <r>
      <rPr>
        <sz val="9"/>
        <color theme="1"/>
        <rFont val="Garamond"/>
        <family val="1"/>
      </rPr>
      <t>/N</t>
    </r>
    <r>
      <rPr>
        <vertAlign val="subscript"/>
        <sz val="9"/>
        <color theme="1"/>
        <rFont val="Garamond"/>
        <family val="1"/>
      </rPr>
      <t>ED</t>
    </r>
  </si>
  <si>
    <r>
      <t>e</t>
    </r>
    <r>
      <rPr>
        <vertAlign val="subscript"/>
        <sz val="9"/>
        <color theme="1"/>
        <rFont val="Garamond"/>
        <family val="1"/>
      </rPr>
      <t>L</t>
    </r>
    <r>
      <rPr>
        <sz val="9"/>
        <color theme="1"/>
        <rFont val="Garamond"/>
        <family val="1"/>
      </rPr>
      <t xml:space="preserve"> /L</t>
    </r>
  </si>
  <si>
    <r>
      <t>e</t>
    </r>
    <r>
      <rPr>
        <vertAlign val="subscript"/>
        <sz val="9"/>
        <color theme="1"/>
        <rFont val="Garamond"/>
        <family val="1"/>
      </rPr>
      <t>T</t>
    </r>
    <r>
      <rPr>
        <sz val="9"/>
        <color theme="1"/>
        <rFont val="Garamond"/>
        <family val="1"/>
      </rPr>
      <t xml:space="preserve"> /T</t>
    </r>
  </si>
  <si>
    <r>
      <t>(e</t>
    </r>
    <r>
      <rPr>
        <vertAlign val="subscript"/>
        <sz val="10"/>
        <color theme="1"/>
        <rFont val="Garamond"/>
        <family val="1"/>
      </rPr>
      <t>L</t>
    </r>
    <r>
      <rPr>
        <sz val="10"/>
        <color theme="1"/>
        <rFont val="Garamond"/>
        <family val="1"/>
      </rPr>
      <t>/L) / (e</t>
    </r>
    <r>
      <rPr>
        <vertAlign val="subscript"/>
        <sz val="10"/>
        <color theme="1"/>
        <rFont val="Garamond"/>
        <family val="1"/>
      </rPr>
      <t>T</t>
    </r>
    <r>
      <rPr>
        <sz val="10"/>
        <color theme="1"/>
        <rFont val="Garamond"/>
        <family val="1"/>
      </rPr>
      <t>/T)</t>
    </r>
  </si>
  <si>
    <r>
      <t>(e</t>
    </r>
    <r>
      <rPr>
        <vertAlign val="subscript"/>
        <sz val="10"/>
        <color theme="1"/>
        <rFont val="Garamond"/>
        <family val="1"/>
      </rPr>
      <t>T</t>
    </r>
    <r>
      <rPr>
        <sz val="10"/>
        <color theme="1"/>
        <rFont val="Garamond"/>
        <family val="1"/>
      </rPr>
      <t>/T) / (e</t>
    </r>
    <r>
      <rPr>
        <vertAlign val="subscript"/>
        <sz val="10"/>
        <color theme="1"/>
        <rFont val="Garamond"/>
        <family val="1"/>
      </rPr>
      <t>L</t>
    </r>
    <r>
      <rPr>
        <sz val="10"/>
        <color theme="1"/>
        <rFont val="Garamond"/>
        <family val="1"/>
      </rPr>
      <t>/L)</t>
    </r>
  </si>
  <si>
    <t>CHECK</t>
  </si>
  <si>
    <r>
      <t>M</t>
    </r>
    <r>
      <rPr>
        <vertAlign val="subscript"/>
        <sz val="11"/>
        <color theme="1"/>
        <rFont val="Garamond"/>
        <family val="1"/>
      </rPr>
      <t>ETT</t>
    </r>
  </si>
  <si>
    <r>
      <t>M</t>
    </r>
    <r>
      <rPr>
        <vertAlign val="subscript"/>
        <sz val="11"/>
        <color theme="1"/>
        <rFont val="Garamond"/>
        <family val="1"/>
      </rPr>
      <t>ELL</t>
    </r>
  </si>
  <si>
    <t>CHECK FOR PIER SHAFT SECOND ORDER FORCES:</t>
  </si>
  <si>
    <r>
      <t xml:space="preserve">( </t>
    </r>
    <r>
      <rPr>
        <i/>
        <sz val="11"/>
        <color theme="1"/>
        <rFont val="Garamond"/>
        <family val="1"/>
      </rPr>
      <t>IRC 112 / clause 11.2.1)</t>
    </r>
  </si>
  <si>
    <t>Finding Limiting Value of Slenderness Ratio.</t>
  </si>
  <si>
    <r>
      <rPr>
        <sz val="11"/>
        <color theme="1"/>
        <rFont val="Symbol"/>
        <family val="1"/>
        <charset val="2"/>
      </rPr>
      <t>l</t>
    </r>
    <r>
      <rPr>
        <vertAlign val="subscript"/>
        <sz val="11"/>
        <color theme="1"/>
        <rFont val="Garamond"/>
        <family val="1"/>
      </rPr>
      <t>lim</t>
    </r>
  </si>
  <si>
    <r>
      <t xml:space="preserve">20 A B C/ </t>
    </r>
    <r>
      <rPr>
        <sz val="11"/>
        <color theme="1"/>
        <rFont val="Symbol"/>
        <family val="1"/>
        <charset val="2"/>
      </rPr>
      <t>Ö</t>
    </r>
    <r>
      <rPr>
        <sz val="11"/>
        <color theme="1"/>
        <rFont val="Garamond"/>
        <family val="1"/>
      </rPr>
      <t>n</t>
    </r>
  </si>
  <si>
    <r>
      <rPr>
        <sz val="11"/>
        <color theme="1"/>
        <rFont val="Symbol"/>
        <family val="1"/>
        <charset val="2"/>
      </rPr>
      <t>f</t>
    </r>
    <r>
      <rPr>
        <sz val="11"/>
        <color theme="1"/>
        <rFont val="Garamond"/>
        <family val="1"/>
      </rPr>
      <t>(</t>
    </r>
    <r>
      <rPr>
        <sz val="11"/>
        <color theme="1"/>
        <rFont val="Symbol"/>
        <family val="1"/>
        <charset val="2"/>
      </rPr>
      <t>¥</t>
    </r>
    <r>
      <rPr>
        <sz val="11"/>
        <color theme="1"/>
        <rFont val="Garamond"/>
        <family val="1"/>
      </rPr>
      <t>,t</t>
    </r>
    <r>
      <rPr>
        <vertAlign val="subscript"/>
        <sz val="11"/>
        <color theme="1"/>
        <rFont val="Garamond"/>
        <family val="1"/>
      </rPr>
      <t>o</t>
    </r>
    <r>
      <rPr>
        <sz val="11"/>
        <color theme="1"/>
        <rFont val="Garamond"/>
        <family val="1"/>
      </rPr>
      <t>)</t>
    </r>
  </si>
  <si>
    <r>
      <t>Mo</t>
    </r>
    <r>
      <rPr>
        <vertAlign val="subscript"/>
        <sz val="11"/>
        <color theme="1"/>
        <rFont val="Garamond"/>
        <family val="1"/>
      </rPr>
      <t>Eqp</t>
    </r>
    <r>
      <rPr>
        <sz val="11"/>
        <color theme="1"/>
        <rFont val="Garamond"/>
        <family val="1"/>
      </rPr>
      <t>/Mo</t>
    </r>
    <r>
      <rPr>
        <vertAlign val="subscript"/>
        <sz val="11"/>
        <color theme="1"/>
        <rFont val="Garamond"/>
        <family val="1"/>
      </rPr>
      <t>Ed</t>
    </r>
  </si>
  <si>
    <t>Ratio of BM in Quasi Permanent LC of SLS to BM in Design LC of ULS</t>
  </si>
  <si>
    <r>
      <rPr>
        <sz val="11"/>
        <color theme="1"/>
        <rFont val="Symbol"/>
        <family val="1"/>
        <charset val="2"/>
      </rPr>
      <t>f</t>
    </r>
    <r>
      <rPr>
        <vertAlign val="subscript"/>
        <sz val="11"/>
        <color theme="1"/>
        <rFont val="Garamond"/>
        <family val="1"/>
      </rPr>
      <t>ef</t>
    </r>
  </si>
  <si>
    <r>
      <rPr>
        <sz val="11"/>
        <color theme="1"/>
        <rFont val="Symbol"/>
        <family val="1"/>
        <charset val="2"/>
      </rPr>
      <t>f</t>
    </r>
    <r>
      <rPr>
        <sz val="11"/>
        <color theme="1"/>
        <rFont val="Garamond"/>
        <family val="1"/>
      </rPr>
      <t>(</t>
    </r>
    <r>
      <rPr>
        <sz val="11"/>
        <color theme="1"/>
        <rFont val="Symbol"/>
        <family val="1"/>
        <charset val="2"/>
      </rPr>
      <t>¥</t>
    </r>
    <r>
      <rPr>
        <sz val="11"/>
        <color theme="1"/>
        <rFont val="Garamond"/>
        <family val="1"/>
      </rPr>
      <t>,t</t>
    </r>
    <r>
      <rPr>
        <vertAlign val="subscript"/>
        <sz val="11"/>
        <color theme="1"/>
        <rFont val="Garamond"/>
        <family val="1"/>
      </rPr>
      <t>o</t>
    </r>
    <r>
      <rPr>
        <sz val="11"/>
        <color theme="1"/>
        <rFont val="Garamond"/>
        <family val="1"/>
      </rPr>
      <t>) * Mo</t>
    </r>
    <r>
      <rPr>
        <vertAlign val="subscript"/>
        <sz val="11"/>
        <color theme="1"/>
        <rFont val="Garamond"/>
        <family val="1"/>
      </rPr>
      <t>Eqp</t>
    </r>
    <r>
      <rPr>
        <sz val="11"/>
        <color theme="1"/>
        <rFont val="Garamond"/>
        <family val="1"/>
      </rPr>
      <t>/Mo</t>
    </r>
    <r>
      <rPr>
        <vertAlign val="subscript"/>
        <sz val="11"/>
        <color theme="1"/>
        <rFont val="Garamond"/>
        <family val="1"/>
      </rPr>
      <t>Ed</t>
    </r>
  </si>
  <si>
    <r>
      <t xml:space="preserve">1/ (1+0.2 </t>
    </r>
    <r>
      <rPr>
        <sz val="11"/>
        <color theme="1"/>
        <rFont val="Symbol"/>
        <family val="1"/>
        <charset val="2"/>
      </rPr>
      <t>f</t>
    </r>
    <r>
      <rPr>
        <vertAlign val="subscript"/>
        <sz val="11"/>
        <color theme="1"/>
        <rFont val="Garamond"/>
        <family val="1"/>
      </rPr>
      <t>ef</t>
    </r>
    <r>
      <rPr>
        <sz val="11"/>
        <color theme="1"/>
        <rFont val="Garamond"/>
        <family val="1"/>
      </rPr>
      <t>)</t>
    </r>
  </si>
  <si>
    <t>w</t>
  </si>
  <si>
    <t>As fyd / (Ac fcd)</t>
  </si>
  <si>
    <r>
      <rPr>
        <sz val="11"/>
        <color theme="1"/>
        <rFont val="Symbol"/>
        <family val="1"/>
        <charset val="2"/>
      </rPr>
      <t>Ö</t>
    </r>
    <r>
      <rPr>
        <sz val="11"/>
        <color theme="1"/>
        <rFont val="Garamond"/>
        <family val="1"/>
      </rPr>
      <t xml:space="preserve"> ( 1 + 2</t>
    </r>
    <r>
      <rPr>
        <sz val="11"/>
        <color theme="1"/>
        <rFont val="Symbol"/>
        <family val="1"/>
        <charset val="2"/>
      </rPr>
      <t>w</t>
    </r>
    <r>
      <rPr>
        <sz val="11"/>
        <color theme="1"/>
        <rFont val="Garamond"/>
        <family val="1"/>
      </rPr>
      <t xml:space="preserve"> )</t>
    </r>
  </si>
  <si>
    <r>
      <t>r</t>
    </r>
    <r>
      <rPr>
        <vertAlign val="subscript"/>
        <sz val="11"/>
        <color theme="1"/>
        <rFont val="Garamond"/>
        <family val="1"/>
      </rPr>
      <t>m</t>
    </r>
  </si>
  <si>
    <t>Mo1 /Mo2</t>
  </si>
  <si>
    <r>
      <t>1.7 - r</t>
    </r>
    <r>
      <rPr>
        <vertAlign val="subscript"/>
        <sz val="11"/>
        <color theme="1"/>
        <rFont val="Garamond"/>
        <family val="1"/>
      </rPr>
      <t>m</t>
    </r>
  </si>
  <si>
    <r>
      <t>N</t>
    </r>
    <r>
      <rPr>
        <vertAlign val="subscript"/>
        <sz val="11"/>
        <color theme="1"/>
        <rFont val="Garamond"/>
        <family val="1"/>
      </rPr>
      <t>ED</t>
    </r>
    <r>
      <rPr>
        <sz val="11"/>
        <color theme="1"/>
        <rFont val="Garamond"/>
        <family val="1"/>
      </rPr>
      <t xml:space="preserve"> / (Ac fcd)</t>
    </r>
  </si>
  <si>
    <r>
      <t>N</t>
    </r>
    <r>
      <rPr>
        <vertAlign val="subscript"/>
        <sz val="11"/>
        <color theme="1"/>
        <rFont val="Garamond"/>
        <family val="1"/>
      </rPr>
      <t>ED</t>
    </r>
    <r>
      <rPr>
        <sz val="11"/>
        <color theme="1"/>
        <rFont val="Garamond"/>
        <family val="1"/>
      </rPr>
      <t xml:space="preserve"> / </t>
    </r>
  </si>
  <si>
    <r>
      <t xml:space="preserve"> */ (N</t>
    </r>
    <r>
      <rPr>
        <vertAlign val="subscript"/>
        <sz val="11"/>
        <color theme="1"/>
        <rFont val="Garamond"/>
        <family val="1"/>
      </rPr>
      <t>ED</t>
    </r>
    <r>
      <rPr>
        <sz val="11"/>
        <color theme="1"/>
        <rFont val="Garamond"/>
        <family val="1"/>
      </rPr>
      <t xml:space="preserve"> in Tonne)</t>
    </r>
  </si>
  <si>
    <t>CHECK FOR SECOND ORDER EFFECT ( along LL Axis)</t>
  </si>
  <si>
    <t>ULS FORCES</t>
  </si>
  <si>
    <t>SLS (QP LC)</t>
  </si>
  <si>
    <r>
      <t>Mo</t>
    </r>
    <r>
      <rPr>
        <vertAlign val="subscript"/>
        <sz val="11"/>
        <color theme="1"/>
        <rFont val="Garamond"/>
        <family val="1"/>
      </rPr>
      <t xml:space="preserve">Eqp </t>
    </r>
    <r>
      <rPr>
        <sz val="11"/>
        <color theme="1"/>
        <rFont val="Garamond"/>
        <family val="1"/>
      </rPr>
      <t>/Mo</t>
    </r>
    <r>
      <rPr>
        <vertAlign val="subscript"/>
        <sz val="11"/>
        <color theme="1"/>
        <rFont val="Garamond"/>
        <family val="1"/>
      </rPr>
      <t>Ed</t>
    </r>
  </si>
  <si>
    <t>Second Order Effect</t>
  </si>
  <si>
    <r>
      <t xml:space="preserve"> (</t>
    </r>
    <r>
      <rPr>
        <sz val="11"/>
        <color theme="1"/>
        <rFont val="Symbol"/>
        <family val="1"/>
        <charset val="2"/>
      </rPr>
      <t>l</t>
    </r>
    <r>
      <rPr>
        <sz val="11"/>
        <color theme="1"/>
        <rFont val="Garamond"/>
        <family val="1"/>
      </rPr>
      <t xml:space="preserve"> &lt;</t>
    </r>
    <r>
      <rPr>
        <sz val="11"/>
        <color theme="1"/>
        <rFont val="Symbol"/>
        <family val="1"/>
        <charset val="2"/>
      </rPr>
      <t>l</t>
    </r>
    <r>
      <rPr>
        <sz val="11"/>
        <color theme="1"/>
        <rFont val="Garamond"/>
        <family val="1"/>
      </rPr>
      <t>lim) : Ignore</t>
    </r>
  </si>
  <si>
    <r>
      <t xml:space="preserve"> (</t>
    </r>
    <r>
      <rPr>
        <sz val="11"/>
        <color theme="1"/>
        <rFont val="Symbol"/>
        <family val="1"/>
        <charset val="2"/>
      </rPr>
      <t>l</t>
    </r>
    <r>
      <rPr>
        <sz val="11"/>
        <color theme="1"/>
        <rFont val="Garamond"/>
        <family val="1"/>
      </rPr>
      <t xml:space="preserve"> &gt;</t>
    </r>
    <r>
      <rPr>
        <sz val="11"/>
        <color theme="1"/>
        <rFont val="Symbol"/>
        <family val="1"/>
        <charset val="2"/>
      </rPr>
      <t>l</t>
    </r>
    <r>
      <rPr>
        <sz val="11"/>
        <color theme="1"/>
        <rFont val="Garamond"/>
        <family val="1"/>
      </rPr>
      <t>lim) : Consider</t>
    </r>
  </si>
  <si>
    <t>Load Case</t>
  </si>
  <si>
    <t>CHECK FOR SECOND ORDER EFFECT ( along TT Axis)</t>
  </si>
  <si>
    <t>TT</t>
  </si>
  <si>
    <t>LL</t>
  </si>
  <si>
    <t>*/ Ratio of First order moments at two ends of members</t>
  </si>
  <si>
    <t>ULS, CHECK FOR MOMENT CAPACITY :</t>
  </si>
  <si>
    <t xml:space="preserve"> Class 70R Wheeled</t>
  </si>
  <si>
    <t>% bd</t>
  </si>
  <si>
    <t>Total weight of superstructure</t>
  </si>
  <si>
    <t>es*Es</t>
  </si>
  <si>
    <t>* Fh (breaking force) is considered 20 % of the first train load + 10 % of the load of the succeeding 
trains or part thereof.</t>
  </si>
  <si>
    <t>OK</t>
  </si>
</sst>
</file>

<file path=xl/styles.xml><?xml version="1.0" encoding="utf-8"?>
<styleSheet xmlns="http://schemas.openxmlformats.org/spreadsheetml/2006/main">
  <numFmts count="13">
    <numFmt numFmtId="43" formatCode="_(* #,##0.00_);_(* \(#,##0.00\);_(* &quot;-&quot;??_);_(@_)"/>
    <numFmt numFmtId="164" formatCode="0.000"/>
    <numFmt numFmtId="165" formatCode="&quot;M&quot;\ General"/>
    <numFmt numFmtId="166" formatCode="&quot;Fe&quot;\ General"/>
    <numFmt numFmtId="167" formatCode="0.0"/>
    <numFmt numFmtId="168" formatCode="0.0000"/>
    <numFmt numFmtId="169" formatCode="0.E+00"/>
    <numFmt numFmtId="170" formatCode="0.0%"/>
    <numFmt numFmtId="171" formatCode="0E+00"/>
    <numFmt numFmtId="172" formatCode="0.000000"/>
    <numFmt numFmtId="173" formatCode="0.00000"/>
    <numFmt numFmtId="174" formatCode="0.00&quot;m&quot;"/>
    <numFmt numFmtId="175" formatCode="0.000&quot;m&quot;"/>
  </numFmts>
  <fonts count="80">
    <font>
      <sz val="11"/>
      <color theme="1"/>
      <name val="Calibri"/>
      <family val="2"/>
      <scheme val="minor"/>
    </font>
    <font>
      <sz val="11"/>
      <color theme="1"/>
      <name val="Garamond"/>
      <family val="1"/>
    </font>
    <font>
      <sz val="11"/>
      <name val="Garamond"/>
      <family val="1"/>
    </font>
    <font>
      <sz val="11"/>
      <color rgb="FFC00000"/>
      <name val="Garamond"/>
      <family val="1"/>
    </font>
    <font>
      <b/>
      <u/>
      <sz val="11"/>
      <color theme="1"/>
      <name val="Garamond"/>
      <family val="1"/>
    </font>
    <font>
      <vertAlign val="superscript"/>
      <sz val="11"/>
      <color theme="1"/>
      <name val="Garamond"/>
      <family val="1"/>
    </font>
    <font>
      <vertAlign val="subscript"/>
      <sz val="11"/>
      <name val="Garamond"/>
      <family val="1"/>
    </font>
    <font>
      <vertAlign val="superscript"/>
      <sz val="11"/>
      <name val="Garamond"/>
      <family val="1"/>
    </font>
    <font>
      <b/>
      <sz val="11"/>
      <color theme="1"/>
      <name val="Garamond"/>
      <family val="1"/>
    </font>
    <font>
      <i/>
      <sz val="11"/>
      <color theme="1"/>
      <name val="Garamond"/>
      <family val="1"/>
    </font>
    <font>
      <sz val="11"/>
      <color indexed="12"/>
      <name val="Garamond"/>
      <family val="1"/>
    </font>
    <font>
      <u/>
      <sz val="11"/>
      <color theme="1"/>
      <name val="Garamond"/>
      <family val="1"/>
    </font>
    <font>
      <sz val="11"/>
      <name val="Symbol"/>
      <family val="1"/>
      <charset val="2"/>
    </font>
    <font>
      <sz val="11"/>
      <color theme="1"/>
      <name val="Symbol"/>
      <family val="1"/>
      <charset val="2"/>
    </font>
    <font>
      <vertAlign val="subscript"/>
      <sz val="11"/>
      <color theme="1"/>
      <name val="Garamond"/>
      <family val="1"/>
    </font>
    <font>
      <b/>
      <vertAlign val="subscript"/>
      <sz val="11"/>
      <color theme="1"/>
      <name val="Garamond"/>
      <family val="1"/>
    </font>
    <font>
      <b/>
      <i/>
      <sz val="11"/>
      <color theme="1"/>
      <name val="Garamond"/>
      <family val="1"/>
    </font>
    <font>
      <b/>
      <sz val="11"/>
      <color rgb="FFC00000"/>
      <name val="Garamond"/>
      <family val="1"/>
    </font>
    <font>
      <b/>
      <sz val="11"/>
      <name val="Garamond"/>
      <family val="1"/>
    </font>
    <font>
      <sz val="10"/>
      <name val="Arial"/>
      <family val="2"/>
    </font>
    <font>
      <sz val="11"/>
      <color theme="1"/>
      <name val="Calibri"/>
      <family val="2"/>
    </font>
    <font>
      <b/>
      <u/>
      <sz val="11"/>
      <name val="Garamond"/>
      <family val="1"/>
    </font>
    <font>
      <u/>
      <sz val="11"/>
      <name val="Garamond"/>
      <family val="1"/>
    </font>
    <font>
      <sz val="11"/>
      <color rgb="FF000000"/>
      <name val="Garamond"/>
      <family val="1"/>
    </font>
    <font>
      <b/>
      <i/>
      <sz val="11"/>
      <name val="Garamond"/>
      <family val="1"/>
    </font>
    <font>
      <i/>
      <u/>
      <sz val="11"/>
      <name val="Garamond"/>
      <family val="1"/>
    </font>
    <font>
      <b/>
      <i/>
      <u/>
      <sz val="11"/>
      <color theme="1"/>
      <name val="Garamond"/>
      <family val="1"/>
    </font>
    <font>
      <b/>
      <vertAlign val="superscript"/>
      <sz val="11"/>
      <color theme="1"/>
      <name val="Garamond"/>
      <family val="1"/>
    </font>
    <font>
      <vertAlign val="superscript"/>
      <sz val="11"/>
      <color theme="1"/>
      <name val="Symbol"/>
      <family val="1"/>
      <charset val="2"/>
    </font>
    <font>
      <b/>
      <u/>
      <vertAlign val="subscript"/>
      <sz val="11"/>
      <color theme="1"/>
      <name val="Garamond"/>
      <family val="1"/>
    </font>
    <font>
      <b/>
      <sz val="11"/>
      <color theme="1"/>
      <name val="Symbol"/>
      <family val="1"/>
      <charset val="2"/>
    </font>
    <font>
      <sz val="10"/>
      <color theme="1"/>
      <name val="Garamond"/>
      <family val="1"/>
    </font>
    <font>
      <sz val="11"/>
      <color theme="0" tint="-0.499984740745262"/>
      <name val="Garamond"/>
      <family val="1"/>
    </font>
    <font>
      <sz val="12"/>
      <name val="Garamond"/>
      <family val="1"/>
    </font>
    <font>
      <vertAlign val="superscript"/>
      <sz val="12"/>
      <name val="Garamond"/>
      <family val="1"/>
    </font>
    <font>
      <i/>
      <u/>
      <sz val="11"/>
      <color theme="1"/>
      <name val="Garamond"/>
      <family val="1"/>
    </font>
    <font>
      <vertAlign val="subscript"/>
      <sz val="10"/>
      <color theme="1"/>
      <name val="Garamond"/>
      <family val="1"/>
    </font>
    <font>
      <sz val="10"/>
      <color theme="1"/>
      <name val="Symbol"/>
      <family val="1"/>
      <charset val="2"/>
    </font>
    <font>
      <sz val="11"/>
      <color theme="0" tint="-0.14999847407452621"/>
      <name val="Garamond"/>
      <family val="1"/>
    </font>
    <font>
      <sz val="8"/>
      <color theme="1"/>
      <name val="Garamond"/>
      <family val="1"/>
    </font>
    <font>
      <sz val="11"/>
      <color rgb="FFC00000"/>
      <name val="Symbol"/>
      <family val="1"/>
      <charset val="2"/>
    </font>
    <font>
      <i/>
      <sz val="11"/>
      <color theme="1"/>
      <name val="Symbol"/>
      <family val="1"/>
      <charset val="2"/>
    </font>
    <font>
      <b/>
      <sz val="11"/>
      <color indexed="8"/>
      <name val="Garamond"/>
      <family val="1"/>
    </font>
    <font>
      <sz val="11"/>
      <color indexed="8"/>
      <name val="Garamond"/>
      <family val="1"/>
    </font>
    <font>
      <vertAlign val="subscript"/>
      <sz val="11"/>
      <color indexed="8"/>
      <name val="Garamond"/>
      <family val="1"/>
    </font>
    <font>
      <vertAlign val="subscript"/>
      <sz val="11"/>
      <name val="Symbol"/>
      <family val="1"/>
      <charset val="2"/>
    </font>
    <font>
      <sz val="10"/>
      <name val="Garamond"/>
      <family val="1"/>
    </font>
    <font>
      <vertAlign val="subscript"/>
      <sz val="10"/>
      <name val="Garamond"/>
      <family val="1"/>
    </font>
    <font>
      <b/>
      <i/>
      <u/>
      <sz val="11"/>
      <name val="Garamond"/>
      <family val="1"/>
    </font>
    <font>
      <sz val="9"/>
      <color theme="1"/>
      <name val="Garamond"/>
      <family val="1"/>
    </font>
    <font>
      <sz val="11"/>
      <color theme="0"/>
      <name val="Garamond"/>
      <family val="1"/>
    </font>
    <font>
      <b/>
      <sz val="11"/>
      <color theme="1"/>
      <name val="Calibri"/>
      <family val="2"/>
      <scheme val="minor"/>
    </font>
    <font>
      <sz val="11"/>
      <color indexed="16"/>
      <name val="Garamond"/>
      <family val="1"/>
    </font>
    <font>
      <i/>
      <sz val="11"/>
      <name val="Garamond"/>
      <family val="1"/>
    </font>
    <font>
      <b/>
      <vertAlign val="subscript"/>
      <sz val="11"/>
      <name val="Garamond"/>
      <family val="1"/>
    </font>
    <font>
      <b/>
      <sz val="9"/>
      <color indexed="81"/>
      <name val="Tahoma"/>
      <family val="2"/>
    </font>
    <font>
      <sz val="9"/>
      <color indexed="81"/>
      <name val="Tahoma"/>
      <family val="2"/>
    </font>
    <font>
      <vertAlign val="subscript"/>
      <sz val="11"/>
      <color theme="1"/>
      <name val="Symbol"/>
      <family val="1"/>
      <charset val="2"/>
    </font>
    <font>
      <sz val="7"/>
      <color theme="1"/>
      <name val="Garamond"/>
      <family val="1"/>
    </font>
    <font>
      <b/>
      <vertAlign val="superscript"/>
      <sz val="11"/>
      <name val="Garamond"/>
      <family val="1"/>
    </font>
    <font>
      <b/>
      <sz val="8"/>
      <color theme="1"/>
      <name val="Garamond"/>
      <family val="1"/>
    </font>
    <font>
      <sz val="11"/>
      <color rgb="FFC00000"/>
      <name val="Calibri"/>
      <family val="2"/>
      <scheme val="minor"/>
    </font>
    <font>
      <sz val="11"/>
      <color theme="1"/>
      <name val="Calibri"/>
      <family val="2"/>
      <scheme val="minor"/>
    </font>
    <font>
      <sz val="10"/>
      <name val="Courier"/>
      <family val="3"/>
    </font>
    <font>
      <sz val="11"/>
      <color indexed="8"/>
      <name val="Calibri"/>
      <family val="2"/>
    </font>
    <font>
      <sz val="11"/>
      <color theme="1"/>
      <name val="Garamond"/>
      <family val="2"/>
    </font>
    <font>
      <vertAlign val="subscript"/>
      <sz val="9"/>
      <color theme="1"/>
      <name val="Garamond"/>
      <family val="1"/>
    </font>
    <font>
      <vertAlign val="superscript"/>
      <sz val="10"/>
      <color theme="1"/>
      <name val="Symbol"/>
      <family val="1"/>
      <charset val="2"/>
    </font>
    <font>
      <vertAlign val="subscript"/>
      <sz val="12"/>
      <name val="Garamond"/>
      <family val="1"/>
    </font>
    <font>
      <sz val="12"/>
      <name val="Symbol"/>
      <family val="1"/>
      <charset val="2"/>
    </font>
    <font>
      <u/>
      <sz val="12"/>
      <name val="Garamond"/>
      <family val="1"/>
    </font>
    <font>
      <i/>
      <sz val="36"/>
      <color theme="1"/>
      <name val="Garamond"/>
      <family val="1"/>
    </font>
    <font>
      <sz val="10"/>
      <name val="Book Antiqua"/>
      <family val="1"/>
    </font>
    <font>
      <vertAlign val="superscript"/>
      <sz val="11"/>
      <color indexed="8"/>
      <name val="Garamond"/>
      <family val="1"/>
    </font>
    <font>
      <i/>
      <vertAlign val="superscript"/>
      <sz val="11"/>
      <color indexed="8"/>
      <name val="Garamond"/>
      <family val="1"/>
    </font>
    <font>
      <b/>
      <i/>
      <vertAlign val="superscript"/>
      <sz val="11"/>
      <color indexed="8"/>
      <name val="Garamond"/>
      <family val="1"/>
    </font>
    <font>
      <sz val="11"/>
      <color indexed="8"/>
      <name val="Symbol"/>
      <family val="1"/>
      <charset val="2"/>
    </font>
    <font>
      <i/>
      <sz val="10"/>
      <color theme="1"/>
      <name val="Garamond"/>
      <family val="1"/>
    </font>
    <font>
      <sz val="11"/>
      <color rgb="FFFF0000"/>
      <name val="Garamond"/>
      <family val="1"/>
    </font>
    <font>
      <sz val="11"/>
      <color rgb="FF000000"/>
      <name val="Calibri"/>
      <family val="2"/>
      <scheme val="minor"/>
    </font>
  </fonts>
  <fills count="18">
    <fill>
      <patternFill patternType="none"/>
    </fill>
    <fill>
      <patternFill patternType="gray125"/>
    </fill>
    <fill>
      <patternFill patternType="solid">
        <fgColor theme="0" tint="-0.14999847407452621"/>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0.14996795556505021"/>
        <bgColor indexed="64"/>
      </patternFill>
    </fill>
    <fill>
      <patternFill patternType="solid">
        <fgColor theme="9" tint="0.79998168889431442"/>
        <bgColor indexed="64"/>
      </patternFill>
    </fill>
    <fill>
      <patternFill patternType="solid">
        <fgColor theme="9" tint="0.59999389629810485"/>
        <bgColor indexed="64"/>
      </patternFill>
    </fill>
  </fills>
  <borders count="2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s>
  <cellStyleXfs count="17">
    <xf numFmtId="0" fontId="0" fillId="0" borderId="0"/>
    <xf numFmtId="0" fontId="19" fillId="0" borderId="0"/>
    <xf numFmtId="0" fontId="19" fillId="0" borderId="0"/>
    <xf numFmtId="0" fontId="63" fillId="0" borderId="0"/>
    <xf numFmtId="43" fontId="62" fillId="0" borderId="0" applyFont="0" applyFill="0" applyBorder="0" applyAlignment="0" applyProtection="0"/>
    <xf numFmtId="0" fontId="64" fillId="0" borderId="0"/>
    <xf numFmtId="0" fontId="64" fillId="0" borderId="0"/>
    <xf numFmtId="0" fontId="63" fillId="0" borderId="0"/>
    <xf numFmtId="0" fontId="19" fillId="0" borderId="0"/>
    <xf numFmtId="0" fontId="62" fillId="0" borderId="0"/>
    <xf numFmtId="0" fontId="65" fillId="0" borderId="0"/>
    <xf numFmtId="0" fontId="62" fillId="0" borderId="0"/>
    <xf numFmtId="0" fontId="72" fillId="0" borderId="0"/>
    <xf numFmtId="0" fontId="62" fillId="0" borderId="0"/>
    <xf numFmtId="0" fontId="62" fillId="0" borderId="0"/>
    <xf numFmtId="0" fontId="62" fillId="0" borderId="0"/>
    <xf numFmtId="0" fontId="62" fillId="0" borderId="0"/>
  </cellStyleXfs>
  <cellXfs count="1973">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0" fontId="3" fillId="2" borderId="0" xfId="0" applyFont="1" applyFill="1"/>
    <xf numFmtId="0" fontId="3" fillId="2" borderId="0" xfId="0" applyFont="1" applyFill="1" applyAlignment="1">
      <alignment horizontal="left"/>
    </xf>
    <xf numFmtId="0" fontId="3" fillId="2" borderId="0" xfId="0" applyFont="1" applyFill="1" applyAlignment="1">
      <alignment horizontal="center"/>
    </xf>
    <xf numFmtId="0" fontId="1" fillId="0" borderId="0" xfId="0" applyFont="1" applyFill="1"/>
    <xf numFmtId="0" fontId="2" fillId="0" borderId="0" xfId="0" applyFont="1" applyFill="1"/>
    <xf numFmtId="0" fontId="4" fillId="0" borderId="0" xfId="0" applyFont="1"/>
    <xf numFmtId="0" fontId="1" fillId="0" borderId="0" xfId="0" applyFont="1" applyAlignment="1">
      <alignment horizontal="right"/>
    </xf>
    <xf numFmtId="0" fontId="1" fillId="0" borderId="0" xfId="0" applyFont="1" applyFill="1" applyBorder="1"/>
    <xf numFmtId="0" fontId="1" fillId="0" borderId="0" xfId="0" applyFont="1" applyFill="1" applyBorder="1" applyAlignment="1">
      <alignment horizontal="left"/>
    </xf>
    <xf numFmtId="164" fontId="3" fillId="2" borderId="0" xfId="0" applyNumberFormat="1" applyFont="1" applyFill="1" applyBorder="1"/>
    <xf numFmtId="164" fontId="1" fillId="0" borderId="0" xfId="0" applyNumberFormat="1" applyFont="1"/>
    <xf numFmtId="0" fontId="1" fillId="0" borderId="1" xfId="0" applyFont="1" applyBorder="1"/>
    <xf numFmtId="0" fontId="1" fillId="0" borderId="1" xfId="0" applyFont="1" applyBorder="1" applyAlignment="1">
      <alignment horizontal="center"/>
    </xf>
    <xf numFmtId="0" fontId="3" fillId="2" borderId="1" xfId="0" applyFont="1" applyFill="1" applyBorder="1" applyAlignment="1">
      <alignment horizontal="center"/>
    </xf>
    <xf numFmtId="165" fontId="3" fillId="2" borderId="0" xfId="0" applyNumberFormat="1" applyFont="1" applyFill="1" applyAlignment="1">
      <alignment horizontal="right"/>
    </xf>
    <xf numFmtId="166" fontId="3" fillId="2" borderId="0" xfId="0" applyNumberFormat="1" applyFont="1" applyFill="1" applyAlignment="1">
      <alignment horizontal="right"/>
    </xf>
    <xf numFmtId="0" fontId="2" fillId="0" borderId="1" xfId="0" applyFont="1" applyFill="1" applyBorder="1"/>
    <xf numFmtId="0" fontId="1" fillId="0" borderId="6" xfId="0" applyFont="1" applyBorder="1"/>
    <xf numFmtId="0" fontId="1" fillId="0" borderId="9" xfId="0" applyFont="1" applyBorder="1"/>
    <xf numFmtId="0" fontId="1" fillId="0" borderId="2" xfId="0" applyFont="1" applyBorder="1"/>
    <xf numFmtId="0" fontId="1" fillId="0" borderId="3" xfId="0" applyFont="1" applyBorder="1"/>
    <xf numFmtId="0" fontId="1" fillId="0" borderId="7" xfId="0" applyFont="1" applyBorder="1"/>
    <xf numFmtId="0" fontId="1" fillId="0" borderId="0" xfId="0" applyFont="1" applyBorder="1"/>
    <xf numFmtId="0" fontId="1" fillId="0" borderId="8" xfId="0" applyFont="1" applyBorder="1"/>
    <xf numFmtId="0" fontId="1" fillId="0" borderId="5" xfId="0" applyFont="1" applyBorder="1"/>
    <xf numFmtId="0" fontId="2" fillId="0" borderId="0" xfId="0" applyFont="1" applyFill="1" applyAlignment="1">
      <alignment horizontal="center"/>
    </xf>
    <xf numFmtId="0" fontId="1" fillId="0" borderId="12" xfId="0" applyFont="1" applyBorder="1"/>
    <xf numFmtId="0" fontId="1" fillId="0" borderId="13" xfId="0" applyFont="1" applyBorder="1"/>
    <xf numFmtId="0" fontId="1" fillId="0" borderId="14" xfId="0" applyFont="1" applyBorder="1"/>
    <xf numFmtId="0" fontId="1" fillId="0" borderId="4" xfId="0" applyFont="1" applyBorder="1"/>
    <xf numFmtId="0" fontId="1" fillId="0" borderId="15" xfId="0" applyFont="1" applyBorder="1"/>
    <xf numFmtId="164" fontId="1" fillId="0" borderId="15" xfId="0" applyNumberFormat="1" applyFont="1" applyBorder="1"/>
    <xf numFmtId="0" fontId="1" fillId="0" borderId="10" xfId="0" applyFont="1" applyBorder="1"/>
    <xf numFmtId="2" fontId="1" fillId="0" borderId="15" xfId="0" applyNumberFormat="1" applyFont="1" applyBorder="1"/>
    <xf numFmtId="2" fontId="1" fillId="0" borderId="0" xfId="0" applyNumberFormat="1" applyFont="1" applyBorder="1"/>
    <xf numFmtId="0" fontId="3" fillId="2" borderId="0" xfId="0" applyFont="1" applyFill="1" applyAlignment="1">
      <alignment horizontal="right"/>
    </xf>
    <xf numFmtId="164" fontId="2" fillId="0" borderId="0" xfId="0" applyNumberFormat="1" applyFont="1" applyFill="1" applyAlignment="1">
      <alignment horizontal="center"/>
    </xf>
    <xf numFmtId="164" fontId="1" fillId="0" borderId="0" xfId="0" applyNumberFormat="1" applyFont="1" applyAlignment="1">
      <alignment horizontal="center"/>
    </xf>
    <xf numFmtId="0" fontId="8" fillId="0" borderId="12" xfId="0" applyFont="1" applyBorder="1"/>
    <xf numFmtId="0" fontId="8" fillId="0" borderId="4" xfId="0" applyFont="1" applyBorder="1"/>
    <xf numFmtId="0" fontId="8" fillId="0" borderId="13" xfId="0" applyFont="1" applyBorder="1"/>
    <xf numFmtId="2" fontId="8" fillId="0" borderId="4" xfId="0" applyNumberFormat="1" applyFont="1" applyBorder="1"/>
    <xf numFmtId="0" fontId="8" fillId="0" borderId="0" xfId="0" applyFont="1" applyBorder="1"/>
    <xf numFmtId="2" fontId="8" fillId="0" borderId="0" xfId="0" applyNumberFormat="1" applyFont="1" applyBorder="1"/>
    <xf numFmtId="0" fontId="2" fillId="0" borderId="0" xfId="0" applyFont="1" applyFill="1" applyAlignment="1">
      <alignment horizontal="right"/>
    </xf>
    <xf numFmtId="2" fontId="8" fillId="0" borderId="15" xfId="0" applyNumberFormat="1" applyFont="1" applyBorder="1"/>
    <xf numFmtId="9" fontId="3" fillId="2" borderId="15" xfId="0" applyNumberFormat="1" applyFont="1" applyFill="1" applyBorder="1"/>
    <xf numFmtId="0" fontId="9" fillId="0" borderId="12" xfId="0" applyFont="1" applyBorder="1"/>
    <xf numFmtId="0" fontId="9" fillId="0" borderId="14" xfId="0" applyFont="1" applyBorder="1"/>
    <xf numFmtId="0" fontId="9" fillId="0" borderId="4" xfId="0" applyFont="1" applyBorder="1"/>
    <xf numFmtId="0" fontId="9" fillId="0" borderId="13" xfId="0" applyFont="1" applyBorder="1"/>
    <xf numFmtId="2" fontId="9" fillId="0" borderId="4" xfId="0" applyNumberFormat="1" applyFont="1" applyBorder="1"/>
    <xf numFmtId="2" fontId="1" fillId="0" borderId="4" xfId="0" applyNumberFormat="1" applyFont="1" applyBorder="1"/>
    <xf numFmtId="0" fontId="9" fillId="0" borderId="0" xfId="0" applyFont="1" applyBorder="1"/>
    <xf numFmtId="0" fontId="1" fillId="0" borderId="11" xfId="0" applyFont="1" applyBorder="1"/>
    <xf numFmtId="0" fontId="1" fillId="0" borderId="14" xfId="0" applyFont="1" applyBorder="1" applyAlignment="1">
      <alignment horizontal="center"/>
    </xf>
    <xf numFmtId="0" fontId="1" fillId="0" borderId="8" xfId="0" applyFont="1" applyBorder="1" applyAlignment="1">
      <alignment horizontal="center"/>
    </xf>
    <xf numFmtId="0" fontId="9" fillId="0" borderId="14" xfId="0" applyFont="1" applyBorder="1" applyAlignment="1">
      <alignment horizontal="center"/>
    </xf>
    <xf numFmtId="0" fontId="8" fillId="0" borderId="0" xfId="0" applyFont="1"/>
    <xf numFmtId="0" fontId="1" fillId="3" borderId="0" xfId="0" applyFont="1" applyFill="1"/>
    <xf numFmtId="0" fontId="2" fillId="0" borderId="7" xfId="0" applyFont="1" applyFill="1" applyBorder="1"/>
    <xf numFmtId="164" fontId="1" fillId="0" borderId="7" xfId="0" applyNumberFormat="1" applyFont="1" applyBorder="1"/>
    <xf numFmtId="0" fontId="3" fillId="2" borderId="7" xfId="0" applyFont="1" applyFill="1" applyBorder="1"/>
    <xf numFmtId="0" fontId="8" fillId="0" borderId="2" xfId="0" applyFont="1" applyBorder="1"/>
    <xf numFmtId="0" fontId="8" fillId="0" borderId="3" xfId="0" applyFont="1" applyBorder="1"/>
    <xf numFmtId="0" fontId="8" fillId="0" borderId="7" xfId="0" applyFont="1" applyBorder="1"/>
    <xf numFmtId="0" fontId="8" fillId="0" borderId="5" xfId="0" applyFont="1" applyBorder="1"/>
    <xf numFmtId="0" fontId="8" fillId="0" borderId="1" xfId="0" applyFont="1" applyBorder="1"/>
    <xf numFmtId="0" fontId="1" fillId="3" borderId="0" xfId="0" applyFont="1" applyFill="1" applyBorder="1"/>
    <xf numFmtId="0" fontId="1" fillId="0" borderId="2" xfId="0" applyFont="1" applyBorder="1" applyAlignment="1"/>
    <xf numFmtId="0" fontId="1" fillId="0" borderId="5" xfId="0" applyFont="1" applyBorder="1" applyAlignment="1"/>
    <xf numFmtId="0" fontId="1" fillId="0" borderId="1" xfId="0" applyFont="1" applyFill="1" applyBorder="1" applyAlignment="1"/>
    <xf numFmtId="2" fontId="1" fillId="0" borderId="7" xfId="0" applyNumberFormat="1" applyFont="1" applyBorder="1"/>
    <xf numFmtId="0" fontId="3" fillId="2" borderId="0" xfId="0" applyFont="1" applyFill="1" applyBorder="1"/>
    <xf numFmtId="0" fontId="2" fillId="0" borderId="0" xfId="0" applyFont="1"/>
    <xf numFmtId="2" fontId="1" fillId="0" borderId="0" xfId="0" applyNumberFormat="1" applyFont="1" applyAlignment="1">
      <alignment horizontal="center"/>
    </xf>
    <xf numFmtId="0" fontId="8" fillId="0" borderId="14" xfId="0" applyFont="1" applyBorder="1"/>
    <xf numFmtId="2" fontId="8" fillId="0" borderId="12" xfId="0" applyNumberFormat="1" applyFont="1" applyBorder="1"/>
    <xf numFmtId="0" fontId="2" fillId="0" borderId="0" xfId="0" applyFont="1" applyFill="1" applyBorder="1"/>
    <xf numFmtId="0" fontId="1" fillId="4" borderId="0" xfId="0" applyFont="1" applyFill="1"/>
    <xf numFmtId="0" fontId="11" fillId="0" borderId="0" xfId="0" applyFont="1"/>
    <xf numFmtId="0" fontId="2" fillId="0" borderId="0" xfId="0" applyFont="1" applyFill="1" applyBorder="1" applyAlignment="1">
      <alignment horizontal="center"/>
    </xf>
    <xf numFmtId="0" fontId="12" fillId="0" borderId="0" xfId="0" applyFont="1" applyFill="1" applyBorder="1" applyAlignment="1">
      <alignment horizontal="center"/>
    </xf>
    <xf numFmtId="0" fontId="1" fillId="0" borderId="0" xfId="0" applyNumberFormat="1" applyFont="1"/>
    <xf numFmtId="2" fontId="8" fillId="0" borderId="3" xfId="0" applyNumberFormat="1" applyFont="1" applyBorder="1"/>
    <xf numFmtId="0" fontId="1" fillId="0" borderId="15" xfId="0" applyFont="1" applyFill="1" applyBorder="1"/>
    <xf numFmtId="0" fontId="1" fillId="0" borderId="14" xfId="0" applyFont="1" applyBorder="1" applyAlignment="1">
      <alignment horizontal="center"/>
    </xf>
    <xf numFmtId="0" fontId="1" fillId="5" borderId="12" xfId="0" applyFont="1" applyFill="1" applyBorder="1"/>
    <xf numFmtId="0" fontId="1" fillId="5" borderId="13" xfId="0" applyFont="1" applyFill="1" applyBorder="1"/>
    <xf numFmtId="0" fontId="1" fillId="5" borderId="4" xfId="0" applyFont="1" applyFill="1" applyBorder="1"/>
    <xf numFmtId="0" fontId="8" fillId="0" borderId="6" xfId="0" applyFont="1" applyBorder="1"/>
    <xf numFmtId="0" fontId="8" fillId="0" borderId="8" xfId="0" applyFont="1" applyBorder="1"/>
    <xf numFmtId="0" fontId="8" fillId="0" borderId="9" xfId="0" applyFont="1" applyBorder="1"/>
    <xf numFmtId="0" fontId="1" fillId="0" borderId="0" xfId="0" applyFont="1" applyBorder="1" applyAlignment="1">
      <alignment horizontal="center"/>
    </xf>
    <xf numFmtId="0" fontId="1" fillId="0" borderId="9" xfId="0" applyFont="1" applyBorder="1" applyAlignment="1">
      <alignment horizontal="center"/>
    </xf>
    <xf numFmtId="2" fontId="1" fillId="0" borderId="11" xfId="0" applyNumberFormat="1" applyFont="1" applyBorder="1"/>
    <xf numFmtId="2" fontId="1" fillId="0" borderId="1" xfId="0" applyNumberFormat="1" applyFont="1" applyBorder="1"/>
    <xf numFmtId="0" fontId="1" fillId="0" borderId="0" xfId="0" quotePrefix="1" applyFont="1"/>
    <xf numFmtId="0" fontId="3" fillId="2" borderId="15" xfId="0" applyFont="1" applyFill="1" applyBorder="1"/>
    <xf numFmtId="0" fontId="8" fillId="0" borderId="0" xfId="0" applyNumberFormat="1" applyFont="1" applyBorder="1"/>
    <xf numFmtId="0" fontId="2" fillId="0" borderId="11" xfId="0" applyFont="1" applyFill="1" applyBorder="1"/>
    <xf numFmtId="0" fontId="2" fillId="0" borderId="0" xfId="0" applyNumberFormat="1" applyFont="1" applyFill="1" applyAlignment="1">
      <alignment vertical="center"/>
    </xf>
    <xf numFmtId="0" fontId="2" fillId="0" borderId="0" xfId="0" applyNumberFormat="1" applyFont="1" applyFill="1" applyAlignment="1">
      <alignment horizontal="center" vertical="center"/>
    </xf>
    <xf numFmtId="0" fontId="2" fillId="0" borderId="0" xfId="0" applyNumberFormat="1" applyFont="1" applyFill="1" applyAlignment="1">
      <alignment horizontal="right" vertical="center"/>
    </xf>
    <xf numFmtId="0" fontId="12" fillId="0" borderId="0" xfId="0" applyNumberFormat="1" applyFont="1" applyFill="1" applyAlignment="1">
      <alignment horizontal="center" vertical="center"/>
    </xf>
    <xf numFmtId="0" fontId="2" fillId="0" borderId="0" xfId="0" applyNumberFormat="1" applyFont="1" applyFill="1" applyAlignment="1">
      <alignment vertical="center" wrapText="1"/>
    </xf>
    <xf numFmtId="2" fontId="2" fillId="0" borderId="0" xfId="0" applyNumberFormat="1" applyFont="1" applyFill="1" applyAlignment="1">
      <alignment vertical="center"/>
    </xf>
    <xf numFmtId="0" fontId="3" fillId="2" borderId="0" xfId="0" applyNumberFormat="1" applyFont="1" applyFill="1" applyAlignment="1">
      <alignment horizontal="center" vertical="center"/>
    </xf>
    <xf numFmtId="0" fontId="1" fillId="0" borderId="7" xfId="0" applyFont="1" applyFill="1" applyBorder="1"/>
    <xf numFmtId="0" fontId="1" fillId="0" borderId="5" xfId="0" applyFont="1" applyFill="1" applyBorder="1"/>
    <xf numFmtId="0" fontId="2" fillId="0" borderId="7" xfId="1" applyFont="1" applyFill="1" applyBorder="1"/>
    <xf numFmtId="0" fontId="2" fillId="0" borderId="0" xfId="1" applyFont="1" applyFill="1" applyBorder="1"/>
    <xf numFmtId="0" fontId="1" fillId="0" borderId="0" xfId="0" applyFont="1" applyAlignment="1"/>
    <xf numFmtId="0" fontId="1" fillId="0" borderId="4" xfId="0" applyFont="1" applyFill="1" applyBorder="1"/>
    <xf numFmtId="0" fontId="3" fillId="2" borderId="0" xfId="0" applyFont="1" applyFill="1" applyBorder="1" applyAlignment="1">
      <alignment horizontal="center"/>
    </xf>
    <xf numFmtId="0" fontId="21" fillId="0" borderId="0" xfId="0" applyFont="1" applyFill="1"/>
    <xf numFmtId="2" fontId="2" fillId="0" borderId="0" xfId="0" applyNumberFormat="1" applyFont="1" applyFill="1" applyAlignment="1">
      <alignment horizontal="center"/>
    </xf>
    <xf numFmtId="0" fontId="2" fillId="0" borderId="5" xfId="0" applyFont="1" applyFill="1" applyBorder="1"/>
    <xf numFmtId="0" fontId="2" fillId="0" borderId="1" xfId="0" applyFont="1" applyFill="1" applyBorder="1" applyAlignment="1">
      <alignment horizontal="center"/>
    </xf>
    <xf numFmtId="0" fontId="3" fillId="2" borderId="0" xfId="0" applyFont="1" applyFill="1" applyBorder="1" applyAlignment="1"/>
    <xf numFmtId="0" fontId="22" fillId="0" borderId="0" xfId="0" applyFont="1" applyFill="1" applyAlignment="1">
      <alignment horizontal="center"/>
    </xf>
    <xf numFmtId="0" fontId="2" fillId="0" borderId="0" xfId="0" applyFont="1" applyFill="1" applyAlignment="1">
      <alignment horizontal="center"/>
    </xf>
    <xf numFmtId="0" fontId="2" fillId="0" borderId="0" xfId="0" applyFont="1" applyFill="1" applyAlignment="1">
      <alignment horizontal="left"/>
    </xf>
    <xf numFmtId="0" fontId="2" fillId="0" borderId="0" xfId="0" applyFont="1" applyFill="1" applyAlignment="1">
      <alignment horizontal="center"/>
    </xf>
    <xf numFmtId="0" fontId="19" fillId="0" borderId="0" xfId="0" applyFont="1" applyFill="1"/>
    <xf numFmtId="0" fontId="2" fillId="0" borderId="0" xfId="2" applyFont="1" applyFill="1" applyAlignment="1">
      <alignment horizontal="left"/>
    </xf>
    <xf numFmtId="0" fontId="2" fillId="0" borderId="0" xfId="2" applyFont="1" applyFill="1" applyAlignment="1">
      <alignment horizontal="center"/>
    </xf>
    <xf numFmtId="0" fontId="2" fillId="0" borderId="0" xfId="2" applyFont="1" applyFill="1" applyAlignment="1">
      <alignment horizontal="right"/>
    </xf>
    <xf numFmtId="0" fontId="2" fillId="0" borderId="0" xfId="0" applyFont="1" applyFill="1" applyAlignment="1">
      <alignment horizontal="center"/>
    </xf>
    <xf numFmtId="0" fontId="2" fillId="0" borderId="12" xfId="0" applyFont="1" applyFill="1" applyBorder="1"/>
    <xf numFmtId="0" fontId="2" fillId="0" borderId="4" xfId="0" applyFont="1" applyFill="1" applyBorder="1" applyAlignment="1">
      <alignment horizontal="center"/>
    </xf>
    <xf numFmtId="2" fontId="2" fillId="0" borderId="15" xfId="0" applyNumberFormat="1" applyFont="1" applyFill="1" applyBorder="1" applyAlignment="1">
      <alignment horizontal="center"/>
    </xf>
    <xf numFmtId="0" fontId="2" fillId="0" borderId="15" xfId="0" applyFont="1" applyFill="1" applyBorder="1" applyAlignment="1">
      <alignment horizontal="center"/>
    </xf>
    <xf numFmtId="0" fontId="2" fillId="0" borderId="11" xfId="0" applyFont="1" applyFill="1" applyBorder="1" applyAlignment="1">
      <alignment horizontal="center"/>
    </xf>
    <xf numFmtId="167" fontId="2" fillId="0" borderId="0" xfId="0" applyNumberFormat="1" applyFont="1" applyFill="1" applyAlignment="1">
      <alignment horizontal="center"/>
    </xf>
    <xf numFmtId="0" fontId="2" fillId="0" borderId="13" xfId="0" applyFont="1" applyFill="1" applyBorder="1"/>
    <xf numFmtId="0" fontId="2" fillId="0" borderId="14" xfId="0" applyFont="1" applyFill="1" applyBorder="1"/>
    <xf numFmtId="0" fontId="2" fillId="0" borderId="8" xfId="0" applyFont="1" applyFill="1" applyBorder="1"/>
    <xf numFmtId="2" fontId="2" fillId="0" borderId="0" xfId="0" applyNumberFormat="1" applyFont="1" applyFill="1" applyBorder="1"/>
    <xf numFmtId="2" fontId="2" fillId="0" borderId="7" xfId="0" applyNumberFormat="1" applyFont="1" applyFill="1" applyBorder="1"/>
    <xf numFmtId="0" fontId="2" fillId="0" borderId="15" xfId="0" applyFont="1" applyFill="1" applyBorder="1"/>
    <xf numFmtId="0" fontId="2" fillId="0" borderId="2" xfId="0" applyFont="1" applyFill="1" applyBorder="1"/>
    <xf numFmtId="0" fontId="2" fillId="0" borderId="6" xfId="0" applyFont="1" applyFill="1" applyBorder="1"/>
    <xf numFmtId="2" fontId="2" fillId="0" borderId="2" xfId="0" applyNumberFormat="1" applyFont="1" applyFill="1" applyBorder="1"/>
    <xf numFmtId="0" fontId="2" fillId="0" borderId="9" xfId="0" applyFont="1" applyFill="1" applyBorder="1"/>
    <xf numFmtId="0" fontId="1" fillId="0" borderId="0" xfId="0" applyNumberFormat="1" applyFont="1" applyBorder="1"/>
    <xf numFmtId="2" fontId="1" fillId="0" borderId="0" xfId="0" applyNumberFormat="1" applyFont="1"/>
    <xf numFmtId="0" fontId="2" fillId="0" borderId="0" xfId="0" applyFont="1" applyFill="1" applyAlignment="1">
      <alignment horizontal="center"/>
    </xf>
    <xf numFmtId="0" fontId="1" fillId="0" borderId="0" xfId="0" applyFont="1" applyAlignment="1">
      <alignment vertical="center"/>
    </xf>
    <xf numFmtId="0" fontId="1" fillId="0" borderId="4" xfId="0" applyFont="1" applyBorder="1" applyAlignment="1">
      <alignment horizontal="center"/>
    </xf>
    <xf numFmtId="164" fontId="1" fillId="0" borderId="0" xfId="0" applyNumberFormat="1" applyFont="1" applyBorder="1"/>
    <xf numFmtId="0" fontId="1" fillId="3" borderId="0" xfId="0" applyFont="1" applyFill="1" applyBorder="1" applyAlignment="1">
      <alignment horizontal="center"/>
    </xf>
    <xf numFmtId="0" fontId="1" fillId="0" borderId="7" xfId="0" applyFont="1" applyBorder="1" applyAlignment="1">
      <alignment horizontal="center"/>
    </xf>
    <xf numFmtId="164" fontId="1" fillId="0" borderId="4" xfId="0" applyNumberFormat="1" applyFont="1" applyBorder="1"/>
    <xf numFmtId="0" fontId="8" fillId="0" borderId="4" xfId="0" applyFont="1" applyBorder="1" applyAlignment="1">
      <alignment horizontal="center"/>
    </xf>
    <xf numFmtId="167" fontId="1" fillId="0" borderId="15" xfId="0" applyNumberFormat="1" applyFont="1" applyBorder="1" applyAlignment="1">
      <alignment horizontal="center"/>
    </xf>
    <xf numFmtId="0" fontId="2" fillId="0" borderId="2" xfId="0" applyNumberFormat="1" applyFont="1" applyFill="1" applyBorder="1" applyAlignment="1">
      <alignment vertical="center"/>
    </xf>
    <xf numFmtId="0" fontId="2" fillId="0" borderId="3" xfId="0" applyNumberFormat="1" applyFont="1" applyFill="1" applyBorder="1" applyAlignment="1">
      <alignment vertical="center"/>
    </xf>
    <xf numFmtId="0" fontId="2" fillId="0" borderId="7" xfId="0" applyNumberFormat="1" applyFont="1" applyFill="1" applyBorder="1" applyAlignment="1">
      <alignment vertical="center"/>
    </xf>
    <xf numFmtId="0" fontId="2" fillId="0" borderId="0" xfId="0" applyNumberFormat="1" applyFont="1" applyFill="1" applyBorder="1" applyAlignment="1">
      <alignment vertical="center"/>
    </xf>
    <xf numFmtId="0" fontId="2" fillId="0" borderId="8" xfId="0" applyNumberFormat="1" applyFont="1" applyFill="1" applyBorder="1" applyAlignment="1">
      <alignment vertical="center"/>
    </xf>
    <xf numFmtId="0" fontId="2" fillId="0" borderId="5" xfId="0" applyNumberFormat="1" applyFont="1" applyFill="1" applyBorder="1" applyAlignment="1">
      <alignment vertical="center"/>
    </xf>
    <xf numFmtId="0" fontId="2" fillId="0" borderId="1" xfId="0" applyNumberFormat="1" applyFont="1" applyFill="1" applyBorder="1" applyAlignment="1">
      <alignment vertical="center"/>
    </xf>
    <xf numFmtId="0" fontId="2" fillId="0" borderId="9" xfId="0" applyNumberFormat="1" applyFont="1" applyFill="1" applyBorder="1" applyAlignment="1">
      <alignment vertical="center"/>
    </xf>
    <xf numFmtId="167" fontId="2" fillId="0" borderId="8" xfId="0" applyNumberFormat="1" applyFont="1" applyFill="1" applyBorder="1" applyAlignment="1">
      <alignment vertical="center"/>
    </xf>
    <xf numFmtId="167" fontId="2" fillId="0" borderId="7" xfId="0" applyNumberFormat="1" applyFont="1" applyFill="1" applyBorder="1" applyAlignment="1">
      <alignment vertical="center"/>
    </xf>
    <xf numFmtId="0" fontId="4" fillId="2" borderId="0" xfId="0" applyFont="1" applyFill="1"/>
    <xf numFmtId="0" fontId="1" fillId="2" borderId="0" xfId="0" applyFont="1" applyFill="1"/>
    <xf numFmtId="167" fontId="1" fillId="0" borderId="0" xfId="0" applyNumberFormat="1" applyFont="1" applyBorder="1"/>
    <xf numFmtId="2" fontId="1" fillId="3" borderId="0" xfId="0" applyNumberFormat="1" applyFont="1" applyFill="1"/>
    <xf numFmtId="167" fontId="1" fillId="4" borderId="0" xfId="0" applyNumberFormat="1" applyFont="1" applyFill="1" applyBorder="1"/>
    <xf numFmtId="0" fontId="23" fillId="0" borderId="0" xfId="0" applyFont="1" applyFill="1" applyBorder="1"/>
    <xf numFmtId="167" fontId="1" fillId="0" borderId="12" xfId="0" applyNumberFormat="1" applyFont="1" applyBorder="1"/>
    <xf numFmtId="167" fontId="23" fillId="0" borderId="0" xfId="0" applyNumberFormat="1" applyFont="1" applyFill="1" applyBorder="1"/>
    <xf numFmtId="0" fontId="24" fillId="0" borderId="0" xfId="0" applyNumberFormat="1" applyFont="1" applyFill="1" applyAlignment="1">
      <alignment vertical="center"/>
    </xf>
    <xf numFmtId="0" fontId="21" fillId="0" borderId="0" xfId="0" applyNumberFormat="1" applyFont="1" applyFill="1" applyAlignment="1">
      <alignment vertical="center"/>
    </xf>
    <xf numFmtId="0" fontId="2" fillId="0" borderId="6" xfId="0" applyNumberFormat="1" applyFont="1" applyFill="1" applyBorder="1" applyAlignment="1">
      <alignment vertical="center"/>
    </xf>
    <xf numFmtId="167" fontId="2" fillId="0" borderId="1" xfId="0" applyNumberFormat="1" applyFont="1" applyFill="1" applyBorder="1" applyAlignment="1">
      <alignment vertical="center"/>
    </xf>
    <xf numFmtId="167" fontId="2" fillId="0" borderId="9" xfId="0" applyNumberFormat="1" applyFont="1" applyFill="1" applyBorder="1" applyAlignment="1">
      <alignment vertical="center"/>
    </xf>
    <xf numFmtId="167" fontId="2" fillId="0" borderId="5" xfId="0" applyNumberFormat="1" applyFont="1" applyFill="1" applyBorder="1" applyAlignment="1">
      <alignment vertical="center"/>
    </xf>
    <xf numFmtId="167" fontId="2" fillId="0" borderId="3" xfId="0" applyNumberFormat="1" applyFont="1" applyFill="1" applyBorder="1" applyAlignment="1">
      <alignment vertical="center"/>
    </xf>
    <xf numFmtId="167" fontId="2" fillId="0" borderId="6" xfId="0" applyNumberFormat="1" applyFont="1" applyFill="1" applyBorder="1" applyAlignment="1">
      <alignment vertical="center"/>
    </xf>
    <xf numFmtId="167" fontId="1" fillId="0" borderId="0" xfId="0" applyNumberFormat="1" applyFont="1" applyFill="1" applyBorder="1"/>
    <xf numFmtId="0" fontId="25" fillId="0" borderId="0" xfId="0" applyNumberFormat="1" applyFont="1" applyFill="1" applyAlignment="1">
      <alignment vertical="center"/>
    </xf>
    <xf numFmtId="2" fontId="23" fillId="0" borderId="0" xfId="0" applyNumberFormat="1" applyFont="1" applyFill="1" applyBorder="1"/>
    <xf numFmtId="167" fontId="3" fillId="2" borderId="3" xfId="0" applyNumberFormat="1" applyFont="1" applyFill="1" applyBorder="1" applyAlignment="1">
      <alignment vertical="center"/>
    </xf>
    <xf numFmtId="167" fontId="3" fillId="2" borderId="6" xfId="0" applyNumberFormat="1" applyFont="1" applyFill="1" applyBorder="1" applyAlignment="1">
      <alignment vertical="center"/>
    </xf>
    <xf numFmtId="0" fontId="1" fillId="0" borderId="8" xfId="0" applyFont="1" applyFill="1" applyBorder="1"/>
    <xf numFmtId="0" fontId="1" fillId="2" borderId="7" xfId="0" applyFont="1" applyFill="1" applyBorder="1"/>
    <xf numFmtId="0" fontId="1" fillId="2" borderId="0" xfId="0" applyFont="1" applyFill="1" applyBorder="1"/>
    <xf numFmtId="167" fontId="1" fillId="0" borderId="7" xfId="0" applyNumberFormat="1" applyFont="1" applyBorder="1"/>
    <xf numFmtId="167" fontId="1" fillId="3" borderId="15" xfId="0" applyNumberFormat="1" applyFont="1" applyFill="1" applyBorder="1"/>
    <xf numFmtId="167" fontId="1" fillId="0" borderId="15" xfId="0" applyNumberFormat="1" applyFont="1" applyBorder="1"/>
    <xf numFmtId="167" fontId="1" fillId="0" borderId="15" xfId="0" applyNumberFormat="1" applyFont="1" applyFill="1" applyBorder="1"/>
    <xf numFmtId="167" fontId="1" fillId="0" borderId="11" xfId="0" applyNumberFormat="1" applyFont="1" applyBorder="1"/>
    <xf numFmtId="167" fontId="1" fillId="3" borderId="8" xfId="0" applyNumberFormat="1" applyFont="1" applyFill="1" applyBorder="1"/>
    <xf numFmtId="0" fontId="1" fillId="6" borderId="3" xfId="0" applyFont="1" applyFill="1" applyBorder="1"/>
    <xf numFmtId="0" fontId="1" fillId="6" borderId="0" xfId="0" applyFont="1" applyFill="1" applyBorder="1"/>
    <xf numFmtId="0" fontId="1" fillId="6" borderId="10" xfId="0" applyFont="1" applyFill="1" applyBorder="1"/>
    <xf numFmtId="0" fontId="1" fillId="6" borderId="1" xfId="0" applyFont="1" applyFill="1" applyBorder="1"/>
    <xf numFmtId="0" fontId="1" fillId="6" borderId="11" xfId="0" applyFont="1" applyFill="1" applyBorder="1"/>
    <xf numFmtId="0" fontId="1" fillId="6" borderId="15" xfId="0" applyFont="1" applyFill="1" applyBorder="1"/>
    <xf numFmtId="0" fontId="1" fillId="0" borderId="0" xfId="0" applyFont="1" applyBorder="1" applyAlignment="1">
      <alignment horizontal="right"/>
    </xf>
    <xf numFmtId="2" fontId="1" fillId="0" borderId="5" xfId="0" applyNumberFormat="1" applyFont="1" applyBorder="1"/>
    <xf numFmtId="0" fontId="1" fillId="0" borderId="5" xfId="0" applyNumberFormat="1" applyFont="1" applyBorder="1"/>
    <xf numFmtId="0" fontId="1" fillId="2" borderId="8" xfId="0" applyFont="1" applyFill="1" applyBorder="1"/>
    <xf numFmtId="167" fontId="1" fillId="0" borderId="8" xfId="0" applyNumberFormat="1" applyFont="1" applyBorder="1"/>
    <xf numFmtId="167" fontId="1" fillId="0" borderId="8" xfId="0" applyNumberFormat="1" applyFont="1" applyFill="1" applyBorder="1"/>
    <xf numFmtId="167" fontId="1" fillId="0" borderId="11" xfId="0" applyNumberFormat="1" applyFont="1" applyFill="1" applyBorder="1"/>
    <xf numFmtId="167" fontId="1" fillId="0" borderId="9" xfId="0" applyNumberFormat="1" applyFont="1" applyBorder="1"/>
    <xf numFmtId="0" fontId="26" fillId="0" borderId="0" xfId="0" applyFont="1"/>
    <xf numFmtId="0" fontId="17" fillId="6" borderId="4" xfId="0" applyFont="1" applyFill="1" applyBorder="1"/>
    <xf numFmtId="0" fontId="17" fillId="6" borderId="11" xfId="0" applyFont="1" applyFill="1" applyBorder="1"/>
    <xf numFmtId="0" fontId="1" fillId="6" borderId="6" xfId="0" applyFont="1" applyFill="1" applyBorder="1"/>
    <xf numFmtId="0" fontId="1" fillId="6" borderId="9" xfId="0" applyFont="1" applyFill="1" applyBorder="1"/>
    <xf numFmtId="0" fontId="1" fillId="6" borderId="8" xfId="0" applyFont="1" applyFill="1" applyBorder="1"/>
    <xf numFmtId="0" fontId="1" fillId="6" borderId="2" xfId="0" applyFont="1" applyFill="1" applyBorder="1"/>
    <xf numFmtId="0" fontId="1" fillId="6" borderId="7" xfId="0" applyFont="1" applyFill="1" applyBorder="1"/>
    <xf numFmtId="0" fontId="1" fillId="6" borderId="5" xfId="0" applyFont="1" applyFill="1" applyBorder="1"/>
    <xf numFmtId="0" fontId="1" fillId="6" borderId="4" xfId="0" applyFont="1" applyFill="1" applyBorder="1"/>
    <xf numFmtId="0" fontId="2" fillId="0" borderId="0" xfId="1" applyFont="1" applyFill="1"/>
    <xf numFmtId="0" fontId="1" fillId="8" borderId="5" xfId="0" applyFont="1" applyFill="1" applyBorder="1"/>
    <xf numFmtId="167" fontId="2" fillId="0" borderId="15" xfId="1" applyNumberFormat="1" applyFont="1" applyBorder="1"/>
    <xf numFmtId="0" fontId="1" fillId="0" borderId="13" xfId="0" applyFont="1" applyFill="1" applyBorder="1"/>
    <xf numFmtId="0" fontId="8" fillId="6" borderId="2" xfId="0" applyFont="1" applyFill="1" applyBorder="1"/>
    <xf numFmtId="0" fontId="8" fillId="6" borderId="3" xfId="0" applyFont="1" applyFill="1" applyBorder="1"/>
    <xf numFmtId="0" fontId="18" fillId="6" borderId="3" xfId="1" applyFont="1" applyFill="1" applyBorder="1"/>
    <xf numFmtId="0" fontId="18" fillId="6" borderId="6" xfId="1" applyFont="1" applyFill="1" applyBorder="1"/>
    <xf numFmtId="0" fontId="8" fillId="6" borderId="6" xfId="0" applyFont="1" applyFill="1" applyBorder="1"/>
    <xf numFmtId="0" fontId="18" fillId="6" borderId="7" xfId="1" applyFont="1" applyFill="1" applyBorder="1"/>
    <xf numFmtId="0" fontId="8" fillId="6" borderId="0" xfId="0" applyFont="1" applyFill="1" applyBorder="1"/>
    <xf numFmtId="0" fontId="18" fillId="6" borderId="0" xfId="1" applyFont="1" applyFill="1" applyBorder="1"/>
    <xf numFmtId="0" fontId="18" fillId="6" borderId="8" xfId="1" applyFont="1" applyFill="1" applyBorder="1"/>
    <xf numFmtId="0" fontId="8" fillId="6" borderId="7" xfId="0" applyFont="1" applyFill="1" applyBorder="1"/>
    <xf numFmtId="0" fontId="8" fillId="6" borderId="8" xfId="0" applyFont="1" applyFill="1" applyBorder="1"/>
    <xf numFmtId="0" fontId="8" fillId="6" borderId="1" xfId="0" applyFont="1" applyFill="1" applyBorder="1"/>
    <xf numFmtId="0" fontId="4" fillId="6" borderId="1" xfId="0" applyFont="1" applyFill="1" applyBorder="1"/>
    <xf numFmtId="0" fontId="4" fillId="6" borderId="9" xfId="0" applyFont="1" applyFill="1" applyBorder="1"/>
    <xf numFmtId="0" fontId="18" fillId="6" borderId="4" xfId="1" applyFont="1" applyFill="1" applyBorder="1" applyAlignment="1">
      <alignment horizontal="center" wrapText="1"/>
    </xf>
    <xf numFmtId="0" fontId="18" fillId="6" borderId="4" xfId="1" applyFont="1" applyFill="1" applyBorder="1" applyAlignment="1">
      <alignment horizontal="center" vertical="center"/>
    </xf>
    <xf numFmtId="0" fontId="8" fillId="6" borderId="4" xfId="0" applyFont="1" applyFill="1" applyBorder="1" applyAlignment="1">
      <alignment horizontal="center" vertical="center"/>
    </xf>
    <xf numFmtId="0" fontId="8" fillId="6" borderId="5" xfId="0" applyFont="1" applyFill="1" applyBorder="1"/>
    <xf numFmtId="0" fontId="8" fillId="6" borderId="9" xfId="0" applyFont="1" applyFill="1" applyBorder="1"/>
    <xf numFmtId="0" fontId="8" fillId="6" borderId="10" xfId="0" applyFont="1" applyFill="1" applyBorder="1" applyAlignment="1">
      <alignment horizontal="center" vertical="center"/>
    </xf>
    <xf numFmtId="0" fontId="8" fillId="6" borderId="3" xfId="0" applyFont="1" applyFill="1" applyBorder="1" applyAlignment="1">
      <alignment horizontal="center" vertical="center"/>
    </xf>
    <xf numFmtId="0" fontId="4" fillId="6" borderId="2" xfId="0" applyFont="1" applyFill="1" applyBorder="1"/>
    <xf numFmtId="0" fontId="8" fillId="6" borderId="4" xfId="0" applyFont="1" applyFill="1" applyBorder="1"/>
    <xf numFmtId="0" fontId="8" fillId="6" borderId="13" xfId="0" applyFont="1" applyFill="1" applyBorder="1"/>
    <xf numFmtId="0" fontId="26" fillId="0" borderId="0" xfId="0" applyFont="1" applyAlignment="1">
      <alignment horizontal="left"/>
    </xf>
    <xf numFmtId="0" fontId="1" fillId="7" borderId="5" xfId="0" applyFont="1" applyFill="1" applyBorder="1"/>
    <xf numFmtId="167" fontId="1" fillId="0" borderId="0" xfId="0" applyNumberFormat="1" applyFont="1"/>
    <xf numFmtId="167" fontId="2" fillId="0" borderId="0" xfId="1" applyNumberFormat="1" applyFont="1" applyBorder="1"/>
    <xf numFmtId="167" fontId="2" fillId="0" borderId="0" xfId="1" applyNumberFormat="1" applyFont="1" applyFill="1" applyBorder="1"/>
    <xf numFmtId="0" fontId="18" fillId="6" borderId="13" xfId="1" applyFont="1" applyFill="1" applyBorder="1" applyAlignment="1">
      <alignment horizontal="center" wrapText="1"/>
    </xf>
    <xf numFmtId="0" fontId="18" fillId="6" borderId="13" xfId="1" applyFont="1" applyFill="1" applyBorder="1" applyAlignment="1">
      <alignment horizontal="center" vertical="center"/>
    </xf>
    <xf numFmtId="0" fontId="8" fillId="6" borderId="13" xfId="0" applyFont="1" applyFill="1" applyBorder="1" applyAlignment="1">
      <alignment horizontal="center" vertical="center"/>
    </xf>
    <xf numFmtId="167" fontId="2" fillId="0" borderId="15" xfId="1" applyNumberFormat="1" applyFont="1" applyFill="1" applyBorder="1"/>
    <xf numFmtId="0" fontId="1" fillId="10" borderId="2" xfId="0" applyFont="1" applyFill="1" applyBorder="1"/>
    <xf numFmtId="0" fontId="1" fillId="10" borderId="3" xfId="0" applyFont="1" applyFill="1" applyBorder="1"/>
    <xf numFmtId="0" fontId="1" fillId="10" borderId="6" xfId="0" applyFont="1" applyFill="1" applyBorder="1"/>
    <xf numFmtId="0" fontId="1" fillId="10" borderId="10" xfId="0" applyFont="1" applyFill="1" applyBorder="1"/>
    <xf numFmtId="0" fontId="1" fillId="10" borderId="7" xfId="0" applyFont="1" applyFill="1" applyBorder="1"/>
    <xf numFmtId="0" fontId="1" fillId="10" borderId="0" xfId="0" applyFont="1" applyFill="1" applyBorder="1"/>
    <xf numFmtId="0" fontId="1" fillId="10" borderId="15" xfId="0" applyFont="1" applyFill="1" applyBorder="1"/>
    <xf numFmtId="0" fontId="1" fillId="10" borderId="15" xfId="0" applyNumberFormat="1" applyFont="1" applyFill="1" applyBorder="1"/>
    <xf numFmtId="0" fontId="3" fillId="0" borderId="15" xfId="0" applyFont="1" applyFill="1" applyBorder="1"/>
    <xf numFmtId="0" fontId="1" fillId="0" borderId="0" xfId="0" applyFont="1" applyFill="1" applyAlignment="1"/>
    <xf numFmtId="0" fontId="8" fillId="10" borderId="7" xfId="0" applyFont="1" applyFill="1" applyBorder="1"/>
    <xf numFmtId="0" fontId="1" fillId="0" borderId="6" xfId="0" applyFont="1" applyFill="1" applyBorder="1" applyAlignment="1"/>
    <xf numFmtId="0" fontId="1" fillId="0" borderId="7" xfId="0" applyFont="1" applyBorder="1" applyAlignment="1"/>
    <xf numFmtId="0" fontId="1" fillId="0" borderId="8" xfId="0" applyFont="1" applyFill="1" applyBorder="1" applyAlignment="1"/>
    <xf numFmtId="0" fontId="1" fillId="10" borderId="7" xfId="0" applyFont="1" applyFill="1" applyBorder="1" applyAlignment="1"/>
    <xf numFmtId="0" fontId="1" fillId="10" borderId="8" xfId="0" applyFont="1" applyFill="1" applyBorder="1" applyAlignment="1"/>
    <xf numFmtId="0" fontId="1" fillId="0" borderId="9" xfId="0" applyFont="1" applyFill="1" applyBorder="1" applyAlignment="1"/>
    <xf numFmtId="0" fontId="8" fillId="10" borderId="2" xfId="0" applyFont="1" applyFill="1" applyBorder="1"/>
    <xf numFmtId="167" fontId="1" fillId="10" borderId="10" xfId="0" applyNumberFormat="1" applyFont="1" applyFill="1" applyBorder="1"/>
    <xf numFmtId="167" fontId="1" fillId="10" borderId="6" xfId="0" applyNumberFormat="1" applyFont="1" applyFill="1" applyBorder="1"/>
    <xf numFmtId="0" fontId="1" fillId="10" borderId="2" xfId="0" applyFont="1" applyFill="1" applyBorder="1" applyAlignment="1"/>
    <xf numFmtId="0" fontId="1" fillId="10" borderId="6" xfId="0" applyFont="1" applyFill="1" applyBorder="1" applyAlignment="1"/>
    <xf numFmtId="0" fontId="1" fillId="10" borderId="5" xfId="0" applyFont="1" applyFill="1" applyBorder="1"/>
    <xf numFmtId="0" fontId="1" fillId="10" borderId="1" xfId="0" applyFont="1" applyFill="1" applyBorder="1"/>
    <xf numFmtId="0" fontId="1" fillId="10" borderId="9" xfId="0" applyFont="1" applyFill="1" applyBorder="1"/>
    <xf numFmtId="0" fontId="1" fillId="10" borderId="11" xfId="0" applyFont="1" applyFill="1" applyBorder="1"/>
    <xf numFmtId="0" fontId="1" fillId="10" borderId="5" xfId="0" applyFont="1" applyFill="1" applyBorder="1" applyAlignment="1"/>
    <xf numFmtId="0" fontId="1" fillId="10" borderId="9" xfId="0" applyFont="1" applyFill="1" applyBorder="1" applyAlignment="1"/>
    <xf numFmtId="0" fontId="1" fillId="0" borderId="7" xfId="0" applyFont="1" applyFill="1" applyBorder="1" applyAlignment="1"/>
    <xf numFmtId="0" fontId="8" fillId="0" borderId="7" xfId="0" applyFont="1" applyFill="1" applyBorder="1"/>
    <xf numFmtId="0" fontId="9" fillId="0" borderId="0" xfId="0" applyFont="1"/>
    <xf numFmtId="0" fontId="1" fillId="5" borderId="14" xfId="0" applyFont="1" applyFill="1" applyBorder="1"/>
    <xf numFmtId="0" fontId="1" fillId="0" borderId="0" xfId="0" applyFont="1" applyFill="1" applyBorder="1" applyAlignment="1"/>
    <xf numFmtId="167" fontId="1" fillId="0" borderId="7" xfId="0" applyNumberFormat="1" applyFont="1" applyFill="1" applyBorder="1"/>
    <xf numFmtId="167" fontId="1" fillId="0" borderId="0" xfId="0" applyNumberFormat="1" applyFont="1" applyFill="1" applyBorder="1" applyAlignment="1"/>
    <xf numFmtId="0" fontId="1" fillId="0" borderId="0" xfId="0" applyFont="1" applyFill="1" applyBorder="1" applyAlignment="1">
      <alignment horizontal="center"/>
    </xf>
    <xf numFmtId="0" fontId="3" fillId="2" borderId="4" xfId="0" applyFont="1" applyFill="1" applyBorder="1" applyAlignment="1">
      <alignment horizontal="center"/>
    </xf>
    <xf numFmtId="168" fontId="1" fillId="0" borderId="4" xfId="0" applyNumberFormat="1" applyFont="1" applyBorder="1"/>
    <xf numFmtId="0" fontId="16" fillId="0" borderId="4" xfId="0" applyFont="1" applyBorder="1"/>
    <xf numFmtId="164" fontId="16" fillId="0" borderId="4" xfId="0" applyNumberFormat="1" applyFont="1" applyBorder="1"/>
    <xf numFmtId="0" fontId="9" fillId="0" borderId="2" xfId="0" applyFont="1" applyBorder="1"/>
    <xf numFmtId="2" fontId="1" fillId="0" borderId="0" xfId="0" applyNumberFormat="1" applyFont="1" applyAlignment="1">
      <alignment horizontal="right"/>
    </xf>
    <xf numFmtId="0" fontId="1" fillId="0" borderId="0" xfId="0" applyFont="1" applyBorder="1" applyAlignment="1">
      <alignment horizontal="left"/>
    </xf>
    <xf numFmtId="2" fontId="1" fillId="0" borderId="0" xfId="0" applyNumberFormat="1" applyFont="1" applyFill="1" applyBorder="1" applyAlignment="1">
      <alignment horizontal="center"/>
    </xf>
    <xf numFmtId="164" fontId="1" fillId="0" borderId="12" xfId="0" applyNumberFormat="1" applyFont="1" applyBorder="1"/>
    <xf numFmtId="164" fontId="1" fillId="0" borderId="3" xfId="0" applyNumberFormat="1" applyFont="1" applyBorder="1"/>
    <xf numFmtId="0" fontId="26" fillId="0" borderId="2" xfId="0" applyFont="1" applyBorder="1"/>
    <xf numFmtId="0" fontId="1" fillId="0" borderId="2" xfId="0" applyFont="1" applyFill="1" applyBorder="1"/>
    <xf numFmtId="167" fontId="1" fillId="0" borderId="7" xfId="0" applyNumberFormat="1" applyFont="1" applyFill="1" applyBorder="1" applyAlignment="1">
      <alignment horizontal="center"/>
    </xf>
    <xf numFmtId="167" fontId="1" fillId="0" borderId="15" xfId="0" applyNumberFormat="1" applyFont="1" applyFill="1" applyBorder="1" applyAlignment="1">
      <alignment horizontal="center"/>
    </xf>
    <xf numFmtId="0" fontId="1" fillId="0" borderId="13" xfId="0" applyFont="1" applyBorder="1" applyAlignment="1">
      <alignment horizontal="center"/>
    </xf>
    <xf numFmtId="0" fontId="1" fillId="0" borderId="1" xfId="0" applyFont="1" applyBorder="1" applyAlignment="1">
      <alignment horizontal="center"/>
    </xf>
    <xf numFmtId="167" fontId="1" fillId="0" borderId="0" xfId="0" applyNumberFormat="1" applyFont="1" applyAlignment="1">
      <alignment horizontal="left"/>
    </xf>
    <xf numFmtId="165" fontId="2" fillId="3" borderId="0" xfId="0" applyNumberFormat="1" applyFont="1" applyFill="1" applyAlignment="1">
      <alignment horizontal="right"/>
    </xf>
    <xf numFmtId="166" fontId="2" fillId="3" borderId="0" xfId="0" applyNumberFormat="1" applyFont="1" applyFill="1" applyAlignment="1">
      <alignment horizontal="right"/>
    </xf>
    <xf numFmtId="0" fontId="1" fillId="6" borderId="0" xfId="0" applyFont="1" applyFill="1"/>
    <xf numFmtId="0" fontId="1" fillId="6" borderId="0" xfId="0" applyNumberFormat="1" applyFont="1" applyFill="1"/>
    <xf numFmtId="0" fontId="1" fillId="6" borderId="0" xfId="0" applyFont="1" applyFill="1" applyAlignment="1">
      <alignment horizontal="right"/>
    </xf>
    <xf numFmtId="10" fontId="1" fillId="6" borderId="0" xfId="0" applyNumberFormat="1" applyFont="1" applyFill="1" applyAlignment="1">
      <alignment horizontal="left"/>
    </xf>
    <xf numFmtId="10" fontId="1" fillId="0" borderId="0" xfId="0" applyNumberFormat="1" applyFont="1"/>
    <xf numFmtId="10" fontId="3" fillId="2" borderId="0" xfId="0" applyNumberFormat="1" applyFont="1" applyFill="1" applyBorder="1"/>
    <xf numFmtId="2" fontId="1" fillId="6" borderId="0" xfId="0" applyNumberFormat="1" applyFont="1" applyFill="1"/>
    <xf numFmtId="0" fontId="13" fillId="0" borderId="0" xfId="0" applyFont="1"/>
    <xf numFmtId="0" fontId="1" fillId="6" borderId="0" xfId="0" applyFont="1" applyFill="1" applyAlignment="1">
      <alignment horizontal="left"/>
    </xf>
    <xf numFmtId="0" fontId="20" fillId="0" borderId="0" xfId="0" applyFont="1" applyAlignment="1">
      <alignment horizontal="center"/>
    </xf>
    <xf numFmtId="0" fontId="1" fillId="0" borderId="0" xfId="0" applyNumberFormat="1" applyFont="1" applyAlignment="1">
      <alignment horizontal="right"/>
    </xf>
    <xf numFmtId="164" fontId="1" fillId="0" borderId="0" xfId="0" applyNumberFormat="1" applyFont="1" applyAlignment="1">
      <alignment horizontal="right"/>
    </xf>
    <xf numFmtId="0" fontId="13" fillId="0" borderId="0" xfId="0" applyFont="1" applyAlignment="1">
      <alignment horizontal="center"/>
    </xf>
    <xf numFmtId="0" fontId="1" fillId="0" borderId="0" xfId="0" applyFont="1" applyAlignment="1">
      <alignment horizontal="center" vertical="center"/>
    </xf>
    <xf numFmtId="0" fontId="3" fillId="2" borderId="8" xfId="0" applyFont="1" applyFill="1" applyBorder="1"/>
    <xf numFmtId="166" fontId="1" fillId="0" borderId="0" xfId="0" applyNumberFormat="1" applyFont="1"/>
    <xf numFmtId="0" fontId="2" fillId="3" borderId="0" xfId="0" applyNumberFormat="1" applyFont="1" applyFill="1" applyAlignment="1">
      <alignment horizontal="right"/>
    </xf>
    <xf numFmtId="0" fontId="2" fillId="11" borderId="0" xfId="0" applyFont="1" applyFill="1"/>
    <xf numFmtId="0" fontId="1" fillId="11" borderId="0" xfId="0" applyFont="1" applyFill="1"/>
    <xf numFmtId="0" fontId="1" fillId="0" borderId="7" xfId="0" applyFont="1" applyBorder="1" applyAlignment="1">
      <alignment horizontal="left"/>
    </xf>
    <xf numFmtId="0" fontId="1" fillId="2" borderId="7" xfId="0" applyFont="1" applyFill="1" applyBorder="1" applyAlignment="1">
      <alignment horizontal="left"/>
    </xf>
    <xf numFmtId="0" fontId="1" fillId="2" borderId="5" xfId="0" applyFont="1" applyFill="1" applyBorder="1"/>
    <xf numFmtId="0" fontId="1" fillId="2" borderId="1" xfId="0" applyFont="1" applyFill="1" applyBorder="1"/>
    <xf numFmtId="0" fontId="1" fillId="2" borderId="9" xfId="0" applyFont="1" applyFill="1" applyBorder="1"/>
    <xf numFmtId="0" fontId="1" fillId="2" borderId="2" xfId="0" applyFont="1" applyFill="1" applyBorder="1"/>
    <xf numFmtId="0" fontId="1" fillId="2" borderId="3" xfId="0" applyFont="1" applyFill="1" applyBorder="1"/>
    <xf numFmtId="0" fontId="1" fillId="2" borderId="6" xfId="0" applyFont="1" applyFill="1" applyBorder="1"/>
    <xf numFmtId="0" fontId="1" fillId="2" borderId="3" xfId="0" applyFont="1" applyFill="1" applyBorder="1" applyAlignment="1">
      <alignment horizontal="right"/>
    </xf>
    <xf numFmtId="0" fontId="1" fillId="2" borderId="0" xfId="0" applyFont="1" applyFill="1" applyBorder="1" applyAlignment="1">
      <alignment horizontal="right"/>
    </xf>
    <xf numFmtId="164" fontId="1" fillId="2" borderId="0" xfId="0" applyNumberFormat="1" applyFont="1" applyFill="1"/>
    <xf numFmtId="2" fontId="8" fillId="0" borderId="0" xfId="0" applyNumberFormat="1" applyFont="1"/>
    <xf numFmtId="10" fontId="1" fillId="2" borderId="0" xfId="0" applyNumberFormat="1" applyFont="1" applyFill="1"/>
    <xf numFmtId="0" fontId="2" fillId="0" borderId="0" xfId="0" applyFont="1" applyBorder="1" applyAlignment="1">
      <alignment horizontal="center"/>
    </xf>
    <xf numFmtId="0" fontId="2" fillId="0" borderId="0" xfId="0" applyFont="1" applyBorder="1"/>
    <xf numFmtId="0" fontId="1" fillId="5" borderId="3" xfId="0" applyFont="1" applyFill="1" applyBorder="1"/>
    <xf numFmtId="0" fontId="2" fillId="0" borderId="0" xfId="0" applyNumberFormat="1" applyFont="1" applyFill="1" applyAlignment="1"/>
    <xf numFmtId="0" fontId="8" fillId="0" borderId="0" xfId="0" applyNumberFormat="1" applyFont="1"/>
    <xf numFmtId="0" fontId="16" fillId="0" borderId="0" xfId="0" applyFont="1"/>
    <xf numFmtId="0" fontId="3" fillId="2" borderId="0" xfId="0" applyNumberFormat="1" applyFont="1" applyFill="1" applyAlignment="1">
      <alignment horizontal="right"/>
    </xf>
    <xf numFmtId="0" fontId="2" fillId="3" borderId="0" xfId="0" applyFont="1" applyFill="1" applyBorder="1"/>
    <xf numFmtId="0" fontId="3" fillId="2" borderId="0" xfId="0" applyFont="1" applyFill="1" applyBorder="1" applyAlignment="1">
      <alignment horizontal="right"/>
    </xf>
    <xf numFmtId="0" fontId="2" fillId="11" borderId="8" xfId="0" applyFont="1" applyFill="1" applyBorder="1"/>
    <xf numFmtId="0" fontId="26" fillId="0" borderId="0" xfId="0" applyFont="1" applyBorder="1" applyAlignment="1"/>
    <xf numFmtId="0" fontId="16" fillId="0" borderId="0" xfId="0" applyFont="1" applyBorder="1" applyAlignment="1">
      <alignment horizontal="center"/>
    </xf>
    <xf numFmtId="0" fontId="1" fillId="0" borderId="13" xfId="0" quotePrefix="1" applyFont="1" applyBorder="1"/>
    <xf numFmtId="0" fontId="16" fillId="0" borderId="8" xfId="0" applyFont="1" applyBorder="1" applyAlignment="1">
      <alignment horizontal="center"/>
    </xf>
    <xf numFmtId="2" fontId="2" fillId="3" borderId="0" xfId="0" applyNumberFormat="1" applyFont="1" applyFill="1" applyAlignment="1">
      <alignment horizontal="center"/>
    </xf>
    <xf numFmtId="0" fontId="1" fillId="3" borderId="0" xfId="0" applyNumberFormat="1" applyFont="1" applyFill="1" applyAlignment="1"/>
    <xf numFmtId="0" fontId="1" fillId="3" borderId="0" xfId="0" applyNumberFormat="1" applyFont="1" applyFill="1" applyBorder="1"/>
    <xf numFmtId="0" fontId="1" fillId="0" borderId="0" xfId="0" applyFont="1" applyBorder="1" applyAlignment="1"/>
    <xf numFmtId="0" fontId="3" fillId="2" borderId="0" xfId="0" applyNumberFormat="1" applyFont="1" applyFill="1" applyBorder="1"/>
    <xf numFmtId="2" fontId="1" fillId="3" borderId="0" xfId="0" applyNumberFormat="1" applyFont="1" applyFill="1" applyBorder="1"/>
    <xf numFmtId="0" fontId="1" fillId="0" borderId="0" xfId="0" quotePrefix="1" applyFont="1" applyBorder="1"/>
    <xf numFmtId="0" fontId="4" fillId="0" borderId="0" xfId="0" applyFont="1" applyFill="1"/>
    <xf numFmtId="0" fontId="1" fillId="0" borderId="10" xfId="0" applyFont="1" applyFill="1" applyBorder="1"/>
    <xf numFmtId="0" fontId="1" fillId="0" borderId="12" xfId="0" applyFont="1" applyFill="1" applyBorder="1"/>
    <xf numFmtId="0" fontId="8" fillId="0" borderId="0" xfId="0" applyFont="1" applyFill="1" applyBorder="1"/>
    <xf numFmtId="0" fontId="9" fillId="0" borderId="12" xfId="0" applyFont="1" applyFill="1" applyBorder="1"/>
    <xf numFmtId="0" fontId="8" fillId="0" borderId="12" xfId="0" applyFont="1" applyFill="1" applyBorder="1"/>
    <xf numFmtId="167" fontId="2" fillId="0" borderId="2" xfId="0" applyNumberFormat="1" applyFont="1" applyFill="1" applyBorder="1" applyAlignment="1">
      <alignment vertical="center"/>
    </xf>
    <xf numFmtId="0" fontId="1" fillId="0" borderId="15" xfId="0" applyNumberFormat="1" applyFont="1" applyFill="1" applyBorder="1"/>
    <xf numFmtId="0" fontId="1" fillId="10" borderId="10" xfId="0" applyNumberFormat="1" applyFont="1" applyFill="1" applyBorder="1"/>
    <xf numFmtId="0" fontId="1" fillId="10" borderId="11" xfId="0" applyNumberFormat="1" applyFont="1" applyFill="1" applyBorder="1"/>
    <xf numFmtId="0" fontId="1" fillId="0" borderId="11" xfId="0" applyNumberFormat="1" applyFont="1" applyBorder="1"/>
    <xf numFmtId="0" fontId="1" fillId="0" borderId="0" xfId="0" applyNumberFormat="1" applyFont="1" applyAlignment="1"/>
    <xf numFmtId="0" fontId="26" fillId="0" borderId="0" xfId="0" applyNumberFormat="1" applyFont="1"/>
    <xf numFmtId="0" fontId="1" fillId="5" borderId="12" xfId="0" applyNumberFormat="1" applyFont="1" applyFill="1" applyBorder="1"/>
    <xf numFmtId="0" fontId="1" fillId="5" borderId="13" xfId="0" applyNumberFormat="1" applyFont="1" applyFill="1" applyBorder="1"/>
    <xf numFmtId="0" fontId="1" fillId="5" borderId="4" xfId="0" applyNumberFormat="1" applyFont="1" applyFill="1" applyBorder="1"/>
    <xf numFmtId="0" fontId="1" fillId="0" borderId="8" xfId="0" applyNumberFormat="1" applyFont="1" applyFill="1" applyBorder="1"/>
    <xf numFmtId="0" fontId="0" fillId="0" borderId="0" xfId="0" applyNumberFormat="1"/>
    <xf numFmtId="0" fontId="32" fillId="10" borderId="10" xfId="0" applyNumberFormat="1" applyFont="1" applyFill="1" applyBorder="1"/>
    <xf numFmtId="0" fontId="32" fillId="0" borderId="15" xfId="0" applyNumberFormat="1" applyFont="1" applyFill="1" applyBorder="1"/>
    <xf numFmtId="0" fontId="2" fillId="0" borderId="0" xfId="1" applyFont="1"/>
    <xf numFmtId="165" fontId="1" fillId="0" borderId="0" xfId="0" applyNumberFormat="1" applyFont="1"/>
    <xf numFmtId="0" fontId="35" fillId="0" borderId="0" xfId="0" applyFont="1"/>
    <xf numFmtId="0" fontId="1" fillId="0" borderId="2" xfId="0" applyNumberFormat="1" applyFont="1" applyBorder="1"/>
    <xf numFmtId="0" fontId="2" fillId="0" borderId="3" xfId="0" applyFont="1" applyFill="1" applyBorder="1"/>
    <xf numFmtId="0" fontId="1" fillId="12" borderId="0" xfId="0" applyFont="1" applyFill="1"/>
    <xf numFmtId="164" fontId="1" fillId="12" borderId="0" xfId="0" applyNumberFormat="1" applyFont="1" applyFill="1"/>
    <xf numFmtId="167" fontId="1" fillId="0" borderId="4" xfId="0" applyNumberFormat="1" applyFont="1" applyBorder="1"/>
    <xf numFmtId="168" fontId="1" fillId="0" borderId="0" xfId="0" applyNumberFormat="1" applyFont="1"/>
    <xf numFmtId="0" fontId="3" fillId="12" borderId="0" xfId="0" applyFont="1" applyFill="1"/>
    <xf numFmtId="0" fontId="1" fillId="0" borderId="4" xfId="0" applyFont="1" applyBorder="1" applyAlignment="1">
      <alignment horizontal="left"/>
    </xf>
    <xf numFmtId="0" fontId="2" fillId="0" borderId="0" xfId="0" quotePrefix="1" applyFont="1" applyFill="1"/>
    <xf numFmtId="0" fontId="2" fillId="0" borderId="0" xfId="0" applyFont="1" applyAlignment="1">
      <alignment horizontal="left"/>
    </xf>
    <xf numFmtId="0" fontId="1" fillId="0" borderId="0" xfId="0" applyFont="1" applyAlignment="1">
      <alignment horizontal="center"/>
    </xf>
    <xf numFmtId="0" fontId="8" fillId="2" borderId="0" xfId="0" applyFont="1" applyFill="1"/>
    <xf numFmtId="0" fontId="2" fillId="0" borderId="4" xfId="0" applyFont="1" applyFill="1" applyBorder="1"/>
    <xf numFmtId="0" fontId="1" fillId="0" borderId="4" xfId="0" applyFont="1" applyFill="1" applyBorder="1" applyAlignment="1">
      <alignment horizontal="center"/>
    </xf>
    <xf numFmtId="0" fontId="1" fillId="0" borderId="13" xfId="0" applyFont="1" applyFill="1" applyBorder="1" applyAlignment="1">
      <alignment horizontal="center"/>
    </xf>
    <xf numFmtId="0" fontId="2" fillId="0" borderId="3" xfId="0" applyFont="1" applyFill="1" applyBorder="1" applyAlignment="1">
      <alignment horizontal="center"/>
    </xf>
    <xf numFmtId="0" fontId="1" fillId="12" borderId="0" xfId="0" applyFont="1" applyFill="1" applyBorder="1"/>
    <xf numFmtId="0" fontId="1" fillId="6" borderId="4" xfId="0" applyFont="1" applyFill="1" applyBorder="1" applyAlignment="1">
      <alignment vertical="center"/>
    </xf>
    <xf numFmtId="0" fontId="1" fillId="0" borderId="13" xfId="0" applyFont="1" applyBorder="1" applyAlignment="1">
      <alignment horizontal="center"/>
    </xf>
    <xf numFmtId="0" fontId="8" fillId="8" borderId="5" xfId="0" applyFont="1" applyFill="1" applyBorder="1"/>
    <xf numFmtId="0" fontId="38" fillId="10" borderId="15" xfId="0" applyNumberFormat="1" applyFont="1" applyFill="1" applyBorder="1"/>
    <xf numFmtId="0" fontId="1" fillId="5" borderId="11" xfId="0" applyNumberFormat="1" applyFont="1" applyFill="1" applyBorder="1"/>
    <xf numFmtId="0" fontId="1" fillId="0" borderId="0" xfId="0" applyFont="1" applyFill="1" applyBorder="1" applyAlignment="1">
      <alignment vertical="center"/>
    </xf>
    <xf numFmtId="169" fontId="1" fillId="0" borderId="0" xfId="0" applyNumberFormat="1" applyFont="1" applyBorder="1" applyAlignment="1">
      <alignment horizontal="right"/>
    </xf>
    <xf numFmtId="169" fontId="1" fillId="0" borderId="0" xfId="0" applyNumberFormat="1" applyFont="1" applyBorder="1"/>
    <xf numFmtId="2" fontId="1" fillId="0" borderId="0" xfId="0" applyNumberFormat="1" applyFont="1" applyFill="1" applyBorder="1"/>
    <xf numFmtId="2" fontId="2" fillId="3" borderId="0" xfId="0" applyNumberFormat="1" applyFont="1" applyFill="1" applyBorder="1" applyAlignment="1">
      <alignment horizontal="center"/>
    </xf>
    <xf numFmtId="2" fontId="1" fillId="0" borderId="0" xfId="0" applyNumberFormat="1" applyFont="1" applyBorder="1" applyAlignment="1">
      <alignment horizontal="center"/>
    </xf>
    <xf numFmtId="0" fontId="13" fillId="0" borderId="0" xfId="0" applyFont="1" applyBorder="1"/>
    <xf numFmtId="0" fontId="35" fillId="0" borderId="7" xfId="0" applyFont="1" applyBorder="1"/>
    <xf numFmtId="0" fontId="1" fillId="0" borderId="0" xfId="0" applyNumberFormat="1" applyFont="1" applyFill="1" applyBorder="1"/>
    <xf numFmtId="0" fontId="3" fillId="0" borderId="0" xfId="0" applyFont="1" applyFill="1"/>
    <xf numFmtId="0" fontId="16" fillId="0" borderId="12" xfId="0" applyFont="1" applyFill="1" applyBorder="1"/>
    <xf numFmtId="0" fontId="1" fillId="0" borderId="4" xfId="0" applyFont="1" applyBorder="1" applyAlignment="1">
      <alignment horizontal="right"/>
    </xf>
    <xf numFmtId="0" fontId="2" fillId="0" borderId="7" xfId="0" applyFont="1" applyFill="1" applyBorder="1" applyAlignment="1">
      <alignment horizontal="center"/>
    </xf>
    <xf numFmtId="0" fontId="18" fillId="0" borderId="0" xfId="0" applyFont="1" applyFill="1"/>
    <xf numFmtId="2" fontId="2" fillId="0" borderId="0" xfId="0" applyNumberFormat="1" applyFont="1" applyFill="1"/>
    <xf numFmtId="0" fontId="2" fillId="0" borderId="5" xfId="0" applyFont="1" applyFill="1" applyBorder="1" applyAlignment="1">
      <alignment horizontal="center"/>
    </xf>
    <xf numFmtId="0" fontId="2" fillId="0" borderId="12" xfId="0" applyFont="1" applyFill="1" applyBorder="1" applyAlignment="1">
      <alignment horizontal="center"/>
    </xf>
    <xf numFmtId="0" fontId="2" fillId="0" borderId="0" xfId="0" applyFont="1" applyFill="1" applyAlignment="1"/>
    <xf numFmtId="164" fontId="1" fillId="0" borderId="1" xfId="0" applyNumberFormat="1" applyFont="1" applyBorder="1"/>
    <xf numFmtId="0" fontId="1" fillId="0" borderId="7" xfId="0" applyNumberFormat="1" applyFont="1" applyFill="1" applyBorder="1"/>
    <xf numFmtId="0" fontId="2" fillId="9" borderId="0" xfId="0" applyFont="1" applyFill="1"/>
    <xf numFmtId="0" fontId="11" fillId="0" borderId="0" xfId="0" applyFont="1" applyAlignment="1">
      <alignment horizontal="right"/>
    </xf>
    <xf numFmtId="2" fontId="1" fillId="4" borderId="0" xfId="0" applyNumberFormat="1" applyFont="1" applyFill="1"/>
    <xf numFmtId="0" fontId="2" fillId="0" borderId="9" xfId="0" applyFont="1" applyBorder="1"/>
    <xf numFmtId="2" fontId="3" fillId="2" borderId="7" xfId="0" applyNumberFormat="1" applyFont="1" applyFill="1" applyBorder="1"/>
    <xf numFmtId="2" fontId="3" fillId="2" borderId="0" xfId="0" applyNumberFormat="1" applyFont="1" applyFill="1"/>
    <xf numFmtId="0" fontId="18" fillId="0" borderId="0" xfId="0" applyFont="1"/>
    <xf numFmtId="0" fontId="1" fillId="0" borderId="0" xfId="0" applyFont="1" applyBorder="1" applyAlignment="1">
      <alignment horizontal="center"/>
    </xf>
    <xf numFmtId="9" fontId="1" fillId="2" borderId="0" xfId="0" applyNumberFormat="1" applyFont="1" applyFill="1" applyAlignment="1">
      <alignment horizontal="center"/>
    </xf>
    <xf numFmtId="0" fontId="3" fillId="2" borderId="0" xfId="0" applyFont="1" applyFill="1" applyAlignment="1">
      <alignment horizontal="left"/>
    </xf>
    <xf numFmtId="0" fontId="1" fillId="0" borderId="0" xfId="0" applyFont="1" applyAlignment="1">
      <alignment horizontal="center"/>
    </xf>
    <xf numFmtId="0" fontId="1" fillId="0" borderId="0" xfId="0" applyFont="1" applyAlignment="1">
      <alignment horizontal="left"/>
    </xf>
    <xf numFmtId="167" fontId="3" fillId="2" borderId="0" xfId="0" applyNumberFormat="1" applyFont="1" applyFill="1"/>
    <xf numFmtId="0" fontId="1" fillId="0" borderId="1" xfId="0" applyFont="1" applyBorder="1" applyAlignment="1">
      <alignment horizontal="right" indent="1"/>
    </xf>
    <xf numFmtId="0" fontId="1" fillId="0" borderId="0" xfId="0" applyFont="1" applyAlignment="1">
      <alignment horizontal="center"/>
    </xf>
    <xf numFmtId="0" fontId="1" fillId="0" borderId="11"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2" fontId="17" fillId="2" borderId="0" xfId="0" applyNumberFormat="1" applyFont="1" applyFill="1" applyBorder="1" applyAlignment="1">
      <alignment horizontal="right"/>
    </xf>
    <xf numFmtId="2" fontId="8" fillId="0" borderId="1" xfId="0" applyNumberFormat="1" applyFont="1" applyBorder="1"/>
    <xf numFmtId="167" fontId="3" fillId="2" borderId="7" xfId="0" applyNumberFormat="1" applyFont="1" applyFill="1" applyBorder="1"/>
    <xf numFmtId="167" fontId="1" fillId="4" borderId="15" xfId="0" applyNumberFormat="1" applyFont="1" applyFill="1" applyBorder="1"/>
    <xf numFmtId="167" fontId="1" fillId="4" borderId="7" xfId="0" applyNumberFormat="1" applyFont="1" applyFill="1" applyBorder="1"/>
    <xf numFmtId="2" fontId="1" fillId="0" borderId="8" xfId="0" applyNumberFormat="1" applyFont="1" applyBorder="1" applyAlignment="1">
      <alignment horizontal="center"/>
    </xf>
    <xf numFmtId="0" fontId="2" fillId="5" borderId="15" xfId="0" applyNumberFormat="1" applyFont="1" applyFill="1" applyBorder="1" applyAlignment="1">
      <alignment vertical="center"/>
    </xf>
    <xf numFmtId="2" fontId="2" fillId="0" borderId="7" xfId="0" applyNumberFormat="1" applyFont="1" applyFill="1" applyBorder="1" applyAlignment="1">
      <alignment vertical="center"/>
    </xf>
    <xf numFmtId="2" fontId="2" fillId="0" borderId="3" xfId="0" applyNumberFormat="1" applyFont="1" applyFill="1" applyBorder="1" applyAlignment="1">
      <alignment vertical="center"/>
    </xf>
    <xf numFmtId="2" fontId="2" fillId="0" borderId="6" xfId="0" applyNumberFormat="1" applyFont="1" applyFill="1" applyBorder="1" applyAlignment="1">
      <alignment vertical="center"/>
    </xf>
    <xf numFmtId="0" fontId="3" fillId="2" borderId="15" xfId="0" applyNumberFormat="1" applyFont="1" applyFill="1" applyBorder="1"/>
    <xf numFmtId="2" fontId="1" fillId="3" borderId="15" xfId="0" applyNumberFormat="1" applyFont="1" applyFill="1" applyBorder="1" applyAlignment="1">
      <alignment horizontal="center"/>
    </xf>
    <xf numFmtId="167" fontId="1" fillId="0" borderId="4" xfId="0" applyNumberFormat="1" applyFont="1" applyBorder="1" applyAlignment="1">
      <alignment horizontal="center"/>
    </xf>
    <xf numFmtId="0" fontId="2" fillId="0" borderId="4" xfId="0" applyNumberFormat="1" applyFont="1" applyFill="1" applyBorder="1" applyAlignment="1">
      <alignment vertical="center"/>
    </xf>
    <xf numFmtId="0" fontId="1" fillId="0" borderId="5" xfId="0" applyFont="1" applyBorder="1" applyAlignment="1">
      <alignment horizontal="center"/>
    </xf>
    <xf numFmtId="0" fontId="3" fillId="2" borderId="0" xfId="0" applyFont="1" applyFill="1" applyAlignment="1">
      <alignment horizontal="left"/>
    </xf>
    <xf numFmtId="0" fontId="1" fillId="0" borderId="0" xfId="0" applyFont="1" applyAlignment="1">
      <alignment horizontal="center"/>
    </xf>
    <xf numFmtId="0" fontId="1" fillId="0" borderId="11" xfId="0" applyFont="1" applyBorder="1" applyAlignment="1">
      <alignment horizontal="center"/>
    </xf>
    <xf numFmtId="0" fontId="2" fillId="0" borderId="15" xfId="0" applyNumberFormat="1" applyFont="1" applyFill="1" applyBorder="1" applyAlignment="1">
      <alignment vertical="center"/>
    </xf>
    <xf numFmtId="167" fontId="2" fillId="0" borderId="10" xfId="0" applyNumberFormat="1" applyFont="1" applyFill="1" applyBorder="1" applyAlignment="1">
      <alignment vertical="center"/>
    </xf>
    <xf numFmtId="2" fontId="2" fillId="0" borderId="10" xfId="0" applyNumberFormat="1" applyFont="1" applyFill="1" applyBorder="1" applyAlignment="1">
      <alignment vertical="center"/>
    </xf>
    <xf numFmtId="167" fontId="2" fillId="0" borderId="11" xfId="0" applyNumberFormat="1" applyFont="1" applyFill="1" applyBorder="1" applyAlignment="1">
      <alignment vertical="center"/>
    </xf>
    <xf numFmtId="0" fontId="2" fillId="0" borderId="11" xfId="0" applyNumberFormat="1" applyFont="1" applyFill="1" applyBorder="1" applyAlignment="1">
      <alignment vertical="center"/>
    </xf>
    <xf numFmtId="167" fontId="2" fillId="0" borderId="15" xfId="0" applyNumberFormat="1" applyFont="1" applyFill="1" applyBorder="1" applyAlignment="1">
      <alignment vertical="center"/>
    </xf>
    <xf numFmtId="2" fontId="2" fillId="0" borderId="8" xfId="0" applyNumberFormat="1" applyFont="1" applyFill="1" applyBorder="1" applyAlignment="1">
      <alignment vertical="center"/>
    </xf>
    <xf numFmtId="0" fontId="2" fillId="10" borderId="15" xfId="0" applyNumberFormat="1" applyFont="1" applyFill="1" applyBorder="1"/>
    <xf numFmtId="0" fontId="2" fillId="3" borderId="0" xfId="0" applyFont="1" applyFill="1"/>
    <xf numFmtId="2" fontId="1" fillId="0" borderId="7" xfId="0" applyNumberFormat="1" applyFont="1" applyBorder="1" applyAlignment="1">
      <alignment horizontal="center"/>
    </xf>
    <xf numFmtId="2" fontId="1" fillId="0" borderId="15" xfId="0" applyNumberFormat="1" applyFont="1" applyBorder="1" applyAlignment="1">
      <alignment horizontal="center"/>
    </xf>
    <xf numFmtId="0" fontId="2" fillId="0" borderId="0" xfId="0" applyFont="1" applyFill="1" applyAlignment="1">
      <alignment horizontal="center"/>
    </xf>
    <xf numFmtId="0" fontId="1" fillId="0" borderId="0" xfId="0" applyFont="1" applyAlignment="1">
      <alignment horizontal="center"/>
    </xf>
    <xf numFmtId="0" fontId="16" fillId="6" borderId="2" xfId="0" applyFont="1" applyFill="1" applyBorder="1" applyAlignment="1">
      <alignment vertical="center" wrapText="1"/>
    </xf>
    <xf numFmtId="0" fontId="16" fillId="6" borderId="6" xfId="0" applyFont="1" applyFill="1" applyBorder="1" applyAlignment="1">
      <alignment vertical="center" wrapText="1"/>
    </xf>
    <xf numFmtId="0" fontId="16" fillId="6" borderId="7" xfId="0" applyFont="1" applyFill="1" applyBorder="1" applyAlignment="1">
      <alignment vertical="center" wrapText="1"/>
    </xf>
    <xf numFmtId="0" fontId="16" fillId="6" borderId="8" xfId="0" applyFont="1" applyFill="1" applyBorder="1" applyAlignment="1">
      <alignment vertical="center" wrapText="1"/>
    </xf>
    <xf numFmtId="0" fontId="16" fillId="6" borderId="5" xfId="0" applyFont="1" applyFill="1" applyBorder="1" applyAlignment="1">
      <alignment vertical="center" wrapText="1"/>
    </xf>
    <xf numFmtId="0" fontId="16" fillId="6" borderId="9" xfId="0" applyFont="1" applyFill="1" applyBorder="1" applyAlignment="1">
      <alignment vertical="center" wrapText="1"/>
    </xf>
    <xf numFmtId="0" fontId="16" fillId="6" borderId="3" xfId="0" applyFont="1" applyFill="1" applyBorder="1" applyAlignment="1">
      <alignment vertical="center" wrapText="1"/>
    </xf>
    <xf numFmtId="0" fontId="16" fillId="6" borderId="0" xfId="0" applyFont="1" applyFill="1" applyBorder="1" applyAlignment="1">
      <alignment vertical="center" wrapText="1"/>
    </xf>
    <xf numFmtId="0" fontId="16" fillId="6" borderId="1" xfId="0" applyFont="1" applyFill="1" applyBorder="1" applyAlignment="1">
      <alignment vertical="center" wrapText="1"/>
    </xf>
    <xf numFmtId="0" fontId="1" fillId="0" borderId="12" xfId="0" applyFont="1" applyBorder="1" applyAlignment="1">
      <alignment horizontal="center"/>
    </xf>
    <xf numFmtId="0" fontId="1" fillId="0" borderId="0" xfId="0" applyFont="1" applyAlignment="1">
      <alignment horizontal="center"/>
    </xf>
    <xf numFmtId="9" fontId="17" fillId="2" borderId="0" xfId="0" applyNumberFormat="1" applyFont="1" applyFill="1"/>
    <xf numFmtId="0" fontId="1" fillId="0" borderId="10" xfId="0" applyNumberFormat="1" applyFont="1" applyFill="1" applyBorder="1"/>
    <xf numFmtId="167" fontId="1" fillId="0" borderId="0" xfId="0" applyNumberFormat="1" applyFont="1" applyFill="1"/>
    <xf numFmtId="0" fontId="2" fillId="3" borderId="0" xfId="0" applyFont="1" applyFill="1" applyAlignment="1">
      <alignment horizontal="center"/>
    </xf>
    <xf numFmtId="0" fontId="2" fillId="3" borderId="0" xfId="0" applyFont="1" applyFill="1" applyAlignment="1">
      <alignment horizontal="left"/>
    </xf>
    <xf numFmtId="0" fontId="8" fillId="0" borderId="13" xfId="0" applyFont="1" applyFill="1" applyBorder="1"/>
    <xf numFmtId="2" fontId="8" fillId="0" borderId="13" xfId="0" applyNumberFormat="1" applyFont="1" applyFill="1" applyBorder="1"/>
    <xf numFmtId="0" fontId="8" fillId="0" borderId="14" xfId="0" applyFont="1" applyFill="1" applyBorder="1"/>
    <xf numFmtId="0" fontId="4" fillId="0" borderId="0" xfId="0" applyFont="1" applyFill="1" applyBorder="1"/>
    <xf numFmtId="0" fontId="1" fillId="10" borderId="6" xfId="0" applyNumberFormat="1" applyFont="1" applyFill="1" applyBorder="1"/>
    <xf numFmtId="0" fontId="1" fillId="10" borderId="8" xfId="0" applyNumberFormat="1" applyFont="1" applyFill="1" applyBorder="1"/>
    <xf numFmtId="0" fontId="38" fillId="10" borderId="8" xfId="0" applyNumberFormat="1" applyFont="1" applyFill="1" applyBorder="1"/>
    <xf numFmtId="0" fontId="2" fillId="10" borderId="8" xfId="0" applyNumberFormat="1" applyFont="1" applyFill="1" applyBorder="1"/>
    <xf numFmtId="0" fontId="1" fillId="10" borderId="9" xfId="0" applyNumberFormat="1" applyFont="1" applyFill="1" applyBorder="1"/>
    <xf numFmtId="0" fontId="32" fillId="0" borderId="8" xfId="0" applyNumberFormat="1" applyFont="1" applyFill="1" applyBorder="1"/>
    <xf numFmtId="0" fontId="1" fillId="0" borderId="9" xfId="0" applyNumberFormat="1" applyFont="1" applyBorder="1"/>
    <xf numFmtId="0" fontId="1" fillId="10" borderId="2" xfId="0" applyNumberFormat="1" applyFont="1" applyFill="1" applyBorder="1"/>
    <xf numFmtId="0" fontId="1" fillId="10" borderId="7" xfId="0" applyNumberFormat="1" applyFont="1" applyFill="1" applyBorder="1"/>
    <xf numFmtId="0" fontId="38" fillId="10" borderId="7" xfId="0" applyNumberFormat="1" applyFont="1" applyFill="1" applyBorder="1"/>
    <xf numFmtId="0" fontId="2" fillId="10" borderId="7" xfId="0" applyNumberFormat="1" applyFont="1" applyFill="1" applyBorder="1"/>
    <xf numFmtId="0" fontId="32" fillId="10" borderId="7" xfId="0" applyNumberFormat="1" applyFont="1" applyFill="1" applyBorder="1"/>
    <xf numFmtId="0" fontId="32" fillId="10" borderId="8" xfId="0" applyNumberFormat="1" applyFont="1" applyFill="1" applyBorder="1"/>
    <xf numFmtId="0" fontId="32" fillId="0" borderId="7" xfId="0" applyNumberFormat="1" applyFont="1" applyFill="1" applyBorder="1"/>
    <xf numFmtId="0" fontId="3" fillId="2" borderId="0" xfId="0" applyNumberFormat="1" applyFont="1" applyFill="1" applyBorder="1" applyAlignment="1">
      <alignment horizontal="right"/>
    </xf>
    <xf numFmtId="0" fontId="40" fillId="2" borderId="0" xfId="0" applyFont="1" applyFill="1" applyBorder="1"/>
    <xf numFmtId="2" fontId="1" fillId="10" borderId="0" xfId="0" applyNumberFormat="1" applyFont="1" applyFill="1"/>
    <xf numFmtId="0" fontId="3" fillId="2" borderId="14" xfId="0" applyFont="1" applyFill="1" applyBorder="1"/>
    <xf numFmtId="0" fontId="2" fillId="0" borderId="5" xfId="1" applyFont="1" applyFill="1" applyBorder="1"/>
    <xf numFmtId="0" fontId="2" fillId="0" borderId="1" xfId="1" applyFont="1" applyFill="1" applyBorder="1"/>
    <xf numFmtId="0" fontId="1" fillId="0" borderId="14" xfId="0" applyFont="1" applyBorder="1" applyAlignment="1">
      <alignment horizontal="center"/>
    </xf>
    <xf numFmtId="0" fontId="1" fillId="0" borderId="0" xfId="0" applyFont="1" applyAlignment="1">
      <alignment horizontal="center"/>
    </xf>
    <xf numFmtId="0" fontId="1" fillId="0" borderId="10" xfId="0" applyFont="1" applyBorder="1" applyAlignment="1">
      <alignment horizontal="center"/>
    </xf>
    <xf numFmtId="0" fontId="2" fillId="0" borderId="0" xfId="0" applyFont="1" applyFill="1" applyAlignment="1">
      <alignment horizontal="center"/>
    </xf>
    <xf numFmtId="0" fontId="3" fillId="2" borderId="0" xfId="0" applyFont="1" applyFill="1" applyAlignment="1">
      <alignment horizontal="left"/>
    </xf>
    <xf numFmtId="0" fontId="1" fillId="0" borderId="0" xfId="0" applyFont="1" applyAlignment="1">
      <alignment horizontal="center"/>
    </xf>
    <xf numFmtId="0" fontId="1" fillId="0" borderId="0" xfId="0" applyFont="1" applyAlignment="1">
      <alignment horizontal="left"/>
    </xf>
    <xf numFmtId="0" fontId="1" fillId="0" borderId="15" xfId="0" applyFont="1" applyBorder="1" applyAlignment="1">
      <alignment horizontal="center"/>
    </xf>
    <xf numFmtId="0" fontId="1" fillId="0" borderId="11" xfId="0" applyFont="1" applyBorder="1" applyAlignment="1">
      <alignment horizontal="center"/>
    </xf>
    <xf numFmtId="167" fontId="1" fillId="0" borderId="10" xfId="0" applyNumberFormat="1" applyFont="1" applyBorder="1"/>
    <xf numFmtId="0" fontId="21" fillId="0" borderId="0" xfId="0" applyFont="1" applyFill="1" applyBorder="1"/>
    <xf numFmtId="0" fontId="1" fillId="0" borderId="0" xfId="0" applyFont="1" applyFill="1" applyBorder="1" applyAlignment="1">
      <alignment horizontal="right" vertical="center"/>
    </xf>
    <xf numFmtId="0" fontId="1" fillId="0" borderId="0" xfId="0" applyNumberFormat="1" applyFont="1" applyFill="1" applyBorder="1" applyAlignment="1"/>
    <xf numFmtId="0" fontId="1" fillId="0" borderId="0" xfId="0" applyFont="1" applyFill="1" applyBorder="1" applyAlignment="1">
      <alignment horizontal="right"/>
    </xf>
    <xf numFmtId="0" fontId="2" fillId="0" borderId="0" xfId="0" applyFont="1" applyFill="1" applyBorder="1" applyAlignment="1"/>
    <xf numFmtId="164" fontId="1" fillId="0" borderId="0" xfId="0" applyNumberFormat="1" applyFont="1" applyFill="1" applyBorder="1" applyAlignment="1"/>
    <xf numFmtId="2" fontId="2" fillId="0" borderId="0" xfId="0" applyNumberFormat="1" applyFont="1" applyFill="1" applyBorder="1" applyAlignment="1"/>
    <xf numFmtId="0" fontId="2" fillId="0" borderId="0" xfId="0" applyFont="1" applyFill="1" applyBorder="1" applyAlignment="1">
      <alignment horizontal="center"/>
    </xf>
    <xf numFmtId="0" fontId="18" fillId="0" borderId="13" xfId="0" applyFont="1" applyFill="1" applyBorder="1" applyAlignment="1">
      <alignment horizontal="center"/>
    </xf>
    <xf numFmtId="0" fontId="42" fillId="0" borderId="13" xfId="0" applyFont="1" applyFill="1" applyBorder="1"/>
    <xf numFmtId="0" fontId="22" fillId="0" borderId="0" xfId="0" applyFont="1" applyFill="1" applyBorder="1"/>
    <xf numFmtId="164" fontId="43" fillId="0" borderId="0" xfId="0" applyNumberFormat="1" applyFont="1" applyFill="1" applyBorder="1"/>
    <xf numFmtId="0" fontId="43" fillId="0" borderId="0" xfId="0" applyFont="1" applyFill="1" applyBorder="1"/>
    <xf numFmtId="164" fontId="2" fillId="0" borderId="0" xfId="0" applyNumberFormat="1" applyFont="1" applyFill="1" applyBorder="1" applyAlignment="1"/>
    <xf numFmtId="0" fontId="10" fillId="0" borderId="0" xfId="0" applyNumberFormat="1" applyFont="1" applyFill="1" applyBorder="1" applyAlignment="1">
      <alignment horizontal="right"/>
    </xf>
    <xf numFmtId="0" fontId="18" fillId="6" borderId="12" xfId="1" applyFont="1" applyFill="1" applyBorder="1" applyAlignment="1"/>
    <xf numFmtId="0" fontId="18" fillId="6" borderId="13" xfId="1" applyFont="1" applyFill="1" applyBorder="1" applyAlignment="1"/>
    <xf numFmtId="0" fontId="18" fillId="6" borderId="14" xfId="1" applyFont="1" applyFill="1" applyBorder="1" applyAlignment="1"/>
    <xf numFmtId="0" fontId="39" fillId="6" borderId="10" xfId="0" applyFont="1" applyFill="1" applyBorder="1" applyAlignment="1">
      <alignment wrapText="1"/>
    </xf>
    <xf numFmtId="0" fontId="39" fillId="6" borderId="11" xfId="0" applyFont="1" applyFill="1" applyBorder="1" applyAlignment="1">
      <alignment wrapText="1"/>
    </xf>
    <xf numFmtId="0" fontId="8" fillId="6" borderId="4" xfId="0" applyFont="1" applyFill="1" applyBorder="1" applyAlignment="1">
      <alignment horizontal="center" vertical="center" shrinkToFit="1"/>
    </xf>
    <xf numFmtId="0" fontId="8" fillId="6" borderId="12" xfId="0" applyFont="1" applyFill="1" applyBorder="1" applyAlignment="1">
      <alignment horizontal="center" vertical="center" shrinkToFit="1"/>
    </xf>
    <xf numFmtId="2" fontId="3" fillId="2" borderId="0" xfId="0" applyNumberFormat="1" applyFont="1" applyFill="1" applyBorder="1" applyAlignment="1"/>
    <xf numFmtId="2" fontId="1" fillId="11" borderId="7" xfId="0" applyNumberFormat="1" applyFont="1" applyFill="1" applyBorder="1"/>
    <xf numFmtId="0" fontId="1" fillId="11" borderId="8" xfId="0" applyFont="1" applyFill="1" applyBorder="1"/>
    <xf numFmtId="0" fontId="1" fillId="0" borderId="12" xfId="0" applyFont="1" applyFill="1" applyBorder="1" applyAlignment="1">
      <alignment horizontal="center" vertical="center" shrinkToFit="1"/>
    </xf>
    <xf numFmtId="0" fontId="1" fillId="0" borderId="4" xfId="0" applyFont="1" applyFill="1" applyBorder="1" applyAlignment="1">
      <alignment horizontal="center" vertical="center" shrinkToFit="1"/>
    </xf>
    <xf numFmtId="0" fontId="2" fillId="0" borderId="4" xfId="1" applyFont="1" applyFill="1" applyBorder="1" applyAlignment="1">
      <alignment horizontal="center" wrapText="1"/>
    </xf>
    <xf numFmtId="0" fontId="2" fillId="0" borderId="12" xfId="1" applyFont="1" applyFill="1" applyBorder="1" applyAlignment="1">
      <alignment horizontal="center" wrapText="1"/>
    </xf>
    <xf numFmtId="0" fontId="1" fillId="0" borderId="5" xfId="0" applyFont="1" applyFill="1" applyBorder="1" applyAlignment="1">
      <alignment wrapText="1"/>
    </xf>
    <xf numFmtId="0" fontId="1" fillId="0" borderId="9" xfId="0" applyFont="1" applyFill="1" applyBorder="1" applyAlignment="1">
      <alignment wrapText="1"/>
    </xf>
    <xf numFmtId="164" fontId="43" fillId="0" borderId="5" xfId="0" applyNumberFormat="1" applyFont="1" applyFill="1" applyBorder="1" applyAlignment="1">
      <alignment wrapText="1"/>
    </xf>
    <xf numFmtId="167" fontId="43" fillId="0" borderId="8" xfId="0" applyNumberFormat="1" applyFont="1" applyFill="1" applyBorder="1" applyAlignment="1">
      <alignment horizontal="center"/>
    </xf>
    <xf numFmtId="167" fontId="43" fillId="0" borderId="7" xfId="0" applyNumberFormat="1" applyFont="1" applyFill="1" applyBorder="1" applyAlignment="1">
      <alignment horizontal="center"/>
    </xf>
    <xf numFmtId="0" fontId="2" fillId="0" borderId="0" xfId="0" applyFont="1" applyFill="1" applyBorder="1" applyAlignment="1">
      <alignment horizontal="center"/>
    </xf>
    <xf numFmtId="0" fontId="21" fillId="0" borderId="0" xfId="0" applyFont="1"/>
    <xf numFmtId="0" fontId="2" fillId="0" borderId="4" xfId="0" applyFont="1" applyBorder="1" applyAlignment="1">
      <alignment horizontal="center"/>
    </xf>
    <xf numFmtId="167" fontId="1" fillId="0" borderId="0" xfId="0" applyNumberFormat="1" applyFont="1" applyFill="1" applyBorder="1" applyAlignment="1">
      <alignment horizontal="center"/>
    </xf>
    <xf numFmtId="167" fontId="1" fillId="0" borderId="8" xfId="0" applyNumberFormat="1" applyFont="1" applyFill="1" applyBorder="1" applyAlignment="1">
      <alignment horizontal="center"/>
    </xf>
    <xf numFmtId="0" fontId="21" fillId="0" borderId="0" xfId="0" applyFont="1" applyBorder="1"/>
    <xf numFmtId="0" fontId="2" fillId="0" borderId="2" xfId="0" applyFont="1" applyBorder="1" applyAlignment="1"/>
    <xf numFmtId="0" fontId="18" fillId="0" borderId="3" xfId="0" applyFont="1" applyBorder="1" applyAlignment="1"/>
    <xf numFmtId="0" fontId="18" fillId="0" borderId="6" xfId="0" applyFont="1" applyBorder="1" applyAlignment="1"/>
    <xf numFmtId="0" fontId="22" fillId="0" borderId="0" xfId="0" applyFont="1" applyBorder="1"/>
    <xf numFmtId="0" fontId="18" fillId="0" borderId="0" xfId="0" applyFont="1" applyBorder="1" applyAlignment="1">
      <alignment horizontal="center"/>
    </xf>
    <xf numFmtId="0" fontId="2" fillId="0" borderId="14" xfId="0" applyFont="1" applyBorder="1"/>
    <xf numFmtId="0" fontId="2" fillId="0" borderId="8" xfId="0" applyFont="1" applyBorder="1"/>
    <xf numFmtId="0" fontId="10" fillId="0" borderId="7" xfId="0" applyFont="1" applyFill="1" applyBorder="1"/>
    <xf numFmtId="0" fontId="1" fillId="10" borderId="0" xfId="0" applyFont="1" applyFill="1"/>
    <xf numFmtId="164" fontId="43" fillId="0" borderId="3" xfId="0" applyNumberFormat="1" applyFont="1" applyFill="1" applyBorder="1" applyAlignment="1"/>
    <xf numFmtId="0" fontId="43" fillId="0" borderId="6" xfId="0" applyFont="1" applyFill="1" applyBorder="1"/>
    <xf numFmtId="0" fontId="1" fillId="0" borderId="6" xfId="0" applyFont="1" applyFill="1" applyBorder="1"/>
    <xf numFmtId="0" fontId="1" fillId="0" borderId="0" xfId="0" applyFont="1" applyBorder="1" applyAlignment="1">
      <alignment vertical="center"/>
    </xf>
    <xf numFmtId="167" fontId="1" fillId="11" borderId="15" xfId="0" applyNumberFormat="1" applyFont="1" applyFill="1" applyBorder="1" applyAlignment="1">
      <alignment horizontal="center"/>
    </xf>
    <xf numFmtId="0" fontId="12" fillId="0" borderId="0" xfId="0" applyFont="1" applyFill="1"/>
    <xf numFmtId="0" fontId="12" fillId="0" borderId="0" xfId="0" applyFont="1"/>
    <xf numFmtId="0" fontId="2" fillId="0" borderId="14" xfId="0" applyFont="1" applyBorder="1" applyAlignment="1">
      <alignment horizontal="center"/>
    </xf>
    <xf numFmtId="168" fontId="1" fillId="0" borderId="0" xfId="0" applyNumberFormat="1" applyFont="1" applyAlignment="1">
      <alignment horizontal="center"/>
    </xf>
    <xf numFmtId="0" fontId="8" fillId="0" borderId="0" xfId="0" applyFont="1" applyAlignment="1">
      <alignment horizontal="center"/>
    </xf>
    <xf numFmtId="0" fontId="1" fillId="5" borderId="1" xfId="0" applyFont="1" applyFill="1" applyBorder="1"/>
    <xf numFmtId="0" fontId="1" fillId="0" borderId="1" xfId="0" applyFont="1" applyBorder="1" applyAlignment="1">
      <alignment horizontal="right"/>
    </xf>
    <xf numFmtId="164" fontId="2" fillId="0" borderId="1" xfId="0" applyNumberFormat="1" applyFont="1" applyFill="1" applyBorder="1"/>
    <xf numFmtId="0" fontId="1" fillId="0" borderId="0" xfId="0" applyFont="1" applyFill="1" applyAlignment="1">
      <alignment horizontal="left"/>
    </xf>
    <xf numFmtId="0" fontId="3" fillId="0" borderId="0" xfId="0" applyFont="1" applyFill="1" applyAlignment="1">
      <alignment horizontal="center"/>
    </xf>
    <xf numFmtId="0" fontId="2" fillId="0" borderId="0" xfId="0" applyNumberFormat="1" applyFont="1" applyFill="1" applyAlignment="1">
      <alignment horizontal="center"/>
    </xf>
    <xf numFmtId="2" fontId="1" fillId="0" borderId="15" xfId="0" applyNumberFormat="1" applyFont="1" applyFill="1" applyBorder="1"/>
    <xf numFmtId="0" fontId="1" fillId="0" borderId="11" xfId="0" applyFont="1" applyFill="1" applyBorder="1"/>
    <xf numFmtId="2" fontId="3" fillId="2" borderId="15" xfId="0" applyNumberFormat="1" applyFont="1" applyFill="1" applyBorder="1"/>
    <xf numFmtId="0" fontId="1" fillId="0" borderId="15" xfId="0" applyFont="1" applyFill="1" applyBorder="1" applyAlignment="1">
      <alignment horizontal="right"/>
    </xf>
    <xf numFmtId="0" fontId="1" fillId="0" borderId="12" xfId="0" applyFont="1" applyBorder="1" applyAlignment="1">
      <alignment horizontal="center"/>
    </xf>
    <xf numFmtId="0" fontId="1" fillId="0" borderId="14" xfId="0" applyFont="1" applyBorder="1" applyAlignment="1">
      <alignment horizontal="center"/>
    </xf>
    <xf numFmtId="0" fontId="1" fillId="0" borderId="0" xfId="0" applyFont="1" applyBorder="1" applyAlignment="1">
      <alignment horizontal="left"/>
    </xf>
    <xf numFmtId="0" fontId="1" fillId="0" borderId="14" xfId="0" applyFont="1" applyBorder="1" applyAlignment="1">
      <alignment horizontal="center"/>
    </xf>
    <xf numFmtId="0" fontId="1" fillId="0" borderId="5" xfId="0" applyFont="1" applyBorder="1" applyAlignment="1">
      <alignment horizontal="center"/>
    </xf>
    <xf numFmtId="0" fontId="1" fillId="0" borderId="9" xfId="0" applyFont="1" applyBorder="1" applyAlignment="1">
      <alignment horizontal="center"/>
    </xf>
    <xf numFmtId="0" fontId="1" fillId="5" borderId="0" xfId="0" applyFont="1" applyFill="1" applyBorder="1"/>
    <xf numFmtId="164" fontId="1" fillId="0" borderId="0" xfId="0" applyNumberFormat="1" applyFont="1" applyAlignment="1">
      <alignment horizontal="left"/>
    </xf>
    <xf numFmtId="2" fontId="3" fillId="2" borderId="0" xfId="0" applyNumberFormat="1" applyFont="1" applyFill="1" applyBorder="1" applyAlignment="1">
      <alignment horizontal="right"/>
    </xf>
    <xf numFmtId="167" fontId="3" fillId="2" borderId="0" xfId="0" applyNumberFormat="1" applyFont="1" applyFill="1" applyBorder="1"/>
    <xf numFmtId="0" fontId="8" fillId="0" borderId="0" xfId="0" applyFont="1" applyBorder="1" applyAlignment="1">
      <alignment horizontal="left"/>
    </xf>
    <xf numFmtId="0" fontId="1" fillId="0" borderId="8" xfId="0" applyFont="1" applyBorder="1" applyAlignment="1">
      <alignment horizontal="left"/>
    </xf>
    <xf numFmtId="2" fontId="1" fillId="4" borderId="7" xfId="0" applyNumberFormat="1" applyFont="1" applyFill="1" applyBorder="1"/>
    <xf numFmtId="0" fontId="1" fillId="0" borderId="12" xfId="0" applyFont="1" applyBorder="1" applyAlignment="1">
      <alignment horizontal="left"/>
    </xf>
    <xf numFmtId="0" fontId="22" fillId="0" borderId="5" xfId="0" applyFont="1" applyFill="1" applyBorder="1"/>
    <xf numFmtId="0" fontId="48" fillId="0" borderId="7" xfId="0" applyFont="1" applyFill="1" applyBorder="1"/>
    <xf numFmtId="167" fontId="1" fillId="0" borderId="2" xfId="0" applyNumberFormat="1" applyFont="1" applyBorder="1"/>
    <xf numFmtId="2" fontId="1" fillId="12" borderId="7" xfId="0" applyNumberFormat="1" applyFont="1" applyFill="1" applyBorder="1"/>
    <xf numFmtId="167" fontId="3" fillId="0" borderId="15" xfId="0" applyNumberFormat="1" applyFont="1" applyFill="1" applyBorder="1"/>
    <xf numFmtId="167" fontId="3" fillId="0" borderId="8" xfId="0" applyNumberFormat="1" applyFont="1" applyFill="1" applyBorder="1"/>
    <xf numFmtId="1" fontId="2" fillId="0" borderId="11" xfId="0" applyNumberFormat="1" applyFont="1" applyFill="1" applyBorder="1" applyAlignment="1">
      <alignment vertical="center"/>
    </xf>
    <xf numFmtId="1" fontId="2" fillId="0" borderId="5" xfId="0" applyNumberFormat="1" applyFont="1" applyFill="1" applyBorder="1" applyAlignment="1">
      <alignment vertical="center"/>
    </xf>
    <xf numFmtId="0" fontId="2" fillId="0" borderId="12" xfId="0" applyNumberFormat="1" applyFont="1" applyFill="1" applyBorder="1" applyAlignment="1">
      <alignment vertical="center"/>
    </xf>
    <xf numFmtId="0" fontId="2" fillId="0" borderId="13" xfId="0" applyNumberFormat="1" applyFont="1" applyFill="1" applyBorder="1" applyAlignment="1">
      <alignment vertical="center"/>
    </xf>
    <xf numFmtId="2" fontId="2" fillId="3" borderId="7" xfId="0" applyNumberFormat="1" applyFont="1" applyFill="1" applyBorder="1" applyAlignment="1">
      <alignment vertical="center"/>
    </xf>
    <xf numFmtId="0" fontId="2" fillId="0" borderId="2" xfId="0" applyNumberFormat="1" applyFont="1" applyFill="1" applyBorder="1" applyAlignment="1">
      <alignment horizontal="left" vertical="center"/>
    </xf>
    <xf numFmtId="0" fontId="2" fillId="0" borderId="3" xfId="0" applyNumberFormat="1" applyFont="1" applyFill="1" applyBorder="1" applyAlignment="1">
      <alignment horizontal="center" vertical="center"/>
    </xf>
    <xf numFmtId="2" fontId="2" fillId="0" borderId="2" xfId="0" applyNumberFormat="1" applyFont="1" applyFill="1" applyBorder="1" applyAlignment="1">
      <alignment vertical="center"/>
    </xf>
    <xf numFmtId="0" fontId="2" fillId="0" borderId="14" xfId="0" applyNumberFormat="1" applyFont="1" applyFill="1" applyBorder="1" applyAlignment="1">
      <alignment vertical="center"/>
    </xf>
    <xf numFmtId="0" fontId="2" fillId="0" borderId="5" xfId="0" applyNumberFormat="1" applyFont="1" applyFill="1" applyBorder="1" applyAlignment="1">
      <alignment horizontal="right" vertical="center"/>
    </xf>
    <xf numFmtId="0" fontId="1" fillId="0" borderId="7" xfId="0" applyNumberFormat="1" applyFont="1" applyBorder="1"/>
    <xf numFmtId="1" fontId="2" fillId="0" borderId="7" xfId="0" applyNumberFormat="1" applyFont="1" applyFill="1" applyBorder="1" applyAlignment="1">
      <alignment vertical="center"/>
    </xf>
    <xf numFmtId="1" fontId="1" fillId="0" borderId="7" xfId="0" applyNumberFormat="1" applyFont="1" applyBorder="1"/>
    <xf numFmtId="0" fontId="2" fillId="0" borderId="2" xfId="0" applyNumberFormat="1" applyFont="1" applyFill="1" applyBorder="1" applyAlignment="1">
      <alignment horizontal="right" vertical="center"/>
    </xf>
    <xf numFmtId="0" fontId="2" fillId="0" borderId="10" xfId="0" applyNumberFormat="1" applyFont="1" applyFill="1" applyBorder="1" applyAlignment="1">
      <alignment horizontal="right" vertical="center"/>
    </xf>
    <xf numFmtId="2" fontId="2" fillId="0" borderId="15" xfId="0" applyNumberFormat="1" applyFont="1" applyFill="1" applyBorder="1" applyAlignment="1">
      <alignment vertical="center"/>
    </xf>
    <xf numFmtId="0" fontId="1" fillId="0" borderId="6" xfId="0" applyFont="1" applyBorder="1" applyAlignment="1">
      <alignment horizontal="left"/>
    </xf>
    <xf numFmtId="2" fontId="2" fillId="0" borderId="8" xfId="0" applyNumberFormat="1" applyFont="1" applyFill="1" applyBorder="1" applyAlignment="1">
      <alignment horizontal="left" vertical="center"/>
    </xf>
    <xf numFmtId="2" fontId="2" fillId="0" borderId="9" xfId="0" applyNumberFormat="1" applyFont="1" applyFill="1" applyBorder="1" applyAlignment="1">
      <alignment horizontal="left" vertical="center"/>
    </xf>
    <xf numFmtId="0" fontId="2" fillId="0" borderId="5"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0" fontId="2" fillId="0" borderId="5" xfId="0" applyNumberFormat="1" applyFont="1" applyFill="1" applyBorder="1" applyAlignment="1">
      <alignment horizontal="center" vertical="center" wrapText="1"/>
    </xf>
    <xf numFmtId="0" fontId="2" fillId="0" borderId="9" xfId="0" applyNumberFormat="1" applyFont="1" applyFill="1" applyBorder="1" applyAlignment="1">
      <alignment horizontal="center" vertical="center" wrapText="1"/>
    </xf>
    <xf numFmtId="0" fontId="1" fillId="0" borderId="13" xfId="0" applyFont="1" applyBorder="1" applyAlignment="1">
      <alignment horizontal="left"/>
    </xf>
    <xf numFmtId="167" fontId="1" fillId="0" borderId="9" xfId="0" applyNumberFormat="1" applyFont="1" applyBorder="1" applyAlignment="1">
      <alignment horizontal="center"/>
    </xf>
    <xf numFmtId="167" fontId="2" fillId="0" borderId="0" xfId="0" applyNumberFormat="1" applyFont="1" applyFill="1" applyAlignment="1">
      <alignment vertical="center"/>
    </xf>
    <xf numFmtId="167" fontId="2" fillId="0" borderId="7" xfId="0" applyNumberFormat="1" applyFont="1" applyFill="1" applyBorder="1"/>
    <xf numFmtId="0" fontId="38" fillId="10" borderId="10" xfId="0" applyNumberFormat="1" applyFont="1" applyFill="1" applyBorder="1"/>
    <xf numFmtId="0" fontId="1" fillId="0" borderId="1" xfId="0" applyFont="1" applyFill="1" applyBorder="1"/>
    <xf numFmtId="0" fontId="1" fillId="0" borderId="9" xfId="0" applyFont="1" applyFill="1" applyBorder="1"/>
    <xf numFmtId="167" fontId="1" fillId="0" borderId="9" xfId="0" applyNumberFormat="1" applyFont="1" applyFill="1" applyBorder="1"/>
    <xf numFmtId="0" fontId="1" fillId="0" borderId="5" xfId="0" applyFont="1" applyFill="1" applyBorder="1" applyAlignment="1"/>
    <xf numFmtId="0" fontId="1" fillId="0" borderId="11" xfId="0" applyNumberFormat="1" applyFont="1" applyFill="1" applyBorder="1"/>
    <xf numFmtId="0" fontId="2" fillId="2" borderId="0" xfId="0" applyFont="1" applyFill="1"/>
    <xf numFmtId="0" fontId="1" fillId="0" borderId="14" xfId="0" applyFont="1" applyFill="1" applyBorder="1"/>
    <xf numFmtId="0" fontId="1" fillId="0" borderId="0" xfId="0" applyFont="1" applyFill="1" applyAlignment="1">
      <alignment horizontal="center"/>
    </xf>
    <xf numFmtId="0" fontId="1" fillId="0" borderId="0" xfId="0" applyFont="1" applyFill="1" applyAlignment="1">
      <alignment horizontal="right"/>
    </xf>
    <xf numFmtId="164" fontId="1" fillId="0" borderId="0" xfId="0" applyNumberFormat="1" applyFont="1" applyFill="1"/>
    <xf numFmtId="0" fontId="1" fillId="0" borderId="3" xfId="0" applyFont="1" applyFill="1" applyBorder="1"/>
    <xf numFmtId="167" fontId="2" fillId="0" borderId="0" xfId="0" applyNumberFormat="1" applyFont="1" applyFill="1"/>
    <xf numFmtId="164" fontId="1" fillId="0" borderId="0" xfId="0" applyNumberFormat="1" applyFont="1" applyFill="1" applyAlignment="1">
      <alignment horizontal="right"/>
    </xf>
    <xf numFmtId="0" fontId="4" fillId="0" borderId="0" xfId="0" applyFont="1" applyFill="1" applyAlignment="1"/>
    <xf numFmtId="0" fontId="3" fillId="2" borderId="2" xfId="0" applyFont="1" applyFill="1" applyBorder="1"/>
    <xf numFmtId="0" fontId="3" fillId="2" borderId="10" xfId="0" applyFont="1" applyFill="1" applyBorder="1"/>
    <xf numFmtId="0" fontId="3" fillId="2" borderId="3" xfId="0" applyFont="1" applyFill="1" applyBorder="1"/>
    <xf numFmtId="0" fontId="3" fillId="2" borderId="3" xfId="0" applyFont="1" applyFill="1" applyBorder="1" applyAlignment="1">
      <alignment horizontal="center"/>
    </xf>
    <xf numFmtId="0" fontId="7" fillId="0" borderId="6" xfId="0" quotePrefix="1" applyFont="1" applyFill="1" applyBorder="1"/>
    <xf numFmtId="164" fontId="1" fillId="0" borderId="8" xfId="0" applyNumberFormat="1" applyFont="1" applyFill="1" applyBorder="1"/>
    <xf numFmtId="164" fontId="1" fillId="0" borderId="14" xfId="0" applyNumberFormat="1" applyFont="1" applyFill="1" applyBorder="1"/>
    <xf numFmtId="164" fontId="1" fillId="0" borderId="7" xfId="0" applyNumberFormat="1" applyFont="1" applyFill="1" applyBorder="1"/>
    <xf numFmtId="164" fontId="1" fillId="0" borderId="12" xfId="0" applyNumberFormat="1" applyFont="1" applyFill="1" applyBorder="1"/>
    <xf numFmtId="0" fontId="3" fillId="2" borderId="7" xfId="0" applyNumberFormat="1" applyFont="1" applyFill="1" applyBorder="1"/>
    <xf numFmtId="0" fontId="3" fillId="2" borderId="8" xfId="0" applyNumberFormat="1" applyFont="1" applyFill="1" applyBorder="1"/>
    <xf numFmtId="164" fontId="1" fillId="0" borderId="15" xfId="0" applyNumberFormat="1" applyFont="1" applyFill="1" applyBorder="1"/>
    <xf numFmtId="0" fontId="19" fillId="0" borderId="12" xfId="0" applyFont="1" applyFill="1" applyBorder="1" applyAlignment="1">
      <alignment horizontal="center"/>
    </xf>
    <xf numFmtId="0" fontId="19" fillId="0" borderId="4" xfId="0" applyFont="1" applyFill="1" applyBorder="1" applyAlignment="1">
      <alignment horizontal="center"/>
    </xf>
    <xf numFmtId="0" fontId="19" fillId="0" borderId="7" xfId="0" applyFont="1" applyFill="1" applyBorder="1" applyAlignment="1">
      <alignment horizontal="center"/>
    </xf>
    <xf numFmtId="0" fontId="19" fillId="0" borderId="15" xfId="0" applyFont="1" applyFill="1" applyBorder="1" applyAlignment="1">
      <alignment horizontal="center"/>
    </xf>
    <xf numFmtId="0" fontId="19" fillId="0" borderId="5" xfId="0" applyFont="1" applyFill="1" applyBorder="1" applyAlignment="1">
      <alignment horizontal="center"/>
    </xf>
    <xf numFmtId="0" fontId="19" fillId="0" borderId="11" xfId="0" applyFont="1" applyFill="1" applyBorder="1" applyAlignment="1">
      <alignment horizontal="center"/>
    </xf>
    <xf numFmtId="2" fontId="1" fillId="0" borderId="13" xfId="0" applyNumberFormat="1" applyFont="1" applyFill="1" applyBorder="1"/>
    <xf numFmtId="168" fontId="1" fillId="0" borderId="0" xfId="0" applyNumberFormat="1" applyFont="1" applyBorder="1"/>
    <xf numFmtId="0" fontId="4" fillId="0" borderId="2" xfId="0" applyFont="1" applyBorder="1"/>
    <xf numFmtId="0" fontId="3" fillId="0" borderId="7" xfId="0" applyFont="1" applyBorder="1"/>
    <xf numFmtId="0" fontId="3" fillId="0" borderId="0" xfId="0" applyNumberFormat="1" applyFont="1" applyFill="1" applyBorder="1" applyAlignment="1">
      <alignment vertical="center"/>
    </xf>
    <xf numFmtId="0" fontId="3" fillId="0" borderId="0" xfId="0" applyFont="1" applyBorder="1"/>
    <xf numFmtId="0" fontId="3" fillId="0" borderId="8" xfId="0" applyFont="1" applyBorder="1"/>
    <xf numFmtId="0" fontId="3" fillId="0" borderId="15" xfId="0" applyFont="1" applyBorder="1"/>
    <xf numFmtId="2" fontId="3" fillId="0" borderId="8" xfId="0" applyNumberFormat="1" applyFont="1" applyBorder="1"/>
    <xf numFmtId="2" fontId="3" fillId="0" borderId="15" xfId="0" applyNumberFormat="1" applyFont="1" applyBorder="1"/>
    <xf numFmtId="0" fontId="17" fillId="0" borderId="7" xfId="0" applyFont="1" applyBorder="1"/>
    <xf numFmtId="0" fontId="3" fillId="0" borderId="0" xfId="0" applyFont="1"/>
    <xf numFmtId="167" fontId="3" fillId="0" borderId="15" xfId="0" applyNumberFormat="1" applyFont="1" applyBorder="1"/>
    <xf numFmtId="167" fontId="3" fillId="3" borderId="15" xfId="0" applyNumberFormat="1" applyFont="1" applyFill="1" applyBorder="1"/>
    <xf numFmtId="0" fontId="3" fillId="5" borderId="11" xfId="0" applyNumberFormat="1" applyFont="1" applyFill="1" applyBorder="1"/>
    <xf numFmtId="0" fontId="3" fillId="10" borderId="10" xfId="0" applyNumberFormat="1" applyFont="1" applyFill="1" applyBorder="1"/>
    <xf numFmtId="0" fontId="3" fillId="10" borderId="15" xfId="0" applyNumberFormat="1" applyFont="1" applyFill="1" applyBorder="1"/>
    <xf numFmtId="0" fontId="3" fillId="0" borderId="15" xfId="0" applyNumberFormat="1" applyFont="1" applyFill="1" applyBorder="1"/>
    <xf numFmtId="0" fontId="3" fillId="0" borderId="11" xfId="0" applyNumberFormat="1" applyFont="1" applyFill="1" applyBorder="1"/>
    <xf numFmtId="0" fontId="3" fillId="10" borderId="11" xfId="0" applyNumberFormat="1" applyFont="1" applyFill="1" applyBorder="1"/>
    <xf numFmtId="0" fontId="3" fillId="0" borderId="11" xfId="0" applyNumberFormat="1" applyFont="1" applyBorder="1"/>
    <xf numFmtId="0" fontId="3" fillId="0" borderId="8" xfId="0" applyNumberFormat="1" applyFont="1" applyFill="1" applyBorder="1"/>
    <xf numFmtId="0" fontId="1" fillId="0" borderId="15" xfId="0" applyNumberFormat="1" applyFont="1" applyBorder="1"/>
    <xf numFmtId="0" fontId="1" fillId="0" borderId="8" xfId="0" applyNumberFormat="1" applyFont="1" applyBorder="1"/>
    <xf numFmtId="0" fontId="3" fillId="0" borderId="9" xfId="0" applyNumberFormat="1" applyFont="1" applyFill="1" applyBorder="1"/>
    <xf numFmtId="0" fontId="50" fillId="10" borderId="10" xfId="0" applyNumberFormat="1" applyFont="1" applyFill="1" applyBorder="1"/>
    <xf numFmtId="0" fontId="3" fillId="10" borderId="9" xfId="0" applyNumberFormat="1" applyFont="1" applyFill="1" applyBorder="1"/>
    <xf numFmtId="167" fontId="3" fillId="0" borderId="8" xfId="0" applyNumberFormat="1" applyFont="1" applyBorder="1"/>
    <xf numFmtId="167" fontId="3" fillId="3" borderId="8" xfId="0" applyNumberFormat="1" applyFont="1" applyFill="1" applyBorder="1"/>
    <xf numFmtId="0" fontId="1" fillId="0" borderId="12" xfId="0" applyFont="1" applyBorder="1" applyAlignment="1">
      <alignment horizontal="center"/>
    </xf>
    <xf numFmtId="2" fontId="1" fillId="0" borderId="0" xfId="0" applyNumberFormat="1" applyFont="1" applyFill="1" applyAlignment="1">
      <alignment horizontal="center"/>
    </xf>
    <xf numFmtId="0" fontId="1" fillId="12" borderId="0" xfId="0" applyFont="1" applyFill="1" applyAlignment="1">
      <alignment horizontal="center"/>
    </xf>
    <xf numFmtId="2" fontId="1" fillId="0" borderId="0" xfId="0" applyNumberFormat="1" applyFont="1" applyAlignment="1">
      <alignment horizontal="left"/>
    </xf>
    <xf numFmtId="2" fontId="1" fillId="0" borderId="0" xfId="0" applyNumberFormat="1" applyFont="1" applyAlignment="1"/>
    <xf numFmtId="0" fontId="1" fillId="0" borderId="0" xfId="0" applyNumberFormat="1" applyFont="1" applyFill="1"/>
    <xf numFmtId="0" fontId="1" fillId="12" borderId="0" xfId="0" applyNumberFormat="1" applyFont="1" applyFill="1"/>
    <xf numFmtId="0" fontId="2" fillId="0" borderId="0" xfId="0" applyNumberFormat="1" applyFont="1" applyFill="1"/>
    <xf numFmtId="0" fontId="3" fillId="2" borderId="0" xfId="0" applyNumberFormat="1" applyFont="1" applyFill="1"/>
    <xf numFmtId="0" fontId="2" fillId="0" borderId="0" xfId="0" applyNumberFormat="1" applyFont="1" applyFill="1" applyBorder="1"/>
    <xf numFmtId="0" fontId="3" fillId="2" borderId="0" xfId="0" applyNumberFormat="1" applyFont="1" applyFill="1" applyAlignment="1">
      <alignment horizontal="center"/>
    </xf>
    <xf numFmtId="0" fontId="2" fillId="11" borderId="0" xfId="0" applyNumberFormat="1" applyFont="1" applyFill="1"/>
    <xf numFmtId="0" fontId="9" fillId="0" borderId="0" xfId="0" applyNumberFormat="1" applyFont="1" applyFill="1"/>
    <xf numFmtId="0" fontId="2" fillId="0" borderId="0" xfId="0" applyNumberFormat="1" applyFont="1" applyFill="1" applyBorder="1" applyAlignment="1">
      <alignment horizontal="center"/>
    </xf>
    <xf numFmtId="0" fontId="2" fillId="0" borderId="0" xfId="0" applyNumberFormat="1" applyFont="1" applyFill="1" applyBorder="1" applyAlignment="1">
      <alignment horizontal="left"/>
    </xf>
    <xf numFmtId="167" fontId="2" fillId="0" borderId="0" xfId="0" applyNumberFormat="1" applyFont="1" applyFill="1" applyBorder="1"/>
    <xf numFmtId="0" fontId="26" fillId="0" borderId="0" xfId="0" applyNumberFormat="1" applyFont="1" applyFill="1"/>
    <xf numFmtId="0" fontId="9" fillId="0" borderId="2" xfId="0" applyNumberFormat="1" applyFont="1" applyFill="1" applyBorder="1"/>
    <xf numFmtId="0" fontId="2" fillId="0" borderId="3" xfId="0" applyNumberFormat="1" applyFont="1" applyFill="1" applyBorder="1"/>
    <xf numFmtId="0" fontId="2" fillId="0" borderId="3" xfId="0" applyNumberFormat="1" applyFont="1" applyFill="1" applyBorder="1" applyAlignment="1">
      <alignment horizontal="center"/>
    </xf>
    <xf numFmtId="0" fontId="1" fillId="0" borderId="3" xfId="0" applyNumberFormat="1" applyFont="1" applyBorder="1"/>
    <xf numFmtId="0" fontId="1" fillId="0" borderId="6" xfId="0" applyNumberFormat="1" applyFont="1" applyFill="1" applyBorder="1"/>
    <xf numFmtId="0" fontId="1" fillId="0" borderId="2" xfId="0" applyNumberFormat="1" applyFont="1" applyFill="1" applyBorder="1"/>
    <xf numFmtId="0" fontId="1" fillId="0" borderId="3" xfId="0" applyNumberFormat="1" applyFont="1" applyFill="1" applyBorder="1"/>
    <xf numFmtId="0" fontId="1" fillId="0" borderId="6" xfId="0" applyNumberFormat="1" applyFont="1" applyBorder="1"/>
    <xf numFmtId="0" fontId="35" fillId="0" borderId="5" xfId="0" applyNumberFormat="1" applyFont="1" applyFill="1" applyBorder="1"/>
    <xf numFmtId="0" fontId="2" fillId="0" borderId="1" xfId="0" applyNumberFormat="1" applyFont="1" applyFill="1" applyBorder="1"/>
    <xf numFmtId="0" fontId="2" fillId="0" borderId="1" xfId="0" applyNumberFormat="1" applyFont="1" applyFill="1" applyBorder="1" applyAlignment="1">
      <alignment horizontal="center"/>
    </xf>
    <xf numFmtId="0" fontId="1" fillId="0" borderId="1" xfId="0" applyNumberFormat="1" applyFont="1" applyBorder="1"/>
    <xf numFmtId="0" fontId="1" fillId="0" borderId="9" xfId="0" applyNumberFormat="1" applyFont="1" applyFill="1" applyBorder="1"/>
    <xf numFmtId="0" fontId="1" fillId="0" borderId="5" xfId="0" applyNumberFormat="1" applyFont="1" applyFill="1" applyBorder="1"/>
    <xf numFmtId="0" fontId="1" fillId="0" borderId="1" xfId="0" applyNumberFormat="1" applyFont="1" applyFill="1" applyBorder="1"/>
    <xf numFmtId="2" fontId="1" fillId="0" borderId="7" xfId="0" applyNumberFormat="1" applyFont="1" applyFill="1" applyBorder="1"/>
    <xf numFmtId="2" fontId="1" fillId="0" borderId="8" xfId="0" applyNumberFormat="1" applyFont="1" applyFill="1" applyBorder="1"/>
    <xf numFmtId="0" fontId="2" fillId="0" borderId="8" xfId="0" applyNumberFormat="1" applyFont="1" applyFill="1" applyBorder="1"/>
    <xf numFmtId="2" fontId="2" fillId="0" borderId="5" xfId="0" applyNumberFormat="1" applyFont="1" applyFill="1" applyBorder="1"/>
    <xf numFmtId="2" fontId="1" fillId="0" borderId="9" xfId="0" applyNumberFormat="1" applyFont="1" applyFill="1" applyBorder="1"/>
    <xf numFmtId="2" fontId="1" fillId="0" borderId="5" xfId="0" applyNumberFormat="1" applyFont="1" applyFill="1" applyBorder="1"/>
    <xf numFmtId="2" fontId="1" fillId="0" borderId="1" xfId="0" applyNumberFormat="1" applyFont="1" applyFill="1" applyBorder="1"/>
    <xf numFmtId="2" fontId="1" fillId="0" borderId="9" xfId="0" applyNumberFormat="1" applyFont="1" applyBorder="1"/>
    <xf numFmtId="0" fontId="2" fillId="0" borderId="6" xfId="0" applyNumberFormat="1" applyFont="1" applyFill="1" applyBorder="1"/>
    <xf numFmtId="2" fontId="1" fillId="0" borderId="6" xfId="0" applyNumberFormat="1" applyFont="1" applyFill="1" applyBorder="1"/>
    <xf numFmtId="2" fontId="1" fillId="0" borderId="2" xfId="0" applyNumberFormat="1" applyFont="1" applyFill="1" applyBorder="1"/>
    <xf numFmtId="2" fontId="1" fillId="0" borderId="6" xfId="0" applyNumberFormat="1" applyFont="1" applyBorder="1"/>
    <xf numFmtId="2" fontId="1" fillId="0" borderId="8" xfId="0" applyNumberFormat="1" applyFont="1" applyBorder="1"/>
    <xf numFmtId="0" fontId="2" fillId="0" borderId="9" xfId="0" applyNumberFormat="1" applyFont="1" applyFill="1" applyBorder="1"/>
    <xf numFmtId="0" fontId="25" fillId="0" borderId="0" xfId="0" applyNumberFormat="1" applyFont="1" applyFill="1"/>
    <xf numFmtId="0" fontId="52" fillId="0" borderId="0" xfId="0" applyNumberFormat="1" applyFont="1" applyFill="1"/>
    <xf numFmtId="0" fontId="18" fillId="0" borderId="2" xfId="0" applyNumberFormat="1" applyFont="1" applyFill="1" applyBorder="1" applyAlignment="1"/>
    <xf numFmtId="0" fontId="18" fillId="0" borderId="3" xfId="0" applyNumberFormat="1" applyFont="1" applyFill="1" applyBorder="1" applyAlignment="1"/>
    <xf numFmtId="0" fontId="18" fillId="0" borderId="7" xfId="0" applyNumberFormat="1" applyFont="1" applyFill="1" applyBorder="1" applyAlignment="1"/>
    <xf numFmtId="0" fontId="18" fillId="0" borderId="0" xfId="0" applyNumberFormat="1" applyFont="1" applyFill="1" applyBorder="1" applyAlignment="1"/>
    <xf numFmtId="0" fontId="18" fillId="0" borderId="5" xfId="0" applyNumberFormat="1" applyFont="1" applyFill="1" applyBorder="1" applyAlignment="1"/>
    <xf numFmtId="0" fontId="18" fillId="0" borderId="1" xfId="0" applyNumberFormat="1" applyFont="1" applyFill="1" applyBorder="1" applyAlignment="1"/>
    <xf numFmtId="0" fontId="2" fillId="0" borderId="5" xfId="0" applyNumberFormat="1" applyFont="1" applyFill="1" applyBorder="1" applyAlignment="1"/>
    <xf numFmtId="0" fontId="2" fillId="0" borderId="7" xfId="0" applyNumberFormat="1" applyFont="1" applyFill="1" applyBorder="1" applyAlignment="1"/>
    <xf numFmtId="0" fontId="2" fillId="0" borderId="0" xfId="0" applyNumberFormat="1" applyFont="1" applyFill="1" applyBorder="1" applyAlignment="1"/>
    <xf numFmtId="0" fontId="2" fillId="0" borderId="7" xfId="0" applyNumberFormat="1" applyFont="1" applyFill="1" applyBorder="1"/>
    <xf numFmtId="0" fontId="2" fillId="0" borderId="5" xfId="0" applyNumberFormat="1" applyFont="1" applyFill="1" applyBorder="1"/>
    <xf numFmtId="0" fontId="1" fillId="0" borderId="12" xfId="0" applyNumberFormat="1" applyFont="1" applyBorder="1"/>
    <xf numFmtId="0" fontId="1" fillId="0" borderId="13" xfId="0" applyNumberFormat="1" applyFont="1" applyBorder="1"/>
    <xf numFmtId="0" fontId="2" fillId="0" borderId="4" xfId="0" applyNumberFormat="1" applyFont="1" applyFill="1" applyBorder="1" applyAlignment="1"/>
    <xf numFmtId="0" fontId="1" fillId="0" borderId="12" xfId="0" applyNumberFormat="1" applyFont="1" applyFill="1" applyBorder="1" applyAlignment="1">
      <alignment wrapText="1"/>
    </xf>
    <xf numFmtId="0" fontId="1" fillId="0" borderId="4" xfId="0" applyNumberFormat="1" applyFont="1" applyFill="1" applyBorder="1" applyAlignment="1">
      <alignment wrapText="1"/>
    </xf>
    <xf numFmtId="2" fontId="1" fillId="0" borderId="15" xfId="0" applyNumberFormat="1" applyFont="1" applyFill="1" applyBorder="1" applyAlignment="1">
      <alignment horizontal="right"/>
    </xf>
    <xf numFmtId="0" fontId="1" fillId="0" borderId="7" xfId="0" applyNumberFormat="1" applyFont="1" applyBorder="1" applyAlignment="1">
      <alignment wrapText="1"/>
    </xf>
    <xf numFmtId="0" fontId="1" fillId="0" borderId="5" xfId="0" applyNumberFormat="1" applyFont="1" applyBorder="1" applyAlignment="1">
      <alignment wrapText="1"/>
    </xf>
    <xf numFmtId="0" fontId="2" fillId="0" borderId="11" xfId="0" applyNumberFormat="1" applyFont="1" applyFill="1" applyBorder="1"/>
    <xf numFmtId="0" fontId="2" fillId="0" borderId="13" xfId="0" applyNumberFormat="1" applyFont="1" applyFill="1" applyBorder="1"/>
    <xf numFmtId="0" fontId="1" fillId="12" borderId="0" xfId="0" applyFont="1" applyFill="1" applyAlignment="1">
      <alignment horizontal="left"/>
    </xf>
    <xf numFmtId="2" fontId="1" fillId="12" borderId="0" xfId="0" applyNumberFormat="1" applyFont="1" applyFill="1" applyAlignment="1">
      <alignment horizontal="center"/>
    </xf>
    <xf numFmtId="0" fontId="2" fillId="0" borderId="0" xfId="0" applyNumberFormat="1" applyFont="1" applyFill="1" applyAlignment="1">
      <alignment horizontal="right"/>
    </xf>
    <xf numFmtId="0" fontId="1" fillId="0" borderId="0" xfId="0" applyNumberFormat="1" applyFont="1" applyFill="1" applyAlignment="1">
      <alignment horizontal="right"/>
    </xf>
    <xf numFmtId="2" fontId="3" fillId="2" borderId="0" xfId="0" applyNumberFormat="1" applyFont="1" applyFill="1" applyBorder="1"/>
    <xf numFmtId="0" fontId="1" fillId="0" borderId="0" xfId="0" applyNumberFormat="1" applyFont="1" applyAlignment="1">
      <alignment horizontal="center"/>
    </xf>
    <xf numFmtId="0" fontId="25" fillId="0" borderId="12" xfId="0" applyNumberFormat="1" applyFont="1" applyFill="1" applyBorder="1"/>
    <xf numFmtId="0" fontId="1" fillId="0" borderId="5" xfId="0" applyNumberFormat="1" applyFont="1" applyFill="1" applyBorder="1" applyAlignment="1">
      <alignment horizontal="center"/>
    </xf>
    <xf numFmtId="0" fontId="1" fillId="0" borderId="12" xfId="0" applyNumberFormat="1" applyFont="1" applyFill="1" applyBorder="1" applyAlignment="1">
      <alignment horizontal="center" wrapText="1"/>
    </xf>
    <xf numFmtId="0" fontId="1" fillId="0" borderId="4" xfId="0" applyNumberFormat="1" applyFont="1" applyFill="1" applyBorder="1" applyAlignment="1">
      <alignment horizontal="center" wrapText="1"/>
    </xf>
    <xf numFmtId="2" fontId="1" fillId="0" borderId="11" xfId="0" applyNumberFormat="1" applyFont="1" applyFill="1" applyBorder="1" applyAlignment="1">
      <alignment horizontal="right"/>
    </xf>
    <xf numFmtId="0" fontId="1" fillId="0" borderId="15" xfId="0" applyNumberFormat="1" applyFont="1" applyFill="1" applyBorder="1" applyAlignment="1">
      <alignment horizontal="right"/>
    </xf>
    <xf numFmtId="0" fontId="52" fillId="0" borderId="11" xfId="0" applyNumberFormat="1" applyFont="1" applyFill="1" applyBorder="1"/>
    <xf numFmtId="0" fontId="1" fillId="0" borderId="4" xfId="0" applyFont="1" applyBorder="1" applyAlignment="1">
      <alignment horizontal="center"/>
    </xf>
    <xf numFmtId="0" fontId="1" fillId="0" borderId="13" xfId="0" applyFont="1" applyBorder="1" applyAlignment="1">
      <alignment horizontal="center"/>
    </xf>
    <xf numFmtId="0" fontId="2" fillId="0" borderId="4" xfId="0" applyNumberFormat="1" applyFont="1" applyFill="1" applyBorder="1" applyAlignment="1">
      <alignment horizontal="center"/>
    </xf>
    <xf numFmtId="0" fontId="1" fillId="0" borderId="4" xfId="0" applyNumberFormat="1" applyFont="1" applyBorder="1"/>
    <xf numFmtId="1" fontId="1" fillId="0" borderId="0" xfId="0" applyNumberFormat="1" applyFont="1"/>
    <xf numFmtId="0" fontId="1" fillId="0" borderId="5" xfId="0" applyFont="1" applyBorder="1" applyAlignment="1">
      <alignment horizontal="center"/>
    </xf>
    <xf numFmtId="0" fontId="1" fillId="0" borderId="14" xfId="0" applyFont="1" applyBorder="1" applyAlignment="1">
      <alignment horizontal="center"/>
    </xf>
    <xf numFmtId="0" fontId="1" fillId="0" borderId="4" xfId="0" applyFont="1" applyBorder="1" applyAlignment="1">
      <alignment horizontal="center"/>
    </xf>
    <xf numFmtId="0" fontId="1" fillId="0" borderId="12" xfId="0" applyFont="1" applyFill="1" applyBorder="1" applyAlignment="1">
      <alignment horizontal="center"/>
    </xf>
    <xf numFmtId="0" fontId="1" fillId="0" borderId="13" xfId="0" applyFont="1" applyBorder="1" applyAlignment="1">
      <alignment horizontal="center"/>
    </xf>
    <xf numFmtId="0" fontId="2" fillId="0" borderId="0" xfId="0" applyFont="1" applyFill="1" applyBorder="1" applyAlignment="1">
      <alignment horizontal="center"/>
    </xf>
    <xf numFmtId="0" fontId="2" fillId="0" borderId="2" xfId="0" applyNumberFormat="1" applyFont="1" applyFill="1" applyBorder="1" applyAlignment="1">
      <alignment horizontal="center" wrapText="1"/>
    </xf>
    <xf numFmtId="0" fontId="2" fillId="0" borderId="5" xfId="0" applyNumberFormat="1" applyFont="1" applyFill="1" applyBorder="1" applyAlignment="1">
      <alignment horizontal="center" wrapText="1"/>
    </xf>
    <xf numFmtId="0" fontId="2" fillId="0" borderId="9" xfId="0" applyNumberFormat="1" applyFont="1" applyFill="1" applyBorder="1" applyAlignment="1">
      <alignment horizontal="center" wrapText="1"/>
    </xf>
    <xf numFmtId="0" fontId="2" fillId="0" borderId="11" xfId="0" applyNumberFormat="1" applyFont="1" applyFill="1" applyBorder="1" applyAlignment="1">
      <alignment horizontal="center" wrapText="1"/>
    </xf>
    <xf numFmtId="0" fontId="2" fillId="0" borderId="15" xfId="0" applyNumberFormat="1" applyFont="1" applyFill="1" applyBorder="1" applyAlignment="1">
      <alignment horizontal="center" wrapText="1"/>
    </xf>
    <xf numFmtId="0" fontId="2" fillId="0" borderId="4" xfId="0" applyNumberFormat="1" applyFont="1" applyFill="1" applyBorder="1" applyAlignment="1">
      <alignment horizontal="center"/>
    </xf>
    <xf numFmtId="0" fontId="1" fillId="8" borderId="12" xfId="0" applyFont="1" applyFill="1" applyBorder="1"/>
    <xf numFmtId="0" fontId="2" fillId="0" borderId="15" xfId="0" applyNumberFormat="1" applyFont="1" applyFill="1" applyBorder="1" applyAlignment="1">
      <alignment horizontal="center"/>
    </xf>
    <xf numFmtId="167" fontId="1" fillId="0" borderId="15" xfId="0" applyNumberFormat="1" applyFont="1" applyFill="1" applyBorder="1" applyAlignment="1">
      <alignment horizontal="right"/>
    </xf>
    <xf numFmtId="1" fontId="3" fillId="2" borderId="15" xfId="0" applyNumberFormat="1" applyFont="1" applyFill="1" applyBorder="1" applyAlignment="1">
      <alignment horizontal="right"/>
    </xf>
    <xf numFmtId="1" fontId="1" fillId="0" borderId="15" xfId="0" applyNumberFormat="1" applyFont="1" applyBorder="1"/>
    <xf numFmtId="0" fontId="53" fillId="0" borderId="0" xfId="0" applyNumberFormat="1" applyFont="1" applyFill="1"/>
    <xf numFmtId="0" fontId="1" fillId="0" borderId="1" xfId="0" applyFont="1" applyBorder="1" applyAlignment="1">
      <alignment horizontal="center" wrapText="1"/>
    </xf>
    <xf numFmtId="0" fontId="1" fillId="0" borderId="12" xfId="0" applyFont="1" applyFill="1" applyBorder="1" applyAlignment="1">
      <alignment horizontal="center"/>
    </xf>
    <xf numFmtId="0" fontId="2" fillId="0" borderId="0" xfId="0" applyFont="1" applyFill="1" applyBorder="1" applyAlignment="1">
      <alignment horizontal="center"/>
    </xf>
    <xf numFmtId="0" fontId="2" fillId="0" borderId="12" xfId="0" applyNumberFormat="1" applyFont="1" applyFill="1" applyBorder="1" applyAlignment="1"/>
    <xf numFmtId="0" fontId="2" fillId="0" borderId="13" xfId="0" applyNumberFormat="1" applyFont="1" applyFill="1" applyBorder="1" applyAlignment="1"/>
    <xf numFmtId="0" fontId="2" fillId="0" borderId="14" xfId="0" applyNumberFormat="1" applyFont="1" applyFill="1" applyBorder="1" applyAlignment="1"/>
    <xf numFmtId="0" fontId="2" fillId="0" borderId="15" xfId="0" applyNumberFormat="1" applyFont="1" applyFill="1" applyBorder="1"/>
    <xf numFmtId="2" fontId="1" fillId="0" borderId="10" xfId="0" applyNumberFormat="1" applyFont="1" applyFill="1" applyBorder="1" applyAlignment="1">
      <alignment horizontal="right"/>
    </xf>
    <xf numFmtId="167" fontId="1" fillId="2" borderId="15" xfId="0" applyNumberFormat="1" applyFont="1" applyFill="1" applyBorder="1"/>
    <xf numFmtId="0" fontId="1" fillId="2" borderId="15" xfId="0" applyFont="1" applyFill="1" applyBorder="1"/>
    <xf numFmtId="0" fontId="52" fillId="2" borderId="15" xfId="0" applyNumberFormat="1" applyFont="1" applyFill="1" applyBorder="1"/>
    <xf numFmtId="0" fontId="2" fillId="12" borderId="0" xfId="0" applyNumberFormat="1" applyFont="1" applyFill="1" applyBorder="1" applyAlignment="1"/>
    <xf numFmtId="1" fontId="3" fillId="2" borderId="0" xfId="0" applyNumberFormat="1" applyFont="1" applyFill="1" applyBorder="1" applyAlignment="1"/>
    <xf numFmtId="0" fontId="2" fillId="0" borderId="8" xfId="0" applyNumberFormat="1" applyFont="1" applyFill="1" applyBorder="1" applyAlignment="1"/>
    <xf numFmtId="0" fontId="2" fillId="0" borderId="1" xfId="0" applyNumberFormat="1" applyFont="1" applyFill="1" applyBorder="1" applyAlignment="1"/>
    <xf numFmtId="0" fontId="2" fillId="0" borderId="9" xfId="0" applyNumberFormat="1" applyFont="1" applyFill="1" applyBorder="1" applyAlignment="1"/>
    <xf numFmtId="2" fontId="2" fillId="12" borderId="0" xfId="0" applyNumberFormat="1" applyFont="1" applyFill="1" applyBorder="1" applyAlignment="1"/>
    <xf numFmtId="0" fontId="12" fillId="0" borderId="0" xfId="0" applyNumberFormat="1" applyFont="1" applyFill="1" applyBorder="1" applyAlignment="1"/>
    <xf numFmtId="168" fontId="2" fillId="0" borderId="0" xfId="0" applyNumberFormat="1" applyFont="1" applyFill="1" applyBorder="1" applyAlignment="1"/>
    <xf numFmtId="0" fontId="3" fillId="2" borderId="0" xfId="0" applyNumberFormat="1" applyFont="1" applyFill="1" applyBorder="1" applyAlignment="1"/>
    <xf numFmtId="0" fontId="18" fillId="0" borderId="0" xfId="0" applyNumberFormat="1" applyFont="1" applyFill="1" applyAlignment="1"/>
    <xf numFmtId="0" fontId="1" fillId="0" borderId="4" xfId="0" applyFont="1" applyFill="1" applyBorder="1" applyAlignment="1">
      <alignment horizontal="center"/>
    </xf>
    <xf numFmtId="0" fontId="2" fillId="11" borderId="4" xfId="0" applyNumberFormat="1" applyFont="1" applyFill="1" applyBorder="1" applyAlignment="1"/>
    <xf numFmtId="0" fontId="2" fillId="0" borderId="10" xfId="0" applyNumberFormat="1" applyFont="1" applyFill="1" applyBorder="1" applyAlignment="1"/>
    <xf numFmtId="0" fontId="2" fillId="0" borderId="3" xfId="0" applyNumberFormat="1" applyFont="1" applyFill="1" applyBorder="1" applyAlignment="1"/>
    <xf numFmtId="0" fontId="1" fillId="0" borderId="4" xfId="0" applyFont="1" applyFill="1" applyBorder="1" applyAlignment="1"/>
    <xf numFmtId="0" fontId="2" fillId="0" borderId="3" xfId="0" applyNumberFormat="1" applyFont="1" applyFill="1" applyBorder="1" applyAlignment="1">
      <alignment horizontal="center" wrapText="1"/>
    </xf>
    <xf numFmtId="0" fontId="2" fillId="0" borderId="15" xfId="0" applyNumberFormat="1" applyFont="1" applyFill="1" applyBorder="1" applyAlignment="1"/>
    <xf numFmtId="0" fontId="2" fillId="0" borderId="10" xfId="0" applyNumberFormat="1" applyFont="1" applyFill="1" applyBorder="1" applyAlignment="1">
      <alignment horizontal="center"/>
    </xf>
    <xf numFmtId="0" fontId="46" fillId="0" borderId="10" xfId="0" applyNumberFormat="1" applyFont="1" applyFill="1" applyBorder="1" applyAlignment="1">
      <alignment horizontal="center"/>
    </xf>
    <xf numFmtId="0" fontId="53" fillId="0" borderId="7" xfId="0" applyNumberFormat="1" applyFont="1" applyFill="1" applyBorder="1" applyAlignment="1">
      <alignment horizontal="left"/>
    </xf>
    <xf numFmtId="0" fontId="2" fillId="0" borderId="0" xfId="0" applyNumberFormat="1" applyFont="1" applyFill="1" applyBorder="1" applyAlignment="1">
      <alignment horizontal="center" wrapText="1"/>
    </xf>
    <xf numFmtId="0" fontId="46" fillId="0" borderId="15" xfId="0" applyNumberFormat="1" applyFont="1" applyFill="1" applyBorder="1" applyAlignment="1">
      <alignment horizontal="center"/>
    </xf>
    <xf numFmtId="2" fontId="2" fillId="12" borderId="15" xfId="0" applyNumberFormat="1" applyFont="1" applyFill="1" applyBorder="1" applyAlignment="1">
      <alignment horizontal="right"/>
    </xf>
    <xf numFmtId="167" fontId="2" fillId="0" borderId="15" xfId="0" applyNumberFormat="1" applyFont="1" applyFill="1" applyBorder="1" applyAlignment="1"/>
    <xf numFmtId="0" fontId="17" fillId="2" borderId="15" xfId="0" applyNumberFormat="1" applyFont="1" applyFill="1" applyBorder="1" applyAlignment="1"/>
    <xf numFmtId="167" fontId="2" fillId="0" borderId="15" xfId="0" applyNumberFormat="1" applyFont="1" applyFill="1" applyBorder="1" applyAlignment="1">
      <alignment horizontal="right"/>
    </xf>
    <xf numFmtId="2" fontId="2" fillId="0" borderId="0" xfId="0" applyNumberFormat="1" applyFont="1" applyFill="1" applyBorder="1" applyAlignment="1">
      <alignment horizontal="right"/>
    </xf>
    <xf numFmtId="0" fontId="2" fillId="11" borderId="0" xfId="0" applyFont="1" applyFill="1" applyBorder="1"/>
    <xf numFmtId="0" fontId="2" fillId="11" borderId="15" xfId="0" applyFont="1" applyFill="1" applyBorder="1" applyAlignment="1"/>
    <xf numFmtId="2" fontId="2" fillId="0" borderId="7" xfId="0" applyNumberFormat="1" applyFont="1" applyFill="1" applyBorder="1" applyAlignment="1"/>
    <xf numFmtId="0" fontId="35" fillId="0" borderId="0" xfId="0" applyFont="1" applyBorder="1" applyAlignment="1"/>
    <xf numFmtId="2" fontId="2" fillId="0" borderId="15" xfId="0" applyNumberFormat="1" applyFont="1" applyFill="1" applyBorder="1" applyAlignment="1">
      <alignment horizontal="right"/>
    </xf>
    <xf numFmtId="0" fontId="2" fillId="11" borderId="15" xfId="0" applyFont="1" applyFill="1" applyBorder="1" applyAlignment="1">
      <alignment horizontal="center"/>
    </xf>
    <xf numFmtId="167" fontId="2" fillId="0" borderId="0" xfId="0" applyNumberFormat="1" applyFont="1" applyFill="1" applyBorder="1" applyAlignment="1"/>
    <xf numFmtId="0" fontId="2" fillId="0" borderId="15" xfId="0" applyFont="1" applyFill="1" applyBorder="1" applyAlignment="1"/>
    <xf numFmtId="0" fontId="2" fillId="0" borderId="0" xfId="0" applyNumberFormat="1" applyFont="1" applyFill="1" applyBorder="1" applyAlignment="1">
      <alignment horizontal="right"/>
    </xf>
    <xf numFmtId="0" fontId="22" fillId="0" borderId="5" xfId="0" applyNumberFormat="1" applyFont="1" applyFill="1" applyBorder="1" applyAlignment="1"/>
    <xf numFmtId="2" fontId="2" fillId="0" borderId="11" xfId="0" applyNumberFormat="1" applyFont="1" applyFill="1" applyBorder="1" applyAlignment="1"/>
    <xf numFmtId="0" fontId="2" fillId="0" borderId="11" xfId="0" applyNumberFormat="1" applyFont="1" applyFill="1" applyBorder="1" applyAlignment="1"/>
    <xf numFmtId="0" fontId="22" fillId="0" borderId="0" xfId="0" applyNumberFormat="1" applyFont="1" applyFill="1" applyBorder="1" applyAlignment="1"/>
    <xf numFmtId="0" fontId="53" fillId="0" borderId="0" xfId="0" applyNumberFormat="1" applyFont="1" applyFill="1" applyBorder="1" applyAlignment="1"/>
    <xf numFmtId="0" fontId="1" fillId="0" borderId="15" xfId="0" applyFont="1" applyBorder="1" applyAlignment="1">
      <alignment horizontal="center"/>
    </xf>
    <xf numFmtId="0" fontId="1" fillId="0" borderId="11" xfId="0" applyFont="1" applyBorder="1" applyAlignment="1">
      <alignment horizontal="center"/>
    </xf>
    <xf numFmtId="0" fontId="2" fillId="0" borderId="1" xfId="0" applyNumberFormat="1" applyFont="1" applyFill="1" applyBorder="1" applyAlignment="1">
      <alignment horizontal="center" wrapText="1"/>
    </xf>
    <xf numFmtId="0" fontId="1" fillId="0" borderId="11" xfId="0" applyFont="1" applyBorder="1" applyAlignment="1">
      <alignment horizontal="left" wrapText="1"/>
    </xf>
    <xf numFmtId="0" fontId="1" fillId="0" borderId="1" xfId="0" applyFont="1" applyBorder="1" applyAlignment="1">
      <alignment horizontal="left" wrapText="1"/>
    </xf>
    <xf numFmtId="0" fontId="2" fillId="0" borderId="7" xfId="0" applyNumberFormat="1" applyFont="1" applyFill="1" applyBorder="1" applyAlignment="1">
      <alignment horizontal="center" wrapText="1"/>
    </xf>
    <xf numFmtId="0" fontId="1" fillId="0" borderId="0" xfId="0" applyFont="1" applyBorder="1" applyAlignment="1">
      <alignment horizontal="center" wrapText="1"/>
    </xf>
    <xf numFmtId="0" fontId="1" fillId="0" borderId="15" xfId="0" applyFont="1" applyBorder="1" applyAlignment="1">
      <alignment horizontal="left" wrapText="1"/>
    </xf>
    <xf numFmtId="0" fontId="1" fillId="0" borderId="0" xfId="0" applyFont="1" applyBorder="1" applyAlignment="1">
      <alignment horizontal="left" wrapText="1"/>
    </xf>
    <xf numFmtId="2" fontId="2" fillId="12" borderId="15" xfId="0" applyNumberFormat="1" applyFont="1" applyFill="1" applyBorder="1" applyAlignment="1"/>
    <xf numFmtId="2" fontId="2" fillId="0" borderId="15" xfId="0" applyNumberFormat="1" applyFont="1" applyFill="1" applyBorder="1" applyAlignment="1"/>
    <xf numFmtId="171" fontId="1" fillId="0" borderId="15" xfId="0" applyNumberFormat="1" applyFont="1" applyBorder="1" applyAlignment="1">
      <alignment horizontal="left"/>
    </xf>
    <xf numFmtId="0" fontId="2" fillId="11" borderId="15" xfId="0" applyFont="1" applyFill="1" applyBorder="1"/>
    <xf numFmtId="171" fontId="1" fillId="0" borderId="15" xfId="0" applyNumberFormat="1" applyFont="1" applyBorder="1" applyAlignment="1">
      <alignment horizontal="center"/>
    </xf>
    <xf numFmtId="0" fontId="2" fillId="0" borderId="0" xfId="0" applyFont="1" applyFill="1" applyBorder="1" applyAlignment="1">
      <alignment horizontal="left" wrapText="1"/>
    </xf>
    <xf numFmtId="2" fontId="2" fillId="0" borderId="1" xfId="0" applyNumberFormat="1" applyFont="1" applyFill="1" applyBorder="1" applyAlignment="1"/>
    <xf numFmtId="171" fontId="1" fillId="0" borderId="11" xfId="0" applyNumberFormat="1" applyFont="1" applyBorder="1" applyAlignment="1">
      <alignment horizontal="center"/>
    </xf>
    <xf numFmtId="0" fontId="3" fillId="0" borderId="1" xfId="0" applyFont="1" applyFill="1" applyBorder="1"/>
    <xf numFmtId="171" fontId="1" fillId="0" borderId="0" xfId="0" applyNumberFormat="1" applyFont="1" applyBorder="1" applyAlignment="1">
      <alignment horizontal="center"/>
    </xf>
    <xf numFmtId="2" fontId="2" fillId="0" borderId="12" xfId="0" applyNumberFormat="1" applyFont="1" applyFill="1" applyBorder="1" applyAlignment="1"/>
    <xf numFmtId="2" fontId="2" fillId="0" borderId="4" xfId="0" applyNumberFormat="1" applyFont="1" applyFill="1" applyBorder="1" applyAlignment="1"/>
    <xf numFmtId="0" fontId="1" fillId="0" borderId="4" xfId="0" applyFont="1" applyBorder="1" applyAlignment="1">
      <alignment horizontal="center" wrapText="1"/>
    </xf>
    <xf numFmtId="0" fontId="2" fillId="12" borderId="7" xfId="0" applyNumberFormat="1" applyFont="1" applyFill="1" applyBorder="1" applyAlignment="1"/>
    <xf numFmtId="0" fontId="2" fillId="12" borderId="15" xfId="0" applyNumberFormat="1" applyFont="1" applyFill="1" applyBorder="1" applyAlignment="1"/>
    <xf numFmtId="0" fontId="3" fillId="2" borderId="8" xfId="0" applyNumberFormat="1" applyFont="1" applyFill="1" applyBorder="1" applyAlignment="1"/>
    <xf numFmtId="0" fontId="3" fillId="0" borderId="0" xfId="0" applyFont="1" applyFill="1" applyBorder="1"/>
    <xf numFmtId="167" fontId="2" fillId="12" borderId="15" xfId="0" applyNumberFormat="1" applyFont="1" applyFill="1" applyBorder="1" applyAlignment="1"/>
    <xf numFmtId="167" fontId="3" fillId="2" borderId="8" xfId="0" applyNumberFormat="1" applyFont="1" applyFill="1" applyBorder="1" applyAlignment="1"/>
    <xf numFmtId="0" fontId="1" fillId="0" borderId="4" xfId="0" applyFont="1" applyBorder="1" applyAlignment="1">
      <alignment horizontal="right" shrinkToFit="1"/>
    </xf>
    <xf numFmtId="0" fontId="1" fillId="0" borderId="11" xfId="0" applyFont="1" applyBorder="1" applyAlignment="1">
      <alignment horizontal="right" shrinkToFit="1"/>
    </xf>
    <xf numFmtId="0" fontId="2" fillId="0" borderId="12" xfId="0" applyNumberFormat="1" applyFont="1" applyFill="1" applyBorder="1" applyAlignment="1">
      <alignment horizontal="center" wrapText="1"/>
    </xf>
    <xf numFmtId="0" fontId="1" fillId="0" borderId="4" xfId="0" applyFont="1" applyBorder="1" applyAlignment="1">
      <alignment horizontal="right" wrapText="1"/>
    </xf>
    <xf numFmtId="0" fontId="3" fillId="2" borderId="15" xfId="0" applyNumberFormat="1" applyFont="1" applyFill="1" applyBorder="1" applyAlignment="1"/>
    <xf numFmtId="1" fontId="3" fillId="2" borderId="15" xfId="0" applyNumberFormat="1" applyFont="1" applyFill="1" applyBorder="1" applyAlignment="1"/>
    <xf numFmtId="0" fontId="3" fillId="0" borderId="15" xfId="0" applyNumberFormat="1" applyFont="1" applyFill="1" applyBorder="1" applyAlignment="1"/>
    <xf numFmtId="1" fontId="3" fillId="0" borderId="15" xfId="0" applyNumberFormat="1" applyFont="1" applyFill="1" applyBorder="1" applyAlignment="1"/>
    <xf numFmtId="0" fontId="2" fillId="0" borderId="11" xfId="0" applyNumberFormat="1" applyFont="1" applyFill="1" applyBorder="1" applyAlignment="1">
      <alignment vertical="center" wrapText="1"/>
    </xf>
    <xf numFmtId="0" fontId="2" fillId="0" borderId="2" xfId="0" applyNumberFormat="1" applyFont="1" applyFill="1" applyBorder="1" applyAlignment="1"/>
    <xf numFmtId="0" fontId="2" fillId="0" borderId="6" xfId="0" applyNumberFormat="1" applyFont="1" applyFill="1" applyBorder="1" applyAlignment="1"/>
    <xf numFmtId="2" fontId="2" fillId="0" borderId="8" xfId="0" applyNumberFormat="1" applyFont="1" applyFill="1" applyBorder="1" applyAlignment="1"/>
    <xf numFmtId="164" fontId="1" fillId="0" borderId="8" xfId="0" applyNumberFormat="1" applyFont="1" applyBorder="1"/>
    <xf numFmtId="0" fontId="1" fillId="0" borderId="11" xfId="0" applyFont="1" applyBorder="1" applyAlignment="1">
      <alignment horizontal="center" textRotation="90" wrapText="1"/>
    </xf>
    <xf numFmtId="0" fontId="31" fillId="0" borderId="11" xfId="0" applyFont="1" applyBorder="1" applyAlignment="1">
      <alignment horizontal="center" textRotation="90" wrapText="1"/>
    </xf>
    <xf numFmtId="0" fontId="1" fillId="0" borderId="1" xfId="0" applyFont="1" applyBorder="1" applyAlignment="1">
      <alignment horizontal="center" textRotation="90" wrapText="1"/>
    </xf>
    <xf numFmtId="0" fontId="2" fillId="0" borderId="8" xfId="0" applyNumberFormat="1" applyFont="1" applyFill="1" applyBorder="1" applyAlignment="1">
      <alignment horizontal="center" wrapText="1"/>
    </xf>
    <xf numFmtId="168" fontId="1" fillId="0" borderId="15" xfId="0" applyNumberFormat="1" applyFont="1" applyBorder="1"/>
    <xf numFmtId="2" fontId="1" fillId="0" borderId="15" xfId="0" applyNumberFormat="1" applyFont="1" applyFill="1" applyBorder="1" applyAlignment="1">
      <alignment horizontal="center"/>
    </xf>
    <xf numFmtId="168" fontId="1" fillId="0" borderId="15" xfId="0" applyNumberFormat="1" applyFont="1" applyFill="1" applyBorder="1"/>
    <xf numFmtId="0" fontId="1" fillId="0" borderId="7" xfId="0" applyFont="1" applyFill="1" applyBorder="1" applyAlignment="1">
      <alignment wrapText="1"/>
    </xf>
    <xf numFmtId="0" fontId="1" fillId="0" borderId="8" xfId="0" applyFont="1" applyFill="1" applyBorder="1" applyAlignment="1">
      <alignment wrapText="1"/>
    </xf>
    <xf numFmtId="0" fontId="31" fillId="0" borderId="7" xfId="0" applyFont="1" applyFill="1" applyBorder="1" applyAlignment="1">
      <alignment horizontal="left" wrapText="1"/>
    </xf>
    <xf numFmtId="0" fontId="31" fillId="0" borderId="8" xfId="0" applyFont="1" applyFill="1" applyBorder="1" applyAlignment="1">
      <alignment horizontal="left" wrapText="1"/>
    </xf>
    <xf numFmtId="2" fontId="1" fillId="0" borderId="11" xfId="0" applyNumberFormat="1" applyFont="1" applyFill="1" applyBorder="1" applyAlignment="1">
      <alignment horizontal="center"/>
    </xf>
    <xf numFmtId="0" fontId="24" fillId="0" borderId="2" xfId="0" applyNumberFormat="1" applyFont="1" applyFill="1" applyBorder="1" applyAlignment="1"/>
    <xf numFmtId="0" fontId="1" fillId="0" borderId="7" xfId="0" applyFont="1" applyBorder="1" applyAlignment="1">
      <alignment horizontal="center"/>
    </xf>
    <xf numFmtId="0" fontId="1" fillId="0" borderId="0" xfId="0" applyFont="1" applyBorder="1" applyAlignment="1">
      <alignment horizontal="center"/>
    </xf>
    <xf numFmtId="0" fontId="2" fillId="0" borderId="14" xfId="0" applyNumberFormat="1" applyFont="1" applyFill="1" applyBorder="1" applyAlignment="1">
      <alignment horizontal="center" wrapText="1"/>
    </xf>
    <xf numFmtId="0" fontId="2" fillId="9" borderId="14" xfId="0" applyFont="1" applyFill="1" applyBorder="1"/>
    <xf numFmtId="0" fontId="3" fillId="2" borderId="9" xfId="0" applyFont="1" applyFill="1" applyBorder="1" applyAlignment="1">
      <alignment horizontal="center"/>
    </xf>
    <xf numFmtId="0" fontId="1" fillId="9" borderId="8" xfId="0" applyFont="1" applyFill="1" applyBorder="1"/>
    <xf numFmtId="0" fontId="3" fillId="2" borderId="8" xfId="0" applyFont="1" applyFill="1" applyBorder="1" applyAlignment="1">
      <alignment horizontal="center"/>
    </xf>
    <xf numFmtId="0" fontId="3" fillId="0" borderId="8" xfId="0" applyFont="1" applyFill="1" applyBorder="1"/>
    <xf numFmtId="0" fontId="3" fillId="0" borderId="8" xfId="0" applyFont="1" applyFill="1" applyBorder="1" applyAlignment="1">
      <alignment horizontal="center"/>
    </xf>
    <xf numFmtId="0" fontId="2" fillId="0" borderId="13" xfId="0" applyNumberFormat="1" applyFont="1" applyFill="1" applyBorder="1" applyAlignment="1">
      <alignment horizontal="center" wrapText="1"/>
    </xf>
    <xf numFmtId="0" fontId="16" fillId="0" borderId="12" xfId="0" applyFont="1" applyBorder="1"/>
    <xf numFmtId="0" fontId="24" fillId="0" borderId="13" xfId="0" applyNumberFormat="1" applyFont="1" applyFill="1" applyBorder="1" applyAlignment="1"/>
    <xf numFmtId="0" fontId="16" fillId="0" borderId="13" xfId="0" applyFont="1" applyBorder="1"/>
    <xf numFmtId="0" fontId="16" fillId="0" borderId="14" xfId="0" applyFont="1" applyBorder="1"/>
    <xf numFmtId="0" fontId="3" fillId="2" borderId="12" xfId="0" applyFont="1" applyFill="1" applyBorder="1"/>
    <xf numFmtId="0" fontId="3" fillId="2" borderId="4" xfId="0" applyFont="1" applyFill="1" applyBorder="1"/>
    <xf numFmtId="0" fontId="3" fillId="2" borderId="12" xfId="0" applyFont="1" applyFill="1" applyBorder="1" applyAlignment="1">
      <alignment horizontal="center"/>
    </xf>
    <xf numFmtId="0" fontId="3" fillId="2" borderId="14" xfId="0" applyFont="1" applyFill="1" applyBorder="1" applyAlignment="1">
      <alignment horizontal="center"/>
    </xf>
    <xf numFmtId="167" fontId="1" fillId="0" borderId="0" xfId="0" applyNumberFormat="1" applyFont="1" applyBorder="1" applyAlignment="1">
      <alignment horizontal="center"/>
    </xf>
    <xf numFmtId="0" fontId="3" fillId="2" borderId="7" xfId="0" applyFont="1" applyFill="1" applyBorder="1" applyAlignment="1">
      <alignment horizontal="center"/>
    </xf>
    <xf numFmtId="0" fontId="3" fillId="2" borderId="15" xfId="0" applyFont="1" applyFill="1" applyBorder="1" applyAlignment="1">
      <alignment horizontal="center"/>
    </xf>
    <xf numFmtId="0" fontId="1" fillId="9" borderId="15" xfId="0" applyFont="1" applyFill="1" applyBorder="1" applyAlignment="1">
      <alignment horizontal="center"/>
    </xf>
    <xf numFmtId="0" fontId="3" fillId="0" borderId="7" xfId="0" applyFont="1" applyFill="1" applyBorder="1" applyAlignment="1">
      <alignment horizontal="center"/>
    </xf>
    <xf numFmtId="0" fontId="3" fillId="0" borderId="15" xfId="0" applyFont="1" applyFill="1" applyBorder="1" applyAlignment="1">
      <alignment horizontal="center"/>
    </xf>
    <xf numFmtId="0" fontId="1" fillId="0" borderId="15" xfId="0" applyFont="1" applyFill="1" applyBorder="1" applyAlignment="1">
      <alignment horizontal="center"/>
    </xf>
    <xf numFmtId="0" fontId="3" fillId="0" borderId="7" xfId="0" applyFont="1" applyFill="1" applyBorder="1"/>
    <xf numFmtId="0" fontId="1" fillId="0" borderId="11" xfId="0" applyFont="1" applyFill="1" applyBorder="1" applyAlignment="1">
      <alignment horizontal="center"/>
    </xf>
    <xf numFmtId="0" fontId="1" fillId="0" borderId="15" xfId="0" applyNumberFormat="1" applyFont="1" applyBorder="1" applyAlignment="1">
      <alignment horizontal="center"/>
    </xf>
    <xf numFmtId="167" fontId="1" fillId="0" borderId="7" xfId="0" applyNumberFormat="1" applyFont="1" applyBorder="1" applyAlignment="1">
      <alignment horizontal="center"/>
    </xf>
    <xf numFmtId="164" fontId="3" fillId="2" borderId="7" xfId="0" applyNumberFormat="1" applyFont="1" applyFill="1" applyBorder="1" applyAlignment="1">
      <alignment horizontal="center"/>
    </xf>
    <xf numFmtId="0" fontId="1" fillId="0" borderId="11" xfId="0" applyNumberFormat="1" applyFont="1" applyBorder="1" applyAlignment="1">
      <alignment horizontal="center"/>
    </xf>
    <xf numFmtId="167" fontId="1" fillId="0" borderId="5" xfId="0" applyNumberFormat="1" applyFont="1" applyBorder="1" applyAlignment="1">
      <alignment horizontal="center"/>
    </xf>
    <xf numFmtId="0" fontId="2" fillId="0" borderId="11" xfId="0" applyNumberFormat="1" applyFont="1" applyFill="1" applyBorder="1" applyAlignment="1">
      <alignment horizontal="center"/>
    </xf>
    <xf numFmtId="0" fontId="1" fillId="3" borderId="0" xfId="0" applyNumberFormat="1" applyFont="1" applyFill="1"/>
    <xf numFmtId="164" fontId="1" fillId="0" borderId="13" xfId="0" applyNumberFormat="1" applyFont="1" applyBorder="1" applyAlignment="1">
      <alignment horizontal="center"/>
    </xf>
    <xf numFmtId="2" fontId="8" fillId="0" borderId="13" xfId="0" applyNumberFormat="1" applyFont="1" applyBorder="1" applyAlignment="1">
      <alignment horizontal="center"/>
    </xf>
    <xf numFmtId="0" fontId="16" fillId="0" borderId="0" xfId="0" applyFont="1" applyFill="1"/>
    <xf numFmtId="2" fontId="1" fillId="0" borderId="0" xfId="0" applyNumberFormat="1" applyFont="1" applyFill="1"/>
    <xf numFmtId="0" fontId="9" fillId="0" borderId="0" xfId="0" applyFont="1" applyFill="1" applyAlignment="1">
      <alignment wrapText="1"/>
    </xf>
    <xf numFmtId="0" fontId="13" fillId="0" borderId="0" xfId="0" applyFont="1" applyFill="1"/>
    <xf numFmtId="0" fontId="8" fillId="0" borderId="0" xfId="0" applyFont="1" applyFill="1"/>
    <xf numFmtId="167" fontId="8" fillId="0" borderId="0" xfId="0" applyNumberFormat="1" applyFont="1" applyFill="1"/>
    <xf numFmtId="164" fontId="1" fillId="0" borderId="13" xfId="0" applyNumberFormat="1" applyFont="1" applyBorder="1"/>
    <xf numFmtId="164" fontId="8" fillId="0" borderId="0" xfId="0" applyNumberFormat="1" applyFont="1"/>
    <xf numFmtId="0" fontId="1" fillId="0" borderId="3" xfId="0" applyFont="1" applyBorder="1" applyAlignment="1">
      <alignment horizontal="center"/>
    </xf>
    <xf numFmtId="0" fontId="1" fillId="0" borderId="6" xfId="0" applyFont="1" applyBorder="1" applyAlignment="1">
      <alignment horizontal="center"/>
    </xf>
    <xf numFmtId="2" fontId="2" fillId="12" borderId="8" xfId="0" applyNumberFormat="1" applyFont="1" applyFill="1" applyBorder="1"/>
    <xf numFmtId="2" fontId="2" fillId="12" borderId="7" xfId="0" applyNumberFormat="1" applyFont="1" applyFill="1" applyBorder="1"/>
    <xf numFmtId="0" fontId="1" fillId="9" borderId="15" xfId="0" applyFont="1" applyFill="1" applyBorder="1" applyAlignment="1">
      <alignment horizontal="left"/>
    </xf>
    <xf numFmtId="2" fontId="1" fillId="12" borderId="7" xfId="0" applyNumberFormat="1" applyFont="1" applyFill="1" applyBorder="1" applyAlignment="1">
      <alignment horizontal="center"/>
    </xf>
    <xf numFmtId="0" fontId="1" fillId="0" borderId="8" xfId="0" applyNumberFormat="1" applyFont="1" applyBorder="1" applyAlignment="1">
      <alignment horizontal="center"/>
    </xf>
    <xf numFmtId="0" fontId="1" fillId="0" borderId="15" xfId="0" applyFont="1" applyBorder="1" applyAlignment="1">
      <alignment horizontal="left"/>
    </xf>
    <xf numFmtId="164" fontId="1" fillId="0" borderId="7" xfId="0" applyNumberFormat="1" applyFont="1" applyFill="1" applyBorder="1" applyAlignment="1"/>
    <xf numFmtId="0" fontId="1" fillId="0" borderId="1" xfId="0" applyFont="1" applyFill="1" applyBorder="1" applyAlignment="1">
      <alignment horizontal="right"/>
    </xf>
    <xf numFmtId="164" fontId="43" fillId="0" borderId="1" xfId="0" applyNumberFormat="1" applyFont="1" applyFill="1" applyBorder="1"/>
    <xf numFmtId="0" fontId="43" fillId="0" borderId="12" xfId="0" applyFont="1" applyFill="1" applyBorder="1"/>
    <xf numFmtId="0" fontId="10" fillId="0" borderId="7" xfId="0" applyNumberFormat="1" applyFont="1" applyFill="1" applyBorder="1" applyAlignment="1">
      <alignment horizontal="right"/>
    </xf>
    <xf numFmtId="0" fontId="3" fillId="5" borderId="4" xfId="0" applyNumberFormat="1" applyFont="1" applyFill="1" applyBorder="1"/>
    <xf numFmtId="0" fontId="32" fillId="0" borderId="10" xfId="0" applyNumberFormat="1" applyFont="1" applyFill="1" applyBorder="1"/>
    <xf numFmtId="0" fontId="17" fillId="0" borderId="2" xfId="0" applyFont="1" applyBorder="1"/>
    <xf numFmtId="0" fontId="3" fillId="0" borderId="3" xfId="0" applyFont="1" applyBorder="1"/>
    <xf numFmtId="0" fontId="3" fillId="0" borderId="6" xfId="0" applyFont="1" applyBorder="1"/>
    <xf numFmtId="167" fontId="3" fillId="0" borderId="10" xfId="0" applyNumberFormat="1" applyFont="1" applyFill="1" applyBorder="1"/>
    <xf numFmtId="167" fontId="3" fillId="0" borderId="6" xfId="0" applyNumberFormat="1" applyFont="1" applyFill="1" applyBorder="1"/>
    <xf numFmtId="0" fontId="3" fillId="0" borderId="10" xfId="0" applyFont="1" applyBorder="1"/>
    <xf numFmtId="0" fontId="3" fillId="0" borderId="10" xfId="0" applyFont="1" applyFill="1" applyBorder="1"/>
    <xf numFmtId="167" fontId="3" fillId="0" borderId="0" xfId="0" applyNumberFormat="1" applyFont="1" applyBorder="1"/>
    <xf numFmtId="0" fontId="8" fillId="0" borderId="2" xfId="0" applyFont="1" applyFill="1" applyBorder="1"/>
    <xf numFmtId="167" fontId="1" fillId="0" borderId="10" xfId="0" applyNumberFormat="1" applyFont="1" applyFill="1" applyBorder="1"/>
    <xf numFmtId="167" fontId="1" fillId="0" borderId="6" xfId="0" applyNumberFormat="1" applyFont="1" applyFill="1" applyBorder="1"/>
    <xf numFmtId="0" fontId="32" fillId="10" borderId="15" xfId="0" applyNumberFormat="1" applyFont="1" applyFill="1" applyBorder="1"/>
    <xf numFmtId="0" fontId="50" fillId="0" borderId="10" xfId="0" applyNumberFormat="1" applyFont="1" applyFill="1" applyBorder="1"/>
    <xf numFmtId="0" fontId="50" fillId="10" borderId="15" xfId="0" applyNumberFormat="1" applyFont="1" applyFill="1" applyBorder="1"/>
    <xf numFmtId="0" fontId="2" fillId="0" borderId="11" xfId="0" applyNumberFormat="1" applyFont="1" applyBorder="1"/>
    <xf numFmtId="0" fontId="2" fillId="10" borderId="11" xfId="0" applyNumberFormat="1" applyFont="1" applyFill="1" applyBorder="1"/>
    <xf numFmtId="0" fontId="3" fillId="5" borderId="4" xfId="0" applyNumberFormat="1" applyFont="1" applyFill="1" applyBorder="1" applyAlignment="1">
      <alignment horizontal="right"/>
    </xf>
    <xf numFmtId="0" fontId="1" fillId="5" borderId="4" xfId="0" applyNumberFormat="1" applyFont="1" applyFill="1" applyBorder="1" applyAlignment="1">
      <alignment horizontal="center"/>
    </xf>
    <xf numFmtId="0" fontId="3" fillId="3" borderId="0" xfId="0" applyFont="1" applyFill="1"/>
    <xf numFmtId="0" fontId="2" fillId="3" borderId="0" xfId="0" applyFont="1" applyFill="1" applyAlignment="1">
      <alignment horizontal="right"/>
    </xf>
    <xf numFmtId="0" fontId="3" fillId="3" borderId="0" xfId="0" applyFont="1" applyFill="1" applyAlignment="1">
      <alignment horizontal="left"/>
    </xf>
    <xf numFmtId="167" fontId="2" fillId="0" borderId="11" xfId="1" applyNumberFormat="1" applyFont="1" applyBorder="1"/>
    <xf numFmtId="0" fontId="1" fillId="14" borderId="0" xfId="0" applyFont="1" applyFill="1"/>
    <xf numFmtId="0" fontId="2" fillId="0" borderId="0" xfId="0" applyFont="1" applyAlignment="1">
      <alignment horizontal="center"/>
    </xf>
    <xf numFmtId="164" fontId="1" fillId="2" borderId="1" xfId="0" applyNumberFormat="1" applyFont="1" applyFill="1" applyBorder="1" applyAlignment="1">
      <alignment horizontal="right"/>
    </xf>
    <xf numFmtId="168" fontId="1" fillId="2" borderId="0" xfId="0" applyNumberFormat="1" applyFont="1" applyFill="1" applyBorder="1" applyAlignment="1">
      <alignment horizontal="right"/>
    </xf>
    <xf numFmtId="0" fontId="2" fillId="0" borderId="0" xfId="1" applyFont="1" applyFill="1" applyBorder="1" applyAlignment="1">
      <alignment horizontal="center"/>
    </xf>
    <xf numFmtId="0" fontId="2" fillId="3" borderId="7" xfId="0" applyFont="1" applyFill="1" applyBorder="1"/>
    <xf numFmtId="0" fontId="1" fillId="3" borderId="7" xfId="0" applyFont="1" applyFill="1" applyBorder="1"/>
    <xf numFmtId="0" fontId="18" fillId="6" borderId="14" xfId="1" applyFont="1" applyFill="1" applyBorder="1" applyAlignment="1">
      <alignment horizontal="center" wrapText="1"/>
    </xf>
    <xf numFmtId="167" fontId="2" fillId="0" borderId="8" xfId="1" applyNumberFormat="1" applyFont="1" applyBorder="1"/>
    <xf numFmtId="0" fontId="18" fillId="6" borderId="2" xfId="1" applyFont="1" applyFill="1" applyBorder="1" applyAlignment="1"/>
    <xf numFmtId="0" fontId="8" fillId="6" borderId="10" xfId="0" applyFont="1" applyFill="1" applyBorder="1" applyAlignment="1">
      <alignment horizontal="center" vertical="center" shrinkToFit="1"/>
    </xf>
    <xf numFmtId="0" fontId="8" fillId="6" borderId="6" xfId="0" applyFont="1" applyFill="1" applyBorder="1" applyAlignment="1">
      <alignment horizontal="center" vertical="center" shrinkToFit="1"/>
    </xf>
    <xf numFmtId="2" fontId="1" fillId="12" borderId="0" xfId="0" applyNumberFormat="1" applyFont="1" applyFill="1"/>
    <xf numFmtId="2" fontId="1" fillId="0" borderId="0" xfId="0" applyNumberFormat="1" applyFont="1" applyBorder="1" applyAlignment="1">
      <alignment horizontal="right"/>
    </xf>
    <xf numFmtId="2" fontId="1" fillId="12" borderId="0" xfId="0" applyNumberFormat="1" applyFont="1" applyFill="1" applyAlignment="1">
      <alignment horizontal="right"/>
    </xf>
    <xf numFmtId="167" fontId="1" fillId="11" borderId="15" xfId="0" applyNumberFormat="1" applyFont="1" applyFill="1" applyBorder="1"/>
    <xf numFmtId="0" fontId="1" fillId="0" borderId="13" xfId="0" applyFont="1" applyBorder="1" applyAlignment="1">
      <alignment horizontal="center"/>
    </xf>
    <xf numFmtId="0" fontId="1" fillId="0" borderId="12" xfId="0" applyFont="1" applyBorder="1" applyAlignment="1">
      <alignment horizontal="center"/>
    </xf>
    <xf numFmtId="0" fontId="1" fillId="0" borderId="4" xfId="0" applyFont="1" applyBorder="1" applyAlignment="1">
      <alignment horizontal="center"/>
    </xf>
    <xf numFmtId="0" fontId="1" fillId="0" borderId="13" xfId="0" applyFont="1" applyBorder="1" applyAlignment="1">
      <alignment horizontal="center"/>
    </xf>
    <xf numFmtId="167" fontId="1" fillId="0" borderId="0" xfId="0" applyNumberFormat="1" applyFont="1" applyBorder="1" applyAlignment="1">
      <alignment horizontal="right"/>
    </xf>
    <xf numFmtId="2" fontId="1" fillId="0" borderId="0" xfId="0" applyNumberFormat="1" applyFont="1" applyFill="1" applyBorder="1" applyAlignment="1">
      <alignment horizontal="right"/>
    </xf>
    <xf numFmtId="167" fontId="1" fillId="0" borderId="0" xfId="0" applyNumberFormat="1" applyFont="1" applyFill="1" applyBorder="1" applyAlignment="1">
      <alignment horizontal="right"/>
    </xf>
    <xf numFmtId="0" fontId="2" fillId="0" borderId="0" xfId="0" applyFont="1" applyAlignment="1">
      <alignment horizontal="right"/>
    </xf>
    <xf numFmtId="0" fontId="1" fillId="0" borderId="14" xfId="0" applyFont="1" applyBorder="1" applyAlignment="1">
      <alignment horizontal="center"/>
    </xf>
    <xf numFmtId="0" fontId="1" fillId="0" borderId="4" xfId="0" applyFont="1" applyBorder="1" applyAlignment="1">
      <alignment horizontal="center"/>
    </xf>
    <xf numFmtId="0" fontId="1" fillId="0" borderId="7" xfId="0" applyFont="1" applyFill="1" applyBorder="1" applyAlignment="1">
      <alignment horizontal="center"/>
    </xf>
    <xf numFmtId="0" fontId="1" fillId="0" borderId="10" xfId="0" applyFont="1" applyBorder="1" applyAlignment="1">
      <alignment horizontal="center"/>
    </xf>
    <xf numFmtId="0" fontId="1" fillId="0" borderId="15" xfId="0" applyFont="1" applyBorder="1" applyAlignment="1">
      <alignment horizontal="center"/>
    </xf>
    <xf numFmtId="0" fontId="1" fillId="0" borderId="4" xfId="0" applyFont="1" applyBorder="1" applyAlignment="1">
      <alignment horizontal="center"/>
    </xf>
    <xf numFmtId="0" fontId="1" fillId="0" borderId="13" xfId="0" applyFont="1" applyBorder="1" applyAlignment="1">
      <alignment horizontal="center"/>
    </xf>
    <xf numFmtId="0" fontId="1" fillId="0" borderId="15" xfId="0" applyFont="1" applyBorder="1" applyAlignment="1">
      <alignment horizontal="center"/>
    </xf>
    <xf numFmtId="2" fontId="1" fillId="11" borderId="8" xfId="0" applyNumberFormat="1" applyFont="1" applyFill="1" applyBorder="1" applyAlignment="1">
      <alignment horizontal="center"/>
    </xf>
    <xf numFmtId="0" fontId="1" fillId="11" borderId="15" xfId="0" applyFont="1" applyFill="1" applyBorder="1"/>
    <xf numFmtId="2" fontId="1" fillId="11" borderId="15" xfId="0" applyNumberFormat="1" applyFont="1" applyFill="1" applyBorder="1" applyAlignment="1">
      <alignment horizontal="center"/>
    </xf>
    <xf numFmtId="2" fontId="1" fillId="5" borderId="15" xfId="0" applyNumberFormat="1" applyFont="1" applyFill="1" applyBorder="1" applyAlignment="1">
      <alignment horizontal="center"/>
    </xf>
    <xf numFmtId="0" fontId="1" fillId="5" borderId="15" xfId="0" applyFont="1" applyFill="1" applyBorder="1"/>
    <xf numFmtId="2" fontId="1" fillId="5" borderId="8" xfId="0" applyNumberFormat="1" applyFont="1" applyFill="1" applyBorder="1" applyAlignment="1">
      <alignment horizontal="center"/>
    </xf>
    <xf numFmtId="2" fontId="1" fillId="5" borderId="15" xfId="0" applyNumberFormat="1" applyFont="1" applyFill="1" applyBorder="1"/>
    <xf numFmtId="0" fontId="8" fillId="0" borderId="0" xfId="0" applyFont="1" applyFill="1" applyBorder="1" applyAlignment="1">
      <alignment horizontal="center"/>
    </xf>
    <xf numFmtId="167" fontId="1" fillId="0" borderId="8" xfId="0" applyNumberFormat="1" applyFont="1" applyBorder="1" applyAlignment="1">
      <alignment horizontal="center"/>
    </xf>
    <xf numFmtId="0" fontId="4" fillId="0" borderId="5" xfId="0" applyFont="1" applyBorder="1"/>
    <xf numFmtId="164" fontId="1" fillId="11" borderId="0" xfId="0" applyNumberFormat="1" applyFont="1" applyFill="1" applyBorder="1"/>
    <xf numFmtId="0" fontId="3" fillId="0" borderId="7" xfId="0" applyNumberFormat="1" applyFont="1" applyFill="1" applyBorder="1" applyAlignment="1">
      <alignment vertical="center"/>
    </xf>
    <xf numFmtId="0" fontId="1" fillId="0" borderId="13" xfId="0" applyFont="1" applyBorder="1" applyAlignment="1">
      <alignment horizontal="center"/>
    </xf>
    <xf numFmtId="0" fontId="1" fillId="5" borderId="15" xfId="0" applyFont="1" applyFill="1" applyBorder="1" applyAlignment="1">
      <alignment horizontal="center"/>
    </xf>
    <xf numFmtId="0" fontId="1" fillId="11" borderId="15" xfId="0" applyFont="1" applyFill="1" applyBorder="1" applyAlignment="1">
      <alignment horizontal="center"/>
    </xf>
    <xf numFmtId="164" fontId="1" fillId="11" borderId="0" xfId="0" applyNumberFormat="1" applyFont="1" applyFill="1" applyBorder="1" applyAlignment="1">
      <alignment horizontal="center"/>
    </xf>
    <xf numFmtId="167" fontId="1" fillId="10" borderId="15" xfId="0" applyNumberFormat="1" applyFont="1" applyFill="1" applyBorder="1"/>
    <xf numFmtId="167" fontId="1" fillId="10" borderId="8" xfId="0" applyNumberFormat="1" applyFont="1" applyFill="1" applyBorder="1"/>
    <xf numFmtId="167" fontId="1" fillId="6" borderId="15" xfId="0" applyNumberFormat="1" applyFont="1" applyFill="1" applyBorder="1" applyAlignment="1">
      <alignment horizontal="center"/>
    </xf>
    <xf numFmtId="167" fontId="1" fillId="6" borderId="8" xfId="0" applyNumberFormat="1" applyFont="1" applyFill="1" applyBorder="1" applyAlignment="1">
      <alignment horizontal="center"/>
    </xf>
    <xf numFmtId="0" fontId="8" fillId="6" borderId="6" xfId="0" applyFont="1" applyFill="1" applyBorder="1" applyAlignment="1">
      <alignment horizontal="center" vertical="center"/>
    </xf>
    <xf numFmtId="0" fontId="3" fillId="5" borderId="12" xfId="0" applyNumberFormat="1" applyFont="1" applyFill="1" applyBorder="1"/>
    <xf numFmtId="0" fontId="50" fillId="0" borderId="15" xfId="0" applyNumberFormat="1" applyFont="1" applyFill="1" applyBorder="1"/>
    <xf numFmtId="167" fontId="1" fillId="0" borderId="0" xfId="0" applyNumberFormat="1" applyFont="1" applyAlignment="1">
      <alignment horizontal="center"/>
    </xf>
    <xf numFmtId="0" fontId="2" fillId="12" borderId="0" xfId="1" applyFont="1" applyFill="1"/>
    <xf numFmtId="0" fontId="2" fillId="11" borderId="0" xfId="0" applyFont="1" applyFill="1" applyAlignment="1">
      <alignment horizontal="left"/>
    </xf>
    <xf numFmtId="0" fontId="2" fillId="0" borderId="15" xfId="0" applyNumberFormat="1" applyFont="1" applyFill="1" applyBorder="1" applyAlignment="1">
      <alignment horizontal="center"/>
    </xf>
    <xf numFmtId="2" fontId="1" fillId="0" borderId="7" xfId="0" applyNumberFormat="1" applyFont="1" applyFill="1" applyBorder="1" applyAlignment="1">
      <alignment horizontal="right"/>
    </xf>
    <xf numFmtId="0" fontId="4" fillId="0" borderId="2" xfId="0" applyFont="1" applyFill="1" applyBorder="1"/>
    <xf numFmtId="167" fontId="1" fillId="0" borderId="7" xfId="0" applyNumberFormat="1" applyFont="1" applyBorder="1" applyAlignment="1">
      <alignment horizontal="right"/>
    </xf>
    <xf numFmtId="0" fontId="1" fillId="0" borderId="7" xfId="0" applyFont="1" applyBorder="1" applyAlignment="1">
      <alignment horizontal="right"/>
    </xf>
    <xf numFmtId="0" fontId="1" fillId="0" borderId="7" xfId="0" applyFont="1" applyFill="1" applyBorder="1" applyAlignment="1">
      <alignment horizontal="right"/>
    </xf>
    <xf numFmtId="167" fontId="1" fillId="0" borderId="7" xfId="0" applyNumberFormat="1" applyFont="1" applyFill="1" applyBorder="1" applyAlignment="1">
      <alignment horizontal="right"/>
    </xf>
    <xf numFmtId="2" fontId="2" fillId="5" borderId="0" xfId="0" applyNumberFormat="1" applyFont="1" applyFill="1" applyBorder="1"/>
    <xf numFmtId="2" fontId="2" fillId="5" borderId="7" xfId="0" applyNumberFormat="1" applyFont="1" applyFill="1" applyBorder="1"/>
    <xf numFmtId="0" fontId="2" fillId="5" borderId="8" xfId="0" applyFont="1" applyFill="1" applyBorder="1"/>
    <xf numFmtId="167" fontId="43" fillId="5" borderId="7" xfId="0" applyNumberFormat="1" applyFont="1" applyFill="1" applyBorder="1" applyAlignment="1">
      <alignment horizontal="center"/>
    </xf>
    <xf numFmtId="167" fontId="43" fillId="5" borderId="8" xfId="0" applyNumberFormat="1" applyFont="1" applyFill="1" applyBorder="1" applyAlignment="1">
      <alignment horizontal="center"/>
    </xf>
    <xf numFmtId="2" fontId="3" fillId="2" borderId="0" xfId="0" applyNumberFormat="1" applyFont="1" applyFill="1" applyAlignment="1">
      <alignment horizontal="right"/>
    </xf>
    <xf numFmtId="0" fontId="3" fillId="2" borderId="15" xfId="0" applyNumberFormat="1" applyFont="1" applyFill="1" applyBorder="1" applyAlignment="1">
      <alignment horizontal="center"/>
    </xf>
    <xf numFmtId="0" fontId="3" fillId="0" borderId="15" xfId="0" applyNumberFormat="1" applyFont="1" applyFill="1" applyBorder="1" applyAlignment="1">
      <alignment horizontal="center"/>
    </xf>
    <xf numFmtId="0" fontId="17" fillId="0" borderId="15" xfId="0" applyNumberFormat="1" applyFont="1" applyFill="1" applyBorder="1" applyAlignment="1">
      <alignment horizontal="center"/>
    </xf>
    <xf numFmtId="0" fontId="8" fillId="6" borderId="14" xfId="0" applyFont="1" applyFill="1" applyBorder="1"/>
    <xf numFmtId="0" fontId="18" fillId="0" borderId="0" xfId="0" applyFont="1" applyFill="1" applyBorder="1"/>
    <xf numFmtId="0" fontId="1" fillId="6" borderId="8" xfId="0" applyNumberFormat="1" applyFont="1" applyFill="1" applyBorder="1"/>
    <xf numFmtId="0" fontId="1" fillId="0" borderId="5" xfId="0" applyFont="1" applyBorder="1" applyAlignment="1">
      <alignment horizontal="center"/>
    </xf>
    <xf numFmtId="0" fontId="1" fillId="0" borderId="12" xfId="0" applyFont="1" applyBorder="1" applyAlignment="1">
      <alignment horizontal="center"/>
    </xf>
    <xf numFmtId="0" fontId="1" fillId="0" borderId="14" xfId="0" applyFont="1" applyBorder="1" applyAlignment="1">
      <alignment horizontal="center"/>
    </xf>
    <xf numFmtId="0" fontId="2" fillId="0" borderId="10"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0" fontId="2" fillId="0" borderId="6" xfId="0" applyNumberFormat="1" applyFont="1" applyFill="1" applyBorder="1" applyAlignment="1">
      <alignment horizontal="center" vertical="center"/>
    </xf>
    <xf numFmtId="0" fontId="2" fillId="0" borderId="0" xfId="0" applyFont="1" applyFill="1" applyBorder="1" applyAlignment="1">
      <alignment horizontal="center"/>
    </xf>
    <xf numFmtId="0" fontId="2" fillId="0" borderId="15" xfId="0" applyNumberFormat="1" applyFont="1" applyFill="1" applyBorder="1" applyAlignment="1">
      <alignment horizontal="center" vertical="center"/>
    </xf>
    <xf numFmtId="0" fontId="1" fillId="0" borderId="13" xfId="0" applyFont="1" applyFill="1" applyBorder="1" applyAlignment="1">
      <alignment horizontal="center"/>
    </xf>
    <xf numFmtId="0" fontId="11" fillId="0" borderId="0" xfId="0" applyFont="1" applyFill="1"/>
    <xf numFmtId="0" fontId="26" fillId="0" borderId="0" xfId="0" applyFont="1" applyFill="1"/>
    <xf numFmtId="167" fontId="1" fillId="0" borderId="0" xfId="0" applyNumberFormat="1" applyFont="1" applyFill="1" applyAlignment="1">
      <alignment horizontal="center"/>
    </xf>
    <xf numFmtId="0" fontId="1" fillId="5" borderId="15" xfId="0" applyNumberFormat="1" applyFont="1" applyFill="1" applyBorder="1"/>
    <xf numFmtId="164" fontId="1" fillId="0" borderId="0" xfId="0" applyNumberFormat="1" applyFont="1" applyFill="1" applyBorder="1"/>
    <xf numFmtId="0" fontId="2" fillId="0" borderId="0" xfId="0" applyNumberFormat="1" applyFont="1" applyFill="1" applyBorder="1" applyAlignment="1">
      <alignment horizontal="center" vertical="center"/>
    </xf>
    <xf numFmtId="167" fontId="3" fillId="0" borderId="10" xfId="0" applyNumberFormat="1" applyFont="1" applyFill="1" applyBorder="1" applyAlignment="1">
      <alignment horizontal="right" vertical="center"/>
    </xf>
    <xf numFmtId="167" fontId="2" fillId="0" borderId="11" xfId="0" applyNumberFormat="1" applyFont="1" applyFill="1" applyBorder="1" applyAlignment="1">
      <alignment horizontal="right" vertical="center"/>
    </xf>
    <xf numFmtId="0" fontId="1" fillId="0" borderId="11" xfId="0" applyFont="1" applyFill="1" applyBorder="1" applyAlignment="1">
      <alignment horizontal="right"/>
    </xf>
    <xf numFmtId="0" fontId="2" fillId="0" borderId="8" xfId="0" applyNumberFormat="1" applyFont="1" applyFill="1" applyBorder="1" applyAlignment="1">
      <alignment horizontal="center" vertical="center"/>
    </xf>
    <xf numFmtId="0" fontId="1" fillId="0" borderId="0" xfId="0" applyFont="1" applyAlignment="1">
      <alignment horizontal="left" wrapText="1"/>
    </xf>
    <xf numFmtId="164" fontId="3" fillId="2" borderId="0" xfId="0" applyNumberFormat="1" applyFont="1" applyFill="1"/>
    <xf numFmtId="0" fontId="3" fillId="3" borderId="0" xfId="0" applyFont="1" applyFill="1" applyAlignment="1">
      <alignment horizontal="center"/>
    </xf>
    <xf numFmtId="0" fontId="3" fillId="3" borderId="0" xfId="0" applyFont="1" applyFill="1" applyAlignment="1">
      <alignment horizontal="left" wrapText="1"/>
    </xf>
    <xf numFmtId="0" fontId="1" fillId="0" borderId="12" xfId="0" applyFont="1" applyBorder="1" applyAlignment="1">
      <alignment horizontal="center"/>
    </xf>
    <xf numFmtId="0" fontId="1" fillId="0" borderId="4" xfId="0" applyFont="1" applyBorder="1" applyAlignment="1">
      <alignment horizontal="center"/>
    </xf>
    <xf numFmtId="0" fontId="18" fillId="6" borderId="14" xfId="1" applyFont="1" applyFill="1" applyBorder="1" applyAlignment="1">
      <alignment horizontal="center"/>
    </xf>
    <xf numFmtId="0" fontId="1" fillId="0" borderId="11" xfId="0" applyFont="1" applyBorder="1" applyAlignment="1">
      <alignment horizontal="center"/>
    </xf>
    <xf numFmtId="2" fontId="2" fillId="5" borderId="0" xfId="1" applyNumberFormat="1" applyFont="1" applyFill="1" applyBorder="1"/>
    <xf numFmtId="167" fontId="2" fillId="0" borderId="10" xfId="1" applyNumberFormat="1" applyFont="1" applyBorder="1"/>
    <xf numFmtId="0" fontId="1" fillId="3" borderId="10" xfId="0" applyFont="1" applyFill="1" applyBorder="1" applyAlignment="1">
      <alignment horizontal="center"/>
    </xf>
    <xf numFmtId="0" fontId="1" fillId="3" borderId="15" xfId="0" applyFont="1" applyFill="1" applyBorder="1" applyAlignment="1">
      <alignment horizontal="center"/>
    </xf>
    <xf numFmtId="0" fontId="2" fillId="0" borderId="15" xfId="1" applyFont="1" applyFill="1" applyBorder="1" applyAlignment="1">
      <alignment horizontal="center"/>
    </xf>
    <xf numFmtId="0" fontId="1" fillId="0" borderId="12" xfId="0" applyFont="1" applyBorder="1" applyAlignment="1">
      <alignment horizontal="center"/>
    </xf>
    <xf numFmtId="0" fontId="1" fillId="0" borderId="4" xfId="0" applyFont="1" applyBorder="1" applyAlignment="1">
      <alignment horizontal="center"/>
    </xf>
    <xf numFmtId="0" fontId="2" fillId="0" borderId="1" xfId="0" applyNumberFormat="1" applyFont="1" applyFill="1" applyBorder="1" applyAlignment="1">
      <alignment horizontal="center"/>
    </xf>
    <xf numFmtId="0" fontId="2" fillId="0" borderId="11" xfId="0" applyNumberFormat="1" applyFont="1" applyFill="1" applyBorder="1" applyAlignment="1">
      <alignment horizontal="center"/>
    </xf>
    <xf numFmtId="0" fontId="1" fillId="0" borderId="15" xfId="0" applyFont="1" applyBorder="1" applyAlignment="1">
      <alignment horizontal="center"/>
    </xf>
    <xf numFmtId="0" fontId="2" fillId="0" borderId="15" xfId="0" applyNumberFormat="1" applyFont="1" applyFill="1" applyBorder="1" applyAlignment="1">
      <alignment horizontal="center"/>
    </xf>
    <xf numFmtId="0" fontId="1" fillId="3" borderId="0" xfId="0" applyFont="1" applyFill="1" applyAlignment="1">
      <alignment horizontal="left"/>
    </xf>
    <xf numFmtId="0" fontId="18" fillId="6" borderId="12" xfId="1" applyFont="1" applyFill="1" applyBorder="1" applyAlignment="1">
      <alignment horizontal="left"/>
    </xf>
    <xf numFmtId="0" fontId="1" fillId="0" borderId="3" xfId="0" applyFont="1" applyBorder="1" applyAlignment="1"/>
    <xf numFmtId="0" fontId="1" fillId="0" borderId="6" xfId="0" applyFont="1" applyBorder="1" applyAlignment="1"/>
    <xf numFmtId="0" fontId="1" fillId="0" borderId="8" xfId="0" applyFont="1" applyBorder="1" applyAlignment="1"/>
    <xf numFmtId="0" fontId="1" fillId="0" borderId="0" xfId="0" applyFont="1" applyAlignment="1">
      <alignment vertical="top"/>
    </xf>
    <xf numFmtId="0" fontId="18" fillId="11" borderId="0" xfId="0" applyFont="1" applyFill="1"/>
    <xf numFmtId="2" fontId="8" fillId="5" borderId="13" xfId="0" applyNumberFormat="1" applyFont="1" applyFill="1" applyBorder="1"/>
    <xf numFmtId="0" fontId="2" fillId="0" borderId="0" xfId="0" applyNumberFormat="1" applyFont="1" applyFill="1" applyAlignment="1">
      <alignment horizontal="left"/>
    </xf>
    <xf numFmtId="0" fontId="2" fillId="5" borderId="0" xfId="0" applyFont="1" applyFill="1" applyBorder="1" applyAlignment="1">
      <alignment horizontal="center"/>
    </xf>
    <xf numFmtId="172" fontId="1" fillId="0" borderId="8" xfId="0" applyNumberFormat="1" applyFont="1" applyBorder="1"/>
    <xf numFmtId="0" fontId="2" fillId="0" borderId="0" xfId="1" applyFont="1" applyFill="1" applyAlignment="1">
      <alignment horizontal="right"/>
    </xf>
    <xf numFmtId="1" fontId="1" fillId="0" borderId="0" xfId="0" applyNumberFormat="1" applyFont="1" applyFill="1" applyBorder="1" applyAlignment="1">
      <alignment horizontal="center"/>
    </xf>
    <xf numFmtId="164" fontId="42" fillId="0" borderId="13" xfId="0" applyNumberFormat="1" applyFont="1" applyFill="1" applyBorder="1" applyAlignment="1">
      <alignment horizontal="center"/>
    </xf>
    <xf numFmtId="2" fontId="2" fillId="0" borderId="0" xfId="0" applyNumberFormat="1" applyFont="1" applyFill="1" applyBorder="1" applyAlignment="1">
      <alignment horizontal="center"/>
    </xf>
    <xf numFmtId="2" fontId="3" fillId="2" borderId="0" xfId="0" applyNumberFormat="1" applyFont="1" applyFill="1" applyBorder="1" applyAlignment="1">
      <alignment horizontal="center"/>
    </xf>
    <xf numFmtId="0" fontId="13" fillId="0" borderId="4" xfId="0" applyFont="1" applyBorder="1" applyAlignment="1">
      <alignment horizontal="center"/>
    </xf>
    <xf numFmtId="0" fontId="18" fillId="11" borderId="0" xfId="0" applyFont="1" applyFill="1" applyBorder="1" applyAlignment="1">
      <alignment horizontal="center" vertical="center" wrapText="1"/>
    </xf>
    <xf numFmtId="164" fontId="42" fillId="0" borderId="0" xfId="0" applyNumberFormat="1" applyFont="1" applyFill="1" applyBorder="1" applyAlignment="1">
      <alignment horizontal="center"/>
    </xf>
    <xf numFmtId="0" fontId="9" fillId="0" borderId="0" xfId="0" applyFont="1" applyAlignment="1"/>
    <xf numFmtId="0" fontId="2" fillId="0" borderId="0" xfId="0" applyFont="1" applyFill="1" applyBorder="1" applyAlignment="1">
      <alignment horizontal="left"/>
    </xf>
    <xf numFmtId="0" fontId="9" fillId="0" borderId="0" xfId="0" applyFont="1" applyAlignment="1">
      <alignment horizontal="left"/>
    </xf>
    <xf numFmtId="0" fontId="9" fillId="0" borderId="0" xfId="0" applyFont="1" applyAlignment="1">
      <alignment horizontal="left" wrapText="1"/>
    </xf>
    <xf numFmtId="2" fontId="1" fillId="0" borderId="0" xfId="0" applyNumberFormat="1" applyFont="1" applyFill="1" applyBorder="1" applyAlignment="1"/>
    <xf numFmtId="0" fontId="1" fillId="0" borderId="9" xfId="0" applyFont="1" applyBorder="1" applyAlignment="1">
      <alignment horizontal="center"/>
    </xf>
    <xf numFmtId="0" fontId="1" fillId="0" borderId="4" xfId="0" applyFont="1" applyBorder="1" applyAlignment="1">
      <alignment horizontal="center"/>
    </xf>
    <xf numFmtId="0" fontId="1" fillId="0" borderId="11" xfId="0" applyFont="1" applyBorder="1" applyAlignment="1">
      <alignment horizontal="center"/>
    </xf>
    <xf numFmtId="0" fontId="3" fillId="15" borderId="0" xfId="0" applyFont="1" applyFill="1" applyAlignment="1">
      <alignment horizontal="center"/>
    </xf>
    <xf numFmtId="0" fontId="2" fillId="0" borderId="10" xfId="0" applyFont="1" applyFill="1" applyBorder="1" applyAlignment="1">
      <alignment horizontal="center" vertical="center"/>
    </xf>
    <xf numFmtId="0" fontId="8" fillId="0" borderId="12" xfId="0" applyFont="1" applyFill="1" applyBorder="1" applyAlignment="1">
      <alignment horizontal="right"/>
    </xf>
    <xf numFmtId="0" fontId="8" fillId="0" borderId="13" xfId="0" applyFont="1" applyFill="1" applyBorder="1" applyAlignment="1">
      <alignment horizontal="right"/>
    </xf>
    <xf numFmtId="0" fontId="8" fillId="0" borderId="12" xfId="0" applyFont="1" applyBorder="1" applyAlignment="1">
      <alignment horizontal="right"/>
    </xf>
    <xf numFmtId="0" fontId="8" fillId="0" borderId="13" xfId="0" applyFont="1" applyBorder="1" applyAlignment="1">
      <alignment horizontal="right"/>
    </xf>
    <xf numFmtId="2" fontId="8" fillId="0" borderId="14" xfId="0" applyNumberFormat="1" applyFont="1" applyFill="1" applyBorder="1"/>
    <xf numFmtId="0" fontId="8" fillId="0" borderId="1" xfId="0" applyFont="1" applyFill="1" applyBorder="1"/>
    <xf numFmtId="2" fontId="8" fillId="0" borderId="9" xfId="0" applyNumberFormat="1" applyFont="1" applyFill="1" applyBorder="1"/>
    <xf numFmtId="0" fontId="8" fillId="0" borderId="5" xfId="0" applyFont="1" applyFill="1" applyBorder="1"/>
    <xf numFmtId="2" fontId="8" fillId="0" borderId="1" xfId="0" applyNumberFormat="1" applyFont="1" applyFill="1" applyBorder="1"/>
    <xf numFmtId="0" fontId="8" fillId="0" borderId="9" xfId="0" applyFont="1" applyFill="1" applyBorder="1"/>
    <xf numFmtId="167" fontId="1" fillId="0" borderId="2" xfId="0" applyNumberFormat="1" applyFont="1" applyFill="1" applyBorder="1"/>
    <xf numFmtId="167" fontId="1" fillId="0" borderId="3" xfId="0" applyNumberFormat="1" applyFont="1" applyFill="1" applyBorder="1"/>
    <xf numFmtId="2" fontId="1" fillId="0" borderId="12" xfId="0" applyNumberFormat="1" applyFont="1" applyFill="1" applyBorder="1"/>
    <xf numFmtId="0" fontId="8" fillId="0" borderId="13" xfId="0" applyFont="1" applyBorder="1" applyAlignment="1">
      <alignment horizontal="left"/>
    </xf>
    <xf numFmtId="0" fontId="8" fillId="0" borderId="14" xfId="0" applyFont="1" applyFill="1" applyBorder="1" applyAlignment="1">
      <alignment horizontal="right"/>
    </xf>
    <xf numFmtId="0" fontId="8" fillId="0" borderId="1" xfId="0" applyFont="1" applyFill="1" applyBorder="1" applyAlignment="1">
      <alignment horizontal="right"/>
    </xf>
    <xf numFmtId="0" fontId="8" fillId="0" borderId="14" xfId="0" applyFont="1" applyBorder="1" applyAlignment="1">
      <alignment horizontal="right"/>
    </xf>
    <xf numFmtId="167" fontId="2" fillId="0" borderId="2" xfId="1" applyNumberFormat="1" applyFont="1" applyBorder="1"/>
    <xf numFmtId="167" fontId="2" fillId="0" borderId="7" xfId="1" applyNumberFormat="1" applyFont="1" applyBorder="1"/>
    <xf numFmtId="167" fontId="2" fillId="0" borderId="5" xfId="1" applyNumberFormat="1" applyFont="1" applyBorder="1"/>
    <xf numFmtId="0" fontId="2" fillId="0" borderId="4" xfId="1" applyFont="1" applyFill="1" applyBorder="1" applyAlignment="1">
      <alignment horizontal="center"/>
    </xf>
    <xf numFmtId="0" fontId="1" fillId="0" borderId="0" xfId="1" applyFont="1" applyFill="1"/>
    <xf numFmtId="0" fontId="1" fillId="3" borderId="0" xfId="0" applyFont="1" applyFill="1" applyAlignment="1">
      <alignment horizontal="right"/>
    </xf>
    <xf numFmtId="0" fontId="1" fillId="3" borderId="6" xfId="0" applyFont="1" applyFill="1" applyBorder="1" applyAlignment="1">
      <alignment horizontal="center"/>
    </xf>
    <xf numFmtId="0" fontId="1" fillId="3" borderId="8" xfId="0" applyFont="1" applyFill="1" applyBorder="1" applyAlignment="1">
      <alignment horizontal="center"/>
    </xf>
    <xf numFmtId="0" fontId="2" fillId="0" borderId="11" xfId="1" applyFont="1" applyFill="1" applyBorder="1" applyAlignment="1">
      <alignment horizontal="center"/>
    </xf>
    <xf numFmtId="0" fontId="2" fillId="0" borderId="13" xfId="1" applyFont="1" applyFill="1" applyBorder="1"/>
    <xf numFmtId="0" fontId="2" fillId="0" borderId="14" xfId="1" applyFont="1" applyFill="1" applyBorder="1"/>
    <xf numFmtId="0" fontId="18" fillId="0" borderId="12" xfId="1" applyFont="1" applyFill="1" applyBorder="1"/>
    <xf numFmtId="0" fontId="8" fillId="0" borderId="3" xfId="0" applyFont="1" applyFill="1" applyBorder="1"/>
    <xf numFmtId="0" fontId="8" fillId="0" borderId="6" xfId="0" applyFont="1" applyFill="1" applyBorder="1"/>
    <xf numFmtId="0" fontId="51" fillId="0" borderId="0" xfId="0" applyFont="1"/>
    <xf numFmtId="0" fontId="0" fillId="0" borderId="8" xfId="0" applyBorder="1"/>
    <xf numFmtId="0" fontId="0" fillId="0" borderId="9" xfId="0" applyBorder="1"/>
    <xf numFmtId="0" fontId="3" fillId="15" borderId="7" xfId="0" applyNumberFormat="1" applyFont="1" applyFill="1" applyBorder="1"/>
    <xf numFmtId="167" fontId="1" fillId="0" borderId="7" xfId="0" applyNumberFormat="1" applyFont="1" applyFill="1" applyBorder="1" applyAlignment="1"/>
    <xf numFmtId="167" fontId="2" fillId="0" borderId="7" xfId="0" applyNumberFormat="1" applyFont="1" applyFill="1" applyBorder="1" applyAlignment="1"/>
    <xf numFmtId="0" fontId="18" fillId="11" borderId="7" xfId="0" applyFont="1" applyFill="1" applyBorder="1" applyAlignment="1">
      <alignment horizontal="right"/>
    </xf>
    <xf numFmtId="164" fontId="2" fillId="0" borderId="0" xfId="0" applyNumberFormat="1" applyFont="1" applyFill="1" applyBorder="1" applyAlignment="1">
      <alignment horizontal="right"/>
    </xf>
    <xf numFmtId="0" fontId="1" fillId="0" borderId="4"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2" xfId="0" applyFont="1" applyFill="1" applyBorder="1" applyAlignment="1">
      <alignment horizontal="center" vertical="center"/>
    </xf>
    <xf numFmtId="10" fontId="3" fillId="2" borderId="0" xfId="0" applyNumberFormat="1" applyFont="1" applyFill="1" applyAlignment="1">
      <alignment horizontal="right"/>
    </xf>
    <xf numFmtId="0" fontId="2" fillId="16" borderId="12" xfId="0" applyFont="1" applyFill="1" applyBorder="1" applyAlignment="1">
      <alignment vertical="center" wrapText="1"/>
    </xf>
    <xf numFmtId="0" fontId="2" fillId="16" borderId="13" xfId="0" applyFont="1" applyFill="1" applyBorder="1" applyAlignment="1">
      <alignment vertical="center" wrapText="1"/>
    </xf>
    <xf numFmtId="0" fontId="2" fillId="16" borderId="14" xfId="0" applyFont="1" applyFill="1" applyBorder="1" applyAlignment="1">
      <alignment vertical="center" wrapText="1"/>
    </xf>
    <xf numFmtId="0" fontId="1" fillId="0" borderId="5" xfId="0" applyFont="1" applyFill="1" applyBorder="1" applyAlignment="1">
      <alignment horizontal="center" vertical="center"/>
    </xf>
    <xf numFmtId="0" fontId="1" fillId="0" borderId="10" xfId="0" applyFont="1" applyBorder="1" applyAlignment="1">
      <alignment vertical="center"/>
    </xf>
    <xf numFmtId="0" fontId="2" fillId="16" borderId="13" xfId="0" applyFont="1" applyFill="1" applyBorder="1" applyAlignment="1">
      <alignment vertical="center"/>
    </xf>
    <xf numFmtId="164" fontId="3" fillId="6" borderId="12" xfId="0" applyNumberFormat="1" applyFont="1" applyFill="1" applyBorder="1" applyAlignment="1">
      <alignment horizontal="center"/>
    </xf>
    <xf numFmtId="164" fontId="3" fillId="6" borderId="13" xfId="0" applyNumberFormat="1" applyFont="1" applyFill="1" applyBorder="1" applyAlignment="1">
      <alignment horizontal="center"/>
    </xf>
    <xf numFmtId="164" fontId="3" fillId="6" borderId="14" xfId="0" applyNumberFormat="1" applyFont="1" applyFill="1" applyBorder="1" applyAlignment="1">
      <alignment horizontal="center"/>
    </xf>
    <xf numFmtId="164" fontId="1" fillId="0" borderId="4" xfId="0" applyNumberFormat="1" applyFont="1" applyBorder="1" applyAlignment="1">
      <alignment horizontal="center"/>
    </xf>
    <xf numFmtId="0" fontId="10" fillId="0" borderId="3" xfId="0" applyFont="1" applyFill="1" applyBorder="1" applyAlignment="1">
      <alignment horizontal="center"/>
    </xf>
    <xf numFmtId="0" fontId="2" fillId="0" borderId="3" xfId="0" applyFont="1" applyFill="1" applyBorder="1" applyAlignment="1"/>
    <xf numFmtId="0" fontId="1" fillId="0" borderId="3" xfId="0" applyFont="1" applyFill="1" applyBorder="1" applyAlignment="1"/>
    <xf numFmtId="0" fontId="2" fillId="0" borderId="2" xfId="0" applyFont="1" applyFill="1" applyBorder="1" applyAlignment="1"/>
    <xf numFmtId="0" fontId="1" fillId="0" borderId="2" xfId="0" applyFont="1" applyBorder="1" applyAlignment="1">
      <alignment horizontal="left"/>
    </xf>
    <xf numFmtId="0" fontId="1" fillId="5" borderId="7" xfId="0" applyFont="1" applyFill="1" applyBorder="1"/>
    <xf numFmtId="0" fontId="1" fillId="5" borderId="8" xfId="0" applyFont="1" applyFill="1" applyBorder="1"/>
    <xf numFmtId="167" fontId="1" fillId="5" borderId="15" xfId="0" applyNumberFormat="1" applyFont="1" applyFill="1" applyBorder="1"/>
    <xf numFmtId="167" fontId="1" fillId="5" borderId="7" xfId="0" applyNumberFormat="1" applyFont="1" applyFill="1" applyBorder="1"/>
    <xf numFmtId="0" fontId="10" fillId="0" borderId="0" xfId="0" applyFont="1" applyFill="1" applyAlignment="1">
      <alignment horizontal="center"/>
    </xf>
    <xf numFmtId="1" fontId="3" fillId="2" borderId="0" xfId="0" applyNumberFormat="1" applyFont="1" applyFill="1" applyBorder="1"/>
    <xf numFmtId="167" fontId="8" fillId="0" borderId="14" xfId="0" applyNumberFormat="1" applyFont="1" applyBorder="1"/>
    <xf numFmtId="0" fontId="18" fillId="0" borderId="0" xfId="0" applyFont="1" applyFill="1" applyAlignment="1">
      <alignment horizontal="center"/>
    </xf>
    <xf numFmtId="0" fontId="1" fillId="9" borderId="15" xfId="0" applyFont="1" applyFill="1" applyBorder="1" applyAlignment="1">
      <alignment horizontal="center"/>
    </xf>
    <xf numFmtId="167" fontId="1" fillId="3" borderId="0" xfId="0" applyNumberFormat="1" applyFont="1" applyFill="1" applyBorder="1" applyAlignment="1">
      <alignment horizontal="center"/>
    </xf>
    <xf numFmtId="0" fontId="3" fillId="13" borderId="15" xfId="0" applyNumberFormat="1" applyFont="1" applyFill="1" applyBorder="1" applyAlignment="1">
      <alignment vertical="center"/>
    </xf>
    <xf numFmtId="0" fontId="1" fillId="0" borderId="0" xfId="0" applyFont="1" applyBorder="1" applyAlignment="1">
      <alignment horizontal="left"/>
    </xf>
    <xf numFmtId="2" fontId="2" fillId="0" borderId="0" xfId="0" applyNumberFormat="1" applyFont="1" applyFill="1" applyAlignment="1">
      <alignment horizontal="right"/>
    </xf>
    <xf numFmtId="2" fontId="3" fillId="5" borderId="0" xfId="0" applyNumberFormat="1" applyFont="1" applyFill="1" applyBorder="1"/>
    <xf numFmtId="0" fontId="2" fillId="3" borderId="0" xfId="0" applyFont="1" applyFill="1" applyBorder="1" applyAlignment="1">
      <alignment horizontal="center"/>
    </xf>
    <xf numFmtId="0" fontId="1" fillId="0" borderId="15" xfId="0" applyFont="1" applyBorder="1" applyAlignment="1">
      <alignment horizontal="center"/>
    </xf>
    <xf numFmtId="2" fontId="3" fillId="6" borderId="13" xfId="0" applyNumberFormat="1" applyFont="1" applyFill="1" applyBorder="1" applyAlignment="1">
      <alignment horizontal="center"/>
    </xf>
    <xf numFmtId="0" fontId="1" fillId="0" borderId="9" xfId="0" applyFont="1" applyBorder="1" applyAlignment="1">
      <alignment horizontal="center"/>
    </xf>
    <xf numFmtId="0" fontId="1" fillId="11" borderId="0" xfId="0" applyFont="1" applyFill="1" applyBorder="1" applyAlignment="1">
      <alignment horizontal="left"/>
    </xf>
    <xf numFmtId="2" fontId="1" fillId="0" borderId="8" xfId="0" applyNumberFormat="1" applyFont="1" applyFill="1" applyBorder="1" applyAlignment="1">
      <alignment horizontal="center"/>
    </xf>
    <xf numFmtId="0" fontId="2" fillId="2" borderId="0" xfId="0" applyFont="1" applyFill="1" applyBorder="1"/>
    <xf numFmtId="0" fontId="49" fillId="0" borderId="4" xfId="0" applyFont="1" applyBorder="1" applyAlignment="1">
      <alignment horizontal="center"/>
    </xf>
    <xf numFmtId="0" fontId="57" fillId="2" borderId="0" xfId="0" applyFont="1" applyFill="1" applyBorder="1"/>
    <xf numFmtId="1" fontId="1" fillId="12" borderId="0" xfId="0" applyNumberFormat="1" applyFont="1" applyFill="1" applyAlignment="1">
      <alignment horizontal="center"/>
    </xf>
    <xf numFmtId="0" fontId="1" fillId="2" borderId="0" xfId="0" applyFont="1" applyFill="1" applyBorder="1" applyAlignment="1">
      <alignment horizontal="center"/>
    </xf>
    <xf numFmtId="0" fontId="9" fillId="0" borderId="0" xfId="0" applyFont="1" applyAlignment="1">
      <alignment horizontal="center"/>
    </xf>
    <xf numFmtId="0" fontId="1" fillId="6" borderId="4" xfId="0" applyFont="1" applyFill="1" applyBorder="1" applyAlignment="1">
      <alignment horizontal="center"/>
    </xf>
    <xf numFmtId="0" fontId="3" fillId="2" borderId="10" xfId="0" applyFont="1" applyFill="1" applyBorder="1" applyAlignment="1">
      <alignment horizontal="center"/>
    </xf>
    <xf numFmtId="1" fontId="1" fillId="12" borderId="0" xfId="0" applyNumberFormat="1" applyFont="1" applyFill="1" applyAlignment="1">
      <alignment horizontal="left"/>
    </xf>
    <xf numFmtId="0" fontId="1" fillId="0" borderId="10" xfId="0" applyFont="1" applyFill="1" applyBorder="1" applyAlignment="1">
      <alignment horizontal="center"/>
    </xf>
    <xf numFmtId="0" fontId="61" fillId="2" borderId="0" xfId="0" applyFont="1" applyFill="1"/>
    <xf numFmtId="0" fontId="2" fillId="12" borderId="0" xfId="0" applyNumberFormat="1" applyFont="1" applyFill="1" applyBorder="1" applyAlignment="1">
      <alignment horizontal="right"/>
    </xf>
    <xf numFmtId="0" fontId="1" fillId="0" borderId="17" xfId="0" applyFont="1" applyBorder="1"/>
    <xf numFmtId="0" fontId="1" fillId="0" borderId="18" xfId="0" applyFont="1" applyBorder="1"/>
    <xf numFmtId="0" fontId="1" fillId="0" borderId="20" xfId="0" applyFont="1" applyBorder="1"/>
    <xf numFmtId="0" fontId="1" fillId="0" borderId="19" xfId="0" applyFont="1" applyBorder="1" applyAlignment="1"/>
    <xf numFmtId="0" fontId="1" fillId="0" borderId="21" xfId="0" applyFont="1" applyBorder="1" applyAlignment="1"/>
    <xf numFmtId="0" fontId="1" fillId="0" borderId="22" xfId="0" applyFont="1" applyBorder="1" applyAlignment="1"/>
    <xf numFmtId="0" fontId="1" fillId="0" borderId="22" xfId="0" applyFont="1" applyBorder="1"/>
    <xf numFmtId="0" fontId="1" fillId="0" borderId="23" xfId="0" applyFont="1" applyBorder="1"/>
    <xf numFmtId="0" fontId="1" fillId="0" borderId="0" xfId="0" applyNumberFormat="1" applyFont="1" applyFill="1" applyAlignment="1"/>
    <xf numFmtId="0" fontId="1" fillId="0" borderId="9" xfId="0" applyFont="1" applyBorder="1" applyAlignment="1">
      <alignment wrapText="1"/>
    </xf>
    <xf numFmtId="0" fontId="1" fillId="0" borderId="1" xfId="0" applyFont="1" applyBorder="1" applyAlignment="1">
      <alignment wrapText="1"/>
    </xf>
    <xf numFmtId="0" fontId="1" fillId="0" borderId="8" xfId="0" applyFont="1" applyBorder="1" applyAlignment="1">
      <alignment wrapText="1"/>
    </xf>
    <xf numFmtId="0" fontId="1" fillId="0" borderId="0" xfId="0" applyFont="1" applyBorder="1" applyAlignment="1">
      <alignment wrapText="1"/>
    </xf>
    <xf numFmtId="0" fontId="1" fillId="3" borderId="7" xfId="0" applyFont="1" applyFill="1" applyBorder="1" applyAlignment="1">
      <alignment horizontal="center"/>
    </xf>
    <xf numFmtId="0" fontId="1" fillId="3" borderId="7" xfId="0" applyFont="1" applyFill="1" applyBorder="1" applyAlignment="1"/>
    <xf numFmtId="0" fontId="1" fillId="3" borderId="2" xfId="0" applyFont="1" applyFill="1" applyBorder="1" applyAlignment="1">
      <alignment horizontal="center"/>
    </xf>
    <xf numFmtId="0" fontId="1" fillId="3" borderId="2" xfId="0" applyFont="1" applyFill="1" applyBorder="1" applyAlignment="1"/>
    <xf numFmtId="0" fontId="1" fillId="0" borderId="1" xfId="0" applyFont="1" applyBorder="1" applyAlignment="1">
      <alignment vertical="center" wrapText="1"/>
    </xf>
    <xf numFmtId="1" fontId="3" fillId="2" borderId="10" xfId="0" applyNumberFormat="1" applyFont="1" applyFill="1" applyBorder="1" applyAlignment="1">
      <alignment horizontal="center"/>
    </xf>
    <xf numFmtId="0" fontId="1" fillId="0" borderId="5" xfId="0" applyFont="1" applyBorder="1" applyAlignment="1">
      <alignment vertical="center" wrapText="1"/>
    </xf>
    <xf numFmtId="0" fontId="3" fillId="2" borderId="2" xfId="0" applyFon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171" fontId="1" fillId="0" borderId="0" xfId="0" applyNumberFormat="1" applyFont="1"/>
    <xf numFmtId="171" fontId="3" fillId="2" borderId="15" xfId="0" applyNumberFormat="1" applyFont="1" applyFill="1" applyBorder="1" applyAlignment="1">
      <alignment horizontal="center"/>
    </xf>
    <xf numFmtId="167" fontId="3" fillId="2" borderId="0" xfId="0" applyNumberFormat="1" applyFont="1" applyFill="1" applyBorder="1" applyAlignment="1">
      <alignment horizontal="center"/>
    </xf>
    <xf numFmtId="167" fontId="1" fillId="12" borderId="7" xfId="0" applyNumberFormat="1" applyFont="1" applyFill="1" applyBorder="1"/>
    <xf numFmtId="0" fontId="13" fillId="0" borderId="12" xfId="0" applyFont="1" applyBorder="1" applyAlignment="1">
      <alignment horizontal="center"/>
    </xf>
    <xf numFmtId="0" fontId="13" fillId="0" borderId="1" xfId="0" applyFont="1" applyBorder="1" applyAlignment="1">
      <alignment horizontal="center"/>
    </xf>
    <xf numFmtId="0" fontId="13" fillId="0" borderId="5" xfId="0" applyFont="1" applyBorder="1" applyAlignment="1">
      <alignment horizontal="center"/>
    </xf>
    <xf numFmtId="2" fontId="1" fillId="0" borderId="1" xfId="0" applyNumberFormat="1" applyFont="1" applyBorder="1" applyAlignment="1">
      <alignment horizontal="center"/>
    </xf>
    <xf numFmtId="2" fontId="2" fillId="3" borderId="3" xfId="0" applyNumberFormat="1" applyFont="1" applyFill="1" applyBorder="1" applyAlignment="1">
      <alignment horizontal="center"/>
    </xf>
    <xf numFmtId="169" fontId="1" fillId="0" borderId="1" xfId="0" applyNumberFormat="1" applyFont="1" applyBorder="1" applyAlignment="1">
      <alignment horizontal="right"/>
    </xf>
    <xf numFmtId="169" fontId="1" fillId="0" borderId="5" xfId="0" applyNumberFormat="1" applyFont="1" applyBorder="1"/>
    <xf numFmtId="169" fontId="1" fillId="0" borderId="7" xfId="0" applyNumberFormat="1" applyFont="1" applyBorder="1"/>
    <xf numFmtId="171" fontId="1" fillId="0" borderId="0" xfId="0" applyNumberFormat="1" applyFont="1" applyBorder="1" applyAlignment="1">
      <alignment horizontal="right"/>
    </xf>
    <xf numFmtId="171" fontId="1" fillId="0" borderId="7" xfId="0" applyNumberFormat="1" applyFont="1" applyBorder="1"/>
    <xf numFmtId="1" fontId="1" fillId="0" borderId="15" xfId="0" applyNumberFormat="1" applyFont="1" applyBorder="1" applyAlignment="1">
      <alignment horizontal="center"/>
    </xf>
    <xf numFmtId="0" fontId="1" fillId="0" borderId="12" xfId="0" quotePrefix="1" applyFont="1" applyBorder="1"/>
    <xf numFmtId="0" fontId="2" fillId="12" borderId="11" xfId="0" applyFont="1" applyFill="1" applyBorder="1" applyAlignment="1">
      <alignment horizontal="center"/>
    </xf>
    <xf numFmtId="0" fontId="14" fillId="0" borderId="4" xfId="0" applyFont="1" applyFill="1" applyBorder="1" applyAlignment="1">
      <alignment horizontal="center" vertical="center"/>
    </xf>
    <xf numFmtId="2" fontId="2" fillId="0" borderId="7" xfId="0" applyNumberFormat="1" applyFont="1" applyFill="1" applyBorder="1" applyAlignment="1">
      <alignment horizontal="center"/>
    </xf>
    <xf numFmtId="0" fontId="71" fillId="0" borderId="0" xfId="0" applyFont="1"/>
    <xf numFmtId="0" fontId="1" fillId="0" borderId="2" xfId="0" applyFont="1" applyBorder="1" applyAlignment="1">
      <alignment horizontal="center"/>
    </xf>
    <xf numFmtId="0" fontId="1" fillId="0" borderId="6" xfId="0" applyFont="1" applyBorder="1" applyAlignment="1">
      <alignment horizontal="center"/>
    </xf>
    <xf numFmtId="0" fontId="1" fillId="0" borderId="3" xfId="0" applyFont="1" applyBorder="1" applyAlignment="1">
      <alignment horizontal="center"/>
    </xf>
    <xf numFmtId="0" fontId="1" fillId="0" borderId="14" xfId="0" applyFont="1" applyBorder="1" applyAlignment="1">
      <alignment horizontal="center"/>
    </xf>
    <xf numFmtId="0" fontId="1" fillId="0" borderId="13" xfId="0" applyFont="1" applyBorder="1" applyAlignment="1">
      <alignment horizontal="center"/>
    </xf>
    <xf numFmtId="0" fontId="1" fillId="0" borderId="0" xfId="0" applyFont="1" applyBorder="1" applyAlignment="1">
      <alignment horizontal="left"/>
    </xf>
    <xf numFmtId="0" fontId="1" fillId="0" borderId="4" xfId="0" applyFont="1" applyBorder="1" applyAlignment="1">
      <alignment horizontal="center"/>
    </xf>
    <xf numFmtId="0" fontId="1" fillId="0" borderId="10" xfId="0" applyFont="1" applyBorder="1" applyAlignment="1">
      <alignment horizontal="center"/>
    </xf>
    <xf numFmtId="0" fontId="1" fillId="0" borderId="13" xfId="0" applyFont="1" applyBorder="1" applyAlignment="1">
      <alignment horizontal="center"/>
    </xf>
    <xf numFmtId="0" fontId="3" fillId="15" borderId="0" xfId="0" applyNumberFormat="1" applyFont="1" applyFill="1" applyBorder="1"/>
    <xf numFmtId="170" fontId="1" fillId="0" borderId="0" xfId="0" applyNumberFormat="1" applyFont="1" applyAlignment="1">
      <alignment horizontal="center"/>
    </xf>
    <xf numFmtId="0" fontId="3" fillId="2" borderId="0" xfId="0" applyNumberFormat="1" applyFont="1" applyFill="1" applyBorder="1" applyAlignment="1">
      <alignment horizontal="left"/>
    </xf>
    <xf numFmtId="0" fontId="1" fillId="0" borderId="3" xfId="0" applyFont="1" applyBorder="1" applyAlignment="1">
      <alignment horizontal="right"/>
    </xf>
    <xf numFmtId="0" fontId="1" fillId="0" borderId="13" xfId="0" applyFont="1" applyBorder="1" applyAlignment="1">
      <alignment horizontal="right"/>
    </xf>
    <xf numFmtId="0" fontId="1" fillId="0" borderId="14" xfId="0" applyNumberFormat="1" applyFont="1" applyBorder="1"/>
    <xf numFmtId="0" fontId="1" fillId="4" borderId="0" xfId="0" applyNumberFormat="1" applyFont="1" applyFill="1"/>
    <xf numFmtId="0" fontId="3" fillId="2" borderId="0" xfId="0" applyNumberFormat="1" applyFont="1" applyFill="1" applyAlignment="1">
      <alignment horizontal="left"/>
    </xf>
    <xf numFmtId="0" fontId="8" fillId="5" borderId="7" xfId="0" applyFont="1" applyFill="1" applyBorder="1"/>
    <xf numFmtId="0" fontId="8" fillId="5" borderId="0" xfId="0" applyFont="1" applyFill="1" applyBorder="1"/>
    <xf numFmtId="0" fontId="8" fillId="5" borderId="8" xfId="0" applyFont="1" applyFill="1" applyBorder="1"/>
    <xf numFmtId="167" fontId="8" fillId="5" borderId="15" xfId="0" applyNumberFormat="1" applyFont="1" applyFill="1" applyBorder="1"/>
    <xf numFmtId="167" fontId="8" fillId="5" borderId="7" xfId="0" applyNumberFormat="1" applyFont="1" applyFill="1" applyBorder="1"/>
    <xf numFmtId="164" fontId="3" fillId="2" borderId="0" xfId="0" applyNumberFormat="1" applyFont="1" applyFill="1" applyAlignment="1">
      <alignment horizontal="center"/>
    </xf>
    <xf numFmtId="2" fontId="1" fillId="4" borderId="0" xfId="0" applyNumberFormat="1" applyFont="1" applyFill="1" applyAlignment="1">
      <alignment horizontal="center"/>
    </xf>
    <xf numFmtId="0" fontId="2" fillId="5" borderId="0" xfId="0" applyFont="1" applyFill="1" applyAlignment="1">
      <alignment horizontal="left"/>
    </xf>
    <xf numFmtId="167" fontId="1" fillId="3" borderId="3" xfId="0" applyNumberFormat="1" applyFont="1" applyFill="1" applyBorder="1" applyAlignment="1">
      <alignment horizontal="center"/>
    </xf>
    <xf numFmtId="2" fontId="1" fillId="3" borderId="6" xfId="0" applyNumberFormat="1" applyFont="1" applyFill="1" applyBorder="1" applyAlignment="1">
      <alignment horizontal="center"/>
    </xf>
    <xf numFmtId="2" fontId="1" fillId="3" borderId="8" xfId="0" applyNumberFormat="1" applyFont="1" applyFill="1" applyBorder="1" applyAlignment="1">
      <alignment horizontal="center"/>
    </xf>
    <xf numFmtId="167" fontId="1" fillId="0" borderId="1" xfId="0" applyNumberFormat="1" applyFont="1" applyBorder="1" applyAlignment="1">
      <alignment horizontal="center"/>
    </xf>
    <xf numFmtId="2" fontId="1" fillId="0" borderId="9" xfId="0" applyNumberFormat="1" applyFont="1" applyBorder="1" applyAlignment="1">
      <alignment horizontal="center"/>
    </xf>
    <xf numFmtId="167" fontId="1" fillId="3" borderId="2" xfId="0" applyNumberFormat="1" applyFont="1" applyFill="1" applyBorder="1" applyAlignment="1">
      <alignment horizontal="center"/>
    </xf>
    <xf numFmtId="167" fontId="1" fillId="3" borderId="7" xfId="0" applyNumberFormat="1" applyFont="1" applyFill="1" applyBorder="1" applyAlignment="1">
      <alignment horizontal="center"/>
    </xf>
    <xf numFmtId="167" fontId="1" fillId="0" borderId="5" xfId="0" applyNumberFormat="1" applyFont="1" applyBorder="1"/>
    <xf numFmtId="2" fontId="1" fillId="3" borderId="10" xfId="0" applyNumberFormat="1" applyFont="1" applyFill="1" applyBorder="1" applyAlignment="1">
      <alignment horizontal="center"/>
    </xf>
    <xf numFmtId="2" fontId="1" fillId="0" borderId="11" xfId="0" applyNumberFormat="1" applyFont="1" applyBorder="1" applyAlignment="1">
      <alignment horizontal="center"/>
    </xf>
    <xf numFmtId="0" fontId="1" fillId="10" borderId="8" xfId="0" applyFont="1" applyFill="1" applyBorder="1"/>
    <xf numFmtId="0" fontId="1" fillId="8" borderId="2" xfId="0" applyFont="1" applyFill="1" applyBorder="1"/>
    <xf numFmtId="0" fontId="50" fillId="10" borderId="15" xfId="0" applyFont="1" applyFill="1" applyBorder="1"/>
    <xf numFmtId="0" fontId="50" fillId="0" borderId="0" xfId="0" applyFont="1"/>
    <xf numFmtId="0" fontId="1" fillId="0" borderId="12" xfId="0" applyFont="1" applyFill="1" applyBorder="1" applyAlignment="1">
      <alignment horizontal="center"/>
    </xf>
    <xf numFmtId="0" fontId="1" fillId="6" borderId="11" xfId="0" applyFont="1" applyFill="1" applyBorder="1" applyAlignment="1">
      <alignment horizontal="center"/>
    </xf>
    <xf numFmtId="0" fontId="2" fillId="0" borderId="13" xfId="0" applyFont="1" applyBorder="1" applyAlignment="1">
      <alignment horizontal="center"/>
    </xf>
    <xf numFmtId="0" fontId="1" fillId="0" borderId="4" xfId="0" applyFont="1" applyBorder="1" applyAlignment="1">
      <alignment horizontal="center"/>
    </xf>
    <xf numFmtId="0" fontId="1" fillId="0" borderId="15" xfId="0" applyFont="1" applyBorder="1" applyAlignment="1">
      <alignment horizontal="center"/>
    </xf>
    <xf numFmtId="0" fontId="1" fillId="0" borderId="4" xfId="0" applyFont="1" applyFill="1" applyBorder="1" applyAlignment="1">
      <alignment horizontal="center"/>
    </xf>
    <xf numFmtId="0" fontId="72" fillId="0" borderId="0" xfId="12" applyFont="1" applyFill="1" applyAlignment="1">
      <alignment horizontal="center" vertical="center" wrapText="1"/>
    </xf>
    <xf numFmtId="0" fontId="72" fillId="0" borderId="0" xfId="12" applyFont="1" applyFill="1" applyAlignment="1">
      <alignment horizontal="left" vertical="center" wrapText="1"/>
    </xf>
    <xf numFmtId="0" fontId="2" fillId="0" borderId="0" xfId="8" applyFont="1"/>
    <xf numFmtId="0" fontId="33" fillId="0" borderId="0" xfId="8" applyFont="1" applyFill="1"/>
    <xf numFmtId="0" fontId="26" fillId="0" borderId="0" xfId="13" applyFont="1" applyFill="1"/>
    <xf numFmtId="0" fontId="1" fillId="0" borderId="0" xfId="13" applyFont="1"/>
    <xf numFmtId="0" fontId="9" fillId="0" borderId="0" xfId="13" applyFont="1" applyBorder="1"/>
    <xf numFmtId="0" fontId="1" fillId="0" borderId="0" xfId="13" applyFont="1" applyAlignment="1"/>
    <xf numFmtId="0" fontId="72" fillId="0" borderId="0" xfId="12"/>
    <xf numFmtId="0" fontId="1" fillId="0" borderId="0" xfId="13" applyFont="1" applyFill="1"/>
    <xf numFmtId="2" fontId="1" fillId="0" borderId="0" xfId="13" applyNumberFormat="1" applyFont="1"/>
    <xf numFmtId="0" fontId="1" fillId="0" borderId="0" xfId="13" applyFont="1" applyBorder="1"/>
    <xf numFmtId="0" fontId="13" fillId="0" borderId="0" xfId="13" applyFont="1"/>
    <xf numFmtId="167" fontId="1" fillId="0" borderId="0" xfId="13" applyNumberFormat="1" applyFont="1"/>
    <xf numFmtId="0" fontId="1" fillId="0" borderId="0" xfId="13" applyFont="1" applyAlignment="1">
      <alignment horizontal="center"/>
    </xf>
    <xf numFmtId="0" fontId="1" fillId="0" borderId="0" xfId="13" applyFont="1" applyFill="1" applyBorder="1"/>
    <xf numFmtId="0" fontId="1" fillId="0" borderId="2" xfId="13" applyFont="1" applyBorder="1"/>
    <xf numFmtId="0" fontId="1" fillId="0" borderId="3" xfId="13" applyFont="1" applyBorder="1"/>
    <xf numFmtId="164" fontId="1" fillId="16" borderId="3" xfId="13" applyNumberFormat="1" applyFont="1" applyFill="1" applyBorder="1" applyAlignment="1">
      <alignment horizontal="center"/>
    </xf>
    <xf numFmtId="0" fontId="1" fillId="0" borderId="3" xfId="13" applyFont="1" applyBorder="1" applyAlignment="1"/>
    <xf numFmtId="0" fontId="1" fillId="0" borderId="6" xfId="13" applyFont="1" applyBorder="1" applyAlignment="1"/>
    <xf numFmtId="0" fontId="1" fillId="0" borderId="7" xfId="13" applyFont="1" applyBorder="1"/>
    <xf numFmtId="164" fontId="1" fillId="16" borderId="0" xfId="13" applyNumberFormat="1" applyFont="1" applyFill="1" applyBorder="1" applyAlignment="1">
      <alignment horizontal="center"/>
    </xf>
    <xf numFmtId="0" fontId="1" fillId="0" borderId="0" xfId="13" applyFont="1" applyBorder="1" applyAlignment="1"/>
    <xf numFmtId="0" fontId="1" fillId="0" borderId="8" xfId="13" applyFont="1" applyBorder="1" applyAlignment="1"/>
    <xf numFmtId="164" fontId="3" fillId="2" borderId="0" xfId="13" applyNumberFormat="1" applyFont="1" applyFill="1" applyBorder="1" applyAlignment="1">
      <alignment horizontal="center"/>
    </xf>
    <xf numFmtId="164" fontId="1" fillId="0" borderId="0" xfId="13" applyNumberFormat="1" applyFont="1"/>
    <xf numFmtId="0" fontId="1" fillId="0" borderId="5" xfId="13" applyFont="1" applyBorder="1"/>
    <xf numFmtId="0" fontId="1" fillId="0" borderId="1" xfId="13" applyFont="1" applyBorder="1"/>
    <xf numFmtId="0" fontId="1" fillId="0" borderId="0" xfId="14" applyFont="1"/>
    <xf numFmtId="0" fontId="1" fillId="0" borderId="0" xfId="13" applyFont="1" applyFill="1" applyBorder="1" applyAlignment="1"/>
    <xf numFmtId="167" fontId="1" fillId="0" borderId="0" xfId="13" applyNumberFormat="1" applyFont="1" applyBorder="1"/>
    <xf numFmtId="9" fontId="3" fillId="2" borderId="0" xfId="13" applyNumberFormat="1" applyFont="1" applyFill="1" applyBorder="1"/>
    <xf numFmtId="0" fontId="1" fillId="0" borderId="0" xfId="13" applyNumberFormat="1" applyFont="1" applyBorder="1"/>
    <xf numFmtId="0" fontId="1" fillId="0" borderId="0" xfId="13" quotePrefix="1" applyFont="1" applyBorder="1"/>
    <xf numFmtId="0" fontId="3" fillId="2" borderId="0" xfId="13" applyNumberFormat="1" applyFont="1" applyFill="1" applyBorder="1"/>
    <xf numFmtId="0" fontId="1" fillId="2" borderId="0" xfId="13" applyFont="1" applyFill="1"/>
    <xf numFmtId="0" fontId="1" fillId="0" borderId="0" xfId="13" applyNumberFormat="1" applyFont="1"/>
    <xf numFmtId="0" fontId="2" fillId="11" borderId="0" xfId="13" applyFont="1" applyFill="1"/>
    <xf numFmtId="0" fontId="4" fillId="0" borderId="0" xfId="13" applyFont="1"/>
    <xf numFmtId="0" fontId="3" fillId="0" borderId="0" xfId="13" applyFont="1" applyFill="1"/>
    <xf numFmtId="0" fontId="2" fillId="17" borderId="0" xfId="13" applyNumberFormat="1" applyFont="1" applyFill="1" applyAlignment="1">
      <alignment horizontal="right"/>
    </xf>
    <xf numFmtId="0" fontId="9" fillId="0" borderId="0" xfId="13" applyFont="1"/>
    <xf numFmtId="0" fontId="1" fillId="11" borderId="0" xfId="13" applyFont="1" applyFill="1"/>
    <xf numFmtId="0" fontId="35" fillId="0" borderId="0" xfId="13" applyFont="1"/>
    <xf numFmtId="167" fontId="72" fillId="0" borderId="0" xfId="12" applyNumberFormat="1"/>
    <xf numFmtId="168" fontId="1" fillId="0" borderId="0" xfId="13" applyNumberFormat="1" applyFont="1"/>
    <xf numFmtId="0" fontId="1" fillId="2" borderId="0" xfId="13" applyFont="1" applyFill="1" applyBorder="1"/>
    <xf numFmtId="164" fontId="3" fillId="2" borderId="0" xfId="13" applyNumberFormat="1" applyFont="1" applyFill="1" applyBorder="1"/>
    <xf numFmtId="2" fontId="1" fillId="0" borderId="0" xfId="13" applyNumberFormat="1" applyFont="1" applyBorder="1"/>
    <xf numFmtId="2" fontId="1" fillId="0" borderId="0" xfId="13" applyNumberFormat="1" applyFont="1" applyAlignment="1">
      <alignment horizontal="center"/>
    </xf>
    <xf numFmtId="0" fontId="3" fillId="2" borderId="3" xfId="13" applyFont="1" applyFill="1" applyBorder="1"/>
    <xf numFmtId="0" fontId="1" fillId="0" borderId="6" xfId="13" applyFont="1" applyBorder="1"/>
    <xf numFmtId="0" fontId="3" fillId="2" borderId="0" xfId="13" applyFont="1" applyFill="1" applyBorder="1"/>
    <xf numFmtId="0" fontId="1" fillId="0" borderId="8" xfId="13" applyFont="1" applyBorder="1"/>
    <xf numFmtId="0" fontId="3" fillId="2" borderId="0" xfId="13" applyNumberFormat="1" applyFont="1" applyFill="1" applyBorder="1" applyAlignment="1">
      <alignment horizontal="right"/>
    </xf>
    <xf numFmtId="0" fontId="40" fillId="2" borderId="0" xfId="13" applyFont="1" applyFill="1" applyBorder="1"/>
    <xf numFmtId="0" fontId="3" fillId="2" borderId="0" xfId="13" applyFont="1" applyFill="1"/>
    <xf numFmtId="164" fontId="1" fillId="0" borderId="1" xfId="13" applyNumberFormat="1" applyFont="1" applyBorder="1"/>
    <xf numFmtId="0" fontId="1" fillId="0" borderId="9" xfId="13" applyFont="1" applyBorder="1"/>
    <xf numFmtId="0" fontId="1" fillId="0" borderId="12" xfId="13" applyFont="1" applyBorder="1" applyAlignment="1">
      <alignment horizontal="center"/>
    </xf>
    <xf numFmtId="0" fontId="1" fillId="0" borderId="13" xfId="13" applyFont="1" applyBorder="1" applyAlignment="1">
      <alignment horizontal="center"/>
    </xf>
    <xf numFmtId="0" fontId="3" fillId="2" borderId="14" xfId="13" applyFont="1" applyFill="1" applyBorder="1"/>
    <xf numFmtId="2" fontId="1" fillId="10" borderId="0" xfId="13" applyNumberFormat="1" applyFont="1" applyFill="1"/>
    <xf numFmtId="0" fontId="3" fillId="2" borderId="0" xfId="13" applyFont="1" applyFill="1" applyAlignment="1">
      <alignment horizontal="center"/>
    </xf>
    <xf numFmtId="0" fontId="72" fillId="0" borderId="0" xfId="12" applyFont="1" applyFill="1" applyAlignment="1">
      <alignment horizontal="left" vertical="center"/>
    </xf>
    <xf numFmtId="0" fontId="72" fillId="0" borderId="0" xfId="12" applyFont="1" applyFill="1" applyAlignment="1">
      <alignment horizontal="center" vertical="center"/>
    </xf>
    <xf numFmtId="0" fontId="35" fillId="0" borderId="0" xfId="0" applyFont="1" applyBorder="1"/>
    <xf numFmtId="0" fontId="2" fillId="0" borderId="0" xfId="1" applyFont="1" applyBorder="1"/>
    <xf numFmtId="0" fontId="33" fillId="12" borderId="0" xfId="1" applyFont="1" applyFill="1" applyBorder="1"/>
    <xf numFmtId="0" fontId="33" fillId="0" borderId="0" xfId="1" applyFont="1" applyFill="1" applyBorder="1"/>
    <xf numFmtId="164" fontId="43" fillId="0" borderId="11" xfId="0" applyNumberFormat="1" applyFont="1" applyFill="1" applyBorder="1" applyAlignment="1">
      <alignment wrapText="1"/>
    </xf>
    <xf numFmtId="2" fontId="2" fillId="0" borderId="1" xfId="0" applyNumberFormat="1" applyFont="1" applyFill="1" applyBorder="1"/>
    <xf numFmtId="167" fontId="43" fillId="0" borderId="5" xfId="0" applyNumberFormat="1" applyFont="1" applyFill="1" applyBorder="1" applyAlignment="1">
      <alignment horizontal="center"/>
    </xf>
    <xf numFmtId="167" fontId="43" fillId="0" borderId="9" xfId="0" applyNumberFormat="1" applyFont="1" applyFill="1" applyBorder="1" applyAlignment="1">
      <alignment horizontal="center"/>
    </xf>
    <xf numFmtId="2" fontId="1" fillId="11" borderId="5" xfId="0" applyNumberFormat="1" applyFont="1" applyFill="1" applyBorder="1"/>
    <xf numFmtId="0" fontId="1" fillId="11" borderId="9" xfId="0" applyFont="1" applyFill="1" applyBorder="1"/>
    <xf numFmtId="0" fontId="1" fillId="12" borderId="0" xfId="13" applyFont="1" applyFill="1"/>
    <xf numFmtId="164" fontId="1" fillId="0" borderId="0" xfId="0" applyNumberFormat="1" applyFont="1" applyFill="1" applyBorder="1" applyAlignment="1">
      <alignment horizontal="center"/>
    </xf>
    <xf numFmtId="0" fontId="1" fillId="6" borderId="13" xfId="0" applyFont="1" applyFill="1" applyBorder="1"/>
    <xf numFmtId="0" fontId="1" fillId="8" borderId="12" xfId="0" applyFont="1" applyFill="1" applyBorder="1" applyAlignment="1">
      <alignment vertical="center"/>
    </xf>
    <xf numFmtId="0" fontId="1" fillId="6" borderId="14" xfId="0" applyFont="1" applyFill="1" applyBorder="1" applyAlignment="1">
      <alignment vertical="center"/>
    </xf>
    <xf numFmtId="0" fontId="2" fillId="12" borderId="0" xfId="13" applyFont="1" applyFill="1"/>
    <xf numFmtId="0" fontId="1" fillId="0" borderId="0" xfId="15" applyFont="1" applyBorder="1"/>
    <xf numFmtId="164" fontId="43" fillId="0" borderId="0" xfId="0" applyNumberFormat="1" applyFont="1" applyFill="1" applyBorder="1" applyAlignment="1"/>
    <xf numFmtId="0" fontId="1" fillId="6" borderId="12" xfId="0" applyFont="1" applyFill="1" applyBorder="1"/>
    <xf numFmtId="2" fontId="1" fillId="11" borderId="4" xfId="0" applyNumberFormat="1" applyFont="1" applyFill="1" applyBorder="1" applyAlignment="1">
      <alignment horizontal="center"/>
    </xf>
    <xf numFmtId="0" fontId="4" fillId="0" borderId="0" xfId="14" applyFont="1"/>
    <xf numFmtId="0" fontId="8" fillId="0" borderId="0" xfId="14" applyFont="1"/>
    <xf numFmtId="1" fontId="1" fillId="0" borderId="0" xfId="14" applyNumberFormat="1" applyFont="1"/>
    <xf numFmtId="0" fontId="1" fillId="0" borderId="0" xfId="14" applyFont="1" applyAlignment="1">
      <alignment horizontal="center"/>
    </xf>
    <xf numFmtId="0" fontId="35" fillId="0" borderId="0" xfId="14" applyFont="1"/>
    <xf numFmtId="0" fontId="1" fillId="0" borderId="12" xfId="14" applyFont="1" applyBorder="1"/>
    <xf numFmtId="0" fontId="1" fillId="0" borderId="4" xfId="14" applyFont="1" applyBorder="1"/>
    <xf numFmtId="0" fontId="2" fillId="0" borderId="0" xfId="14" applyFont="1" applyFill="1" applyAlignment="1">
      <alignment horizontal="left"/>
    </xf>
    <xf numFmtId="0" fontId="1" fillId="0" borderId="7" xfId="14" applyFont="1" applyBorder="1"/>
    <xf numFmtId="1" fontId="2" fillId="0" borderId="15" xfId="14" applyNumberFormat="1" applyFont="1" applyFill="1" applyBorder="1" applyAlignment="1">
      <alignment horizontal="left"/>
    </xf>
    <xf numFmtId="1" fontId="1" fillId="0" borderId="15" xfId="14" applyNumberFormat="1" applyFont="1" applyBorder="1"/>
    <xf numFmtId="0" fontId="1" fillId="0" borderId="5" xfId="14" applyFont="1" applyBorder="1"/>
    <xf numFmtId="1" fontId="2" fillId="0" borderId="11" xfId="14" applyNumberFormat="1" applyFont="1" applyFill="1" applyBorder="1" applyAlignment="1">
      <alignment horizontal="left"/>
    </xf>
    <xf numFmtId="1" fontId="1" fillId="0" borderId="11" xfId="14" applyNumberFormat="1" applyFont="1" applyBorder="1"/>
    <xf numFmtId="0" fontId="9" fillId="0" borderId="0" xfId="14" applyFont="1" applyAlignment="1">
      <alignment horizontal="left"/>
    </xf>
    <xf numFmtId="0" fontId="1" fillId="0" borderId="0" xfId="14" applyFont="1" applyAlignment="1">
      <alignment horizontal="left"/>
    </xf>
    <xf numFmtId="0" fontId="1" fillId="0" borderId="0" xfId="14" applyFont="1" applyAlignment="1">
      <alignment horizontal="right"/>
    </xf>
    <xf numFmtId="0" fontId="1" fillId="0" borderId="0" xfId="14" applyFont="1" applyAlignment="1"/>
    <xf numFmtId="0" fontId="9" fillId="0" borderId="0" xfId="14" applyFont="1"/>
    <xf numFmtId="0" fontId="9" fillId="0" borderId="2" xfId="14" applyFont="1" applyBorder="1"/>
    <xf numFmtId="0" fontId="2" fillId="0" borderId="10" xfId="14" applyFont="1" applyFill="1" applyBorder="1"/>
    <xf numFmtId="1" fontId="3" fillId="12" borderId="0" xfId="14" applyNumberFormat="1" applyFont="1" applyFill="1" applyAlignment="1">
      <alignment horizontal="left"/>
    </xf>
    <xf numFmtId="0" fontId="3" fillId="2" borderId="10" xfId="14" applyNumberFormat="1" applyFont="1" applyFill="1" applyBorder="1" applyAlignment="1">
      <alignment horizontal="center"/>
    </xf>
    <xf numFmtId="0" fontId="2" fillId="0" borderId="10" xfId="14" applyNumberFormat="1" applyFont="1" applyFill="1" applyBorder="1" applyAlignment="1">
      <alignment horizontal="center"/>
    </xf>
    <xf numFmtId="167" fontId="2" fillId="0" borderId="10" xfId="14" applyNumberFormat="1" applyFont="1" applyFill="1" applyBorder="1" applyAlignment="1">
      <alignment horizontal="center"/>
    </xf>
    <xf numFmtId="0" fontId="3" fillId="2" borderId="11" xfId="14" applyNumberFormat="1" applyFont="1" applyFill="1" applyBorder="1" applyAlignment="1">
      <alignment horizontal="center"/>
    </xf>
    <xf numFmtId="0" fontId="2" fillId="0" borderId="11" xfId="14" applyNumberFormat="1" applyFont="1" applyFill="1" applyBorder="1" applyAlignment="1">
      <alignment horizontal="center"/>
    </xf>
    <xf numFmtId="167" fontId="2" fillId="0" borderId="11" xfId="14" applyNumberFormat="1" applyFont="1" applyFill="1" applyBorder="1" applyAlignment="1">
      <alignment horizontal="center"/>
    </xf>
    <xf numFmtId="2" fontId="1" fillId="0" borderId="0" xfId="14" applyNumberFormat="1" applyFont="1"/>
    <xf numFmtId="0" fontId="9" fillId="0" borderId="5" xfId="14" applyFont="1" applyBorder="1"/>
    <xf numFmtId="0" fontId="1" fillId="0" borderId="11" xfId="14" applyNumberFormat="1" applyFont="1" applyBorder="1"/>
    <xf numFmtId="0" fontId="2" fillId="0" borderId="11" xfId="14" applyNumberFormat="1" applyFont="1" applyFill="1" applyBorder="1"/>
    <xf numFmtId="167" fontId="2" fillId="0" borderId="11" xfId="14" applyNumberFormat="1" applyFont="1" applyFill="1" applyBorder="1"/>
    <xf numFmtId="1" fontId="3" fillId="2" borderId="10" xfId="14" applyNumberFormat="1" applyFont="1" applyFill="1" applyBorder="1" applyAlignment="1">
      <alignment horizontal="center"/>
    </xf>
    <xf numFmtId="1" fontId="3" fillId="2" borderId="11" xfId="14" applyNumberFormat="1" applyFont="1" applyFill="1" applyBorder="1" applyAlignment="1">
      <alignment horizontal="center"/>
    </xf>
    <xf numFmtId="0" fontId="1" fillId="0" borderId="13" xfId="14" applyFont="1" applyBorder="1"/>
    <xf numFmtId="0" fontId="1" fillId="0" borderId="14" xfId="14" applyFont="1" applyBorder="1"/>
    <xf numFmtId="0" fontId="9" fillId="0" borderId="3" xfId="14" applyFont="1" applyBorder="1"/>
    <xf numFmtId="0" fontId="1" fillId="0" borderId="0" xfId="14" applyFont="1" applyBorder="1"/>
    <xf numFmtId="0" fontId="1" fillId="0" borderId="8" xfId="14" applyFont="1" applyBorder="1"/>
    <xf numFmtId="0" fontId="9" fillId="0" borderId="7" xfId="14" applyFont="1" applyBorder="1"/>
    <xf numFmtId="0" fontId="9" fillId="0" borderId="0" xfId="14" applyFont="1" applyBorder="1"/>
    <xf numFmtId="1" fontId="1" fillId="0" borderId="0" xfId="14" applyNumberFormat="1" applyFont="1" applyBorder="1"/>
    <xf numFmtId="0" fontId="16" fillId="0" borderId="12" xfId="14" applyFont="1" applyBorder="1"/>
    <xf numFmtId="0" fontId="16" fillId="0" borderId="13" xfId="14" applyFont="1" applyBorder="1"/>
    <xf numFmtId="2" fontId="1" fillId="0" borderId="13" xfId="14" applyNumberFormat="1" applyFont="1" applyBorder="1"/>
    <xf numFmtId="0" fontId="1" fillId="0" borderId="4" xfId="14" applyFont="1" applyBorder="1" applyAlignment="1">
      <alignment horizontal="center"/>
    </xf>
    <xf numFmtId="0" fontId="1" fillId="0" borderId="2" xfId="14" applyNumberFormat="1" applyFont="1" applyBorder="1"/>
    <xf numFmtId="167" fontId="1" fillId="0" borderId="10" xfId="14" applyNumberFormat="1" applyFont="1" applyBorder="1"/>
    <xf numFmtId="0" fontId="1" fillId="0" borderId="1" xfId="14" applyFont="1" applyBorder="1"/>
    <xf numFmtId="0" fontId="1" fillId="0" borderId="9" xfId="14" applyFont="1" applyBorder="1"/>
    <xf numFmtId="0" fontId="26" fillId="0" borderId="0" xfId="14" applyFont="1"/>
    <xf numFmtId="2" fontId="1" fillId="0" borderId="0" xfId="14" applyNumberFormat="1" applyFont="1" applyAlignment="1"/>
    <xf numFmtId="0" fontId="33" fillId="0" borderId="0" xfId="8" applyFont="1"/>
    <xf numFmtId="0" fontId="33" fillId="0" borderId="0" xfId="8" applyFont="1" applyAlignment="1">
      <alignment horizontal="left" indent="1"/>
    </xf>
    <xf numFmtId="0" fontId="33" fillId="0" borderId="0" xfId="8" applyFont="1" applyAlignment="1">
      <alignment horizontal="left"/>
    </xf>
    <xf numFmtId="0" fontId="33" fillId="0" borderId="0" xfId="8" applyFont="1" applyAlignment="1">
      <alignment horizontal="left" indent="2"/>
    </xf>
    <xf numFmtId="0" fontId="33" fillId="0" borderId="0" xfId="8" applyFont="1" applyAlignment="1">
      <alignment horizontal="right"/>
    </xf>
    <xf numFmtId="0" fontId="33" fillId="0" borderId="0" xfId="8" quotePrefix="1" applyFont="1" applyAlignment="1">
      <alignment horizontal="left" indent="2"/>
    </xf>
    <xf numFmtId="0" fontId="1" fillId="0" borderId="0" xfId="14" applyNumberFormat="1" applyFont="1"/>
    <xf numFmtId="0" fontId="2" fillId="0" borderId="0" xfId="8" applyFont="1" applyAlignment="1"/>
    <xf numFmtId="0" fontId="70" fillId="0" borderId="0" xfId="8" applyFont="1"/>
    <xf numFmtId="0" fontId="2" fillId="0" borderId="2" xfId="14" applyNumberFormat="1" applyFont="1" applyFill="1" applyBorder="1" applyAlignment="1">
      <alignment horizontal="center"/>
    </xf>
    <xf numFmtId="0" fontId="2" fillId="0" borderId="5" xfId="14" applyNumberFormat="1" applyFont="1" applyFill="1" applyBorder="1" applyAlignment="1">
      <alignment horizontal="center"/>
    </xf>
    <xf numFmtId="0" fontId="2" fillId="0" borderId="2" xfId="14" applyFont="1" applyFill="1" applyBorder="1"/>
    <xf numFmtId="0" fontId="2" fillId="0" borderId="5" xfId="14" applyNumberFormat="1" applyFont="1" applyFill="1" applyBorder="1"/>
    <xf numFmtId="0" fontId="9" fillId="0" borderId="6" xfId="14" applyFont="1" applyBorder="1"/>
    <xf numFmtId="0" fontId="9" fillId="0" borderId="8" xfId="14" applyFont="1" applyBorder="1"/>
    <xf numFmtId="0" fontId="16" fillId="0" borderId="14" xfId="14" applyFont="1" applyBorder="1"/>
    <xf numFmtId="0" fontId="35" fillId="0" borderId="0" xfId="14" applyFont="1" applyBorder="1"/>
    <xf numFmtId="0" fontId="2" fillId="0" borderId="0" xfId="8" applyFont="1" applyBorder="1"/>
    <xf numFmtId="0" fontId="33" fillId="0" borderId="0" xfId="8" applyFont="1" applyFill="1" applyBorder="1"/>
    <xf numFmtId="0" fontId="33" fillId="3" borderId="0" xfId="8" applyFont="1" applyFill="1" applyBorder="1"/>
    <xf numFmtId="167" fontId="2" fillId="3" borderId="0" xfId="0" applyNumberFormat="1" applyFont="1" applyFill="1" applyBorder="1"/>
    <xf numFmtId="0" fontId="2" fillId="3" borderId="0" xfId="14" applyFont="1" applyFill="1" applyBorder="1"/>
    <xf numFmtId="0" fontId="1" fillId="0" borderId="0" xfId="12" applyFont="1"/>
    <xf numFmtId="0" fontId="3" fillId="2" borderId="0" xfId="12" applyFont="1" applyFill="1"/>
    <xf numFmtId="0" fontId="1" fillId="0" borderId="12" xfId="0" applyFont="1" applyBorder="1" applyAlignment="1">
      <alignment horizontal="center"/>
    </xf>
    <xf numFmtId="0" fontId="1" fillId="0" borderId="4" xfId="0" applyFont="1" applyBorder="1" applyAlignment="1">
      <alignment horizontal="center"/>
    </xf>
    <xf numFmtId="0" fontId="1" fillId="0" borderId="2" xfId="14" applyFont="1" applyBorder="1" applyAlignment="1">
      <alignment horizontal="center"/>
    </xf>
    <xf numFmtId="0" fontId="1" fillId="0" borderId="5" xfId="14" applyFont="1" applyBorder="1" applyAlignment="1">
      <alignment horizontal="center"/>
    </xf>
    <xf numFmtId="0" fontId="1" fillId="0" borderId="14" xfId="14" applyFont="1" applyBorder="1" applyAlignment="1">
      <alignment horizontal="center"/>
    </xf>
    <xf numFmtId="0" fontId="1" fillId="0" borderId="4" xfId="14" applyFont="1" applyBorder="1" applyAlignment="1">
      <alignment horizontal="center" vertical="center"/>
    </xf>
    <xf numFmtId="0" fontId="1" fillId="0" borderId="4" xfId="0" applyFont="1" applyBorder="1" applyAlignment="1">
      <alignment horizontal="center" wrapText="1"/>
    </xf>
    <xf numFmtId="0" fontId="1" fillId="0" borderId="4" xfId="0" applyFont="1" applyFill="1" applyBorder="1" applyAlignment="1">
      <alignment horizontal="center" vertical="center"/>
    </xf>
    <xf numFmtId="0" fontId="1" fillId="0" borderId="4" xfId="0" applyFont="1" applyBorder="1" applyAlignment="1">
      <alignment horizontal="center" vertical="center"/>
    </xf>
    <xf numFmtId="0" fontId="1" fillId="0" borderId="10" xfId="0" applyFont="1" applyBorder="1" applyAlignment="1">
      <alignment horizontal="center"/>
    </xf>
    <xf numFmtId="0" fontId="1" fillId="0" borderId="15" xfId="0" applyFont="1" applyBorder="1" applyAlignment="1">
      <alignment horizontal="center"/>
    </xf>
    <xf numFmtId="0" fontId="1" fillId="0" borderId="4" xfId="0" applyFont="1" applyFill="1" applyBorder="1" applyAlignment="1">
      <alignment horizontal="center"/>
    </xf>
    <xf numFmtId="0" fontId="1" fillId="0" borderId="3" xfId="0" applyFont="1" applyBorder="1" applyAlignment="1">
      <alignment wrapText="1"/>
    </xf>
    <xf numFmtId="0" fontId="1" fillId="0" borderId="6" xfId="0" applyFont="1" applyBorder="1" applyAlignment="1">
      <alignment wrapText="1"/>
    </xf>
    <xf numFmtId="0" fontId="2" fillId="12" borderId="4" xfId="0" applyFont="1" applyFill="1" applyBorder="1" applyAlignment="1">
      <alignment horizontal="center"/>
    </xf>
    <xf numFmtId="1" fontId="3" fillId="2" borderId="4" xfId="0" applyNumberFormat="1" applyFont="1" applyFill="1" applyBorder="1" applyAlignment="1">
      <alignment horizontal="center"/>
    </xf>
    <xf numFmtId="169" fontId="1" fillId="0" borderId="15" xfId="0" applyNumberFormat="1" applyFont="1" applyBorder="1" applyAlignment="1">
      <alignment horizontal="center"/>
    </xf>
    <xf numFmtId="0" fontId="1" fillId="0" borderId="0" xfId="0" applyNumberFormat="1" applyFont="1" applyFill="1" applyAlignment="1">
      <alignment horizontal="center"/>
    </xf>
    <xf numFmtId="0" fontId="1" fillId="11" borderId="6" xfId="0" applyFont="1" applyFill="1" applyBorder="1"/>
    <xf numFmtId="0" fontId="1" fillId="0" borderId="11" xfId="0" applyFont="1" applyBorder="1" applyAlignment="1">
      <alignment horizontal="center"/>
    </xf>
    <xf numFmtId="0" fontId="1" fillId="2" borderId="0" xfId="0" applyFont="1" applyFill="1" applyBorder="1" applyAlignment="1">
      <alignment horizontal="left" indent="1"/>
    </xf>
    <xf numFmtId="0" fontId="1" fillId="2" borderId="0" xfId="0" applyFont="1" applyFill="1" applyAlignment="1">
      <alignment horizontal="center"/>
    </xf>
    <xf numFmtId="0" fontId="1" fillId="2" borderId="1" xfId="0" applyFont="1" applyFill="1" applyBorder="1" applyAlignment="1">
      <alignment horizontal="left" indent="1"/>
    </xf>
    <xf numFmtId="0" fontId="1" fillId="2" borderId="0" xfId="0" applyFont="1" applyFill="1" applyBorder="1" applyAlignment="1">
      <alignment vertical="center"/>
    </xf>
    <xf numFmtId="0" fontId="2" fillId="0" borderId="0" xfId="12" applyFont="1" applyFill="1"/>
    <xf numFmtId="0" fontId="3" fillId="2" borderId="0" xfId="13" applyNumberFormat="1" applyFont="1" applyFill="1" applyAlignment="1">
      <alignment horizontal="right"/>
    </xf>
    <xf numFmtId="164" fontId="3" fillId="2" borderId="0" xfId="13" applyNumberFormat="1" applyFont="1" applyFill="1"/>
    <xf numFmtId="167" fontId="3" fillId="2" borderId="0" xfId="13" applyNumberFormat="1" applyFont="1" applyFill="1" applyBorder="1"/>
    <xf numFmtId="0" fontId="1" fillId="0" borderId="24" xfId="0" applyFont="1" applyBorder="1"/>
    <xf numFmtId="0" fontId="3" fillId="2" borderId="0" xfId="0" applyFont="1" applyFill="1" applyAlignment="1">
      <alignment horizontal="left"/>
    </xf>
    <xf numFmtId="0" fontId="1" fillId="6" borderId="6" xfId="0" applyFont="1" applyFill="1" applyBorder="1" applyAlignment="1">
      <alignment horizontal="center" vertical="center"/>
    </xf>
    <xf numFmtId="0" fontId="1" fillId="6" borderId="10" xfId="0" applyFont="1" applyFill="1" applyBorder="1" applyAlignment="1">
      <alignment horizontal="center" vertical="center"/>
    </xf>
    <xf numFmtId="0" fontId="1" fillId="2" borderId="1" xfId="0" applyFont="1" applyFill="1" applyBorder="1" applyAlignment="1">
      <alignment horizontal="center"/>
    </xf>
    <xf numFmtId="0" fontId="1" fillId="0" borderId="4" xfId="0" applyFont="1" applyBorder="1" applyAlignment="1">
      <alignment horizontal="center"/>
    </xf>
    <xf numFmtId="0" fontId="1" fillId="2" borderId="0" xfId="0" applyFont="1" applyFill="1" applyBorder="1" applyAlignment="1">
      <alignment horizontal="center" vertical="center"/>
    </xf>
    <xf numFmtId="0" fontId="33" fillId="0" borderId="0" xfId="8" applyFont="1" applyAlignment="1">
      <alignment horizontal="center"/>
    </xf>
    <xf numFmtId="0" fontId="1" fillId="0" borderId="15" xfId="0" applyFont="1" applyBorder="1" applyAlignment="1">
      <alignment horizontal="center"/>
    </xf>
    <xf numFmtId="0" fontId="2" fillId="0" borderId="4" xfId="0" applyNumberFormat="1" applyFont="1" applyFill="1" applyBorder="1" applyAlignment="1">
      <alignment horizontal="center"/>
    </xf>
    <xf numFmtId="0" fontId="2" fillId="0" borderId="13" xfId="0" applyNumberFormat="1" applyFont="1" applyFill="1" applyBorder="1" applyAlignment="1">
      <alignment horizontal="center"/>
    </xf>
    <xf numFmtId="0" fontId="2" fillId="0" borderId="15" xfId="0" applyNumberFormat="1" applyFont="1" applyFill="1" applyBorder="1" applyAlignment="1">
      <alignment horizontal="center"/>
    </xf>
    <xf numFmtId="0" fontId="1" fillId="0" borderId="4" xfId="0" applyFont="1" applyFill="1" applyBorder="1" applyAlignment="1">
      <alignment horizontal="center"/>
    </xf>
    <xf numFmtId="0" fontId="2" fillId="0" borderId="3" xfId="0" applyNumberFormat="1" applyFont="1" applyFill="1" applyBorder="1" applyAlignment="1">
      <alignment horizontal="center"/>
    </xf>
    <xf numFmtId="0" fontId="2" fillId="0" borderId="1" xfId="0" applyNumberFormat="1" applyFont="1" applyFill="1" applyBorder="1" applyAlignment="1">
      <alignment horizontal="center"/>
    </xf>
    <xf numFmtId="167" fontId="1" fillId="12" borderId="0" xfId="0" applyNumberFormat="1" applyFont="1" applyFill="1"/>
    <xf numFmtId="0" fontId="1" fillId="0" borderId="0" xfId="0" applyFont="1" applyAlignment="1">
      <alignment horizontal="center"/>
    </xf>
    <xf numFmtId="2" fontId="1" fillId="10" borderId="0" xfId="0" applyNumberFormat="1" applyFont="1" applyFill="1" applyAlignment="1">
      <alignment horizontal="right"/>
    </xf>
    <xf numFmtId="0" fontId="1" fillId="6" borderId="2" xfId="0" applyFont="1" applyFill="1" applyBorder="1" applyAlignment="1">
      <alignment vertical="center" wrapText="1"/>
    </xf>
    <xf numFmtId="0" fontId="1" fillId="6" borderId="3" xfId="0" applyFont="1" applyFill="1" applyBorder="1" applyAlignment="1">
      <alignment horizontal="center" vertical="center"/>
    </xf>
    <xf numFmtId="0" fontId="1" fillId="6" borderId="5" xfId="0" applyFont="1" applyFill="1" applyBorder="1" applyAlignment="1">
      <alignment vertical="center" wrapText="1"/>
    </xf>
    <xf numFmtId="167" fontId="1" fillId="0" borderId="4" xfId="0" applyNumberFormat="1" applyFont="1" applyFill="1" applyBorder="1"/>
    <xf numFmtId="164" fontId="1" fillId="0" borderId="14" xfId="0" applyNumberFormat="1" applyFont="1" applyBorder="1" applyAlignment="1">
      <alignment horizontal="center"/>
    </xf>
    <xf numFmtId="167" fontId="2" fillId="0" borderId="4" xfId="0" applyNumberFormat="1" applyFont="1" applyFill="1" applyBorder="1" applyAlignment="1">
      <alignment horizontal="center"/>
    </xf>
    <xf numFmtId="164" fontId="2" fillId="0" borderId="12" xfId="0" applyNumberFormat="1" applyFont="1" applyFill="1" applyBorder="1"/>
    <xf numFmtId="0" fontId="2" fillId="11" borderId="12" xfId="0" applyFont="1" applyFill="1" applyBorder="1"/>
    <xf numFmtId="0" fontId="2" fillId="11" borderId="13" xfId="0" applyFont="1" applyFill="1" applyBorder="1"/>
    <xf numFmtId="0" fontId="1" fillId="11" borderId="14" xfId="0" applyFont="1" applyFill="1" applyBorder="1"/>
    <xf numFmtId="0" fontId="35" fillId="12" borderId="12" xfId="0" applyFont="1" applyFill="1" applyBorder="1"/>
    <xf numFmtId="0" fontId="16" fillId="12" borderId="13" xfId="0" applyFont="1" applyFill="1" applyBorder="1"/>
    <xf numFmtId="0" fontId="24" fillId="12" borderId="13" xfId="1" applyFont="1" applyFill="1" applyBorder="1"/>
    <xf numFmtId="0" fontId="16" fillId="12" borderId="14" xfId="0" applyFont="1" applyFill="1" applyBorder="1"/>
    <xf numFmtId="0" fontId="1" fillId="12" borderId="2" xfId="0" applyFont="1" applyFill="1" applyBorder="1"/>
    <xf numFmtId="0" fontId="1" fillId="12" borderId="7" xfId="0" applyFont="1" applyFill="1" applyBorder="1"/>
    <xf numFmtId="0" fontId="1" fillId="12" borderId="10" xfId="0" applyFont="1" applyFill="1" applyBorder="1" applyAlignment="1">
      <alignment horizontal="center" vertical="center"/>
    </xf>
    <xf numFmtId="0" fontId="1" fillId="12" borderId="5" xfId="0" applyFont="1" applyFill="1" applyBorder="1"/>
    <xf numFmtId="0" fontId="1" fillId="12" borderId="4" xfId="0" applyFont="1" applyFill="1" applyBorder="1"/>
    <xf numFmtId="2" fontId="1" fillId="0" borderId="4" xfId="0" applyNumberFormat="1" applyFont="1" applyFill="1" applyBorder="1" applyAlignment="1">
      <alignment horizontal="center"/>
    </xf>
    <xf numFmtId="1" fontId="1" fillId="0" borderId="0" xfId="14" applyNumberFormat="1" applyFont="1" applyAlignment="1">
      <alignment horizontal="center"/>
    </xf>
    <xf numFmtId="167" fontId="1" fillId="0" borderId="12" xfId="0" applyNumberFormat="1" applyFont="1" applyFill="1" applyBorder="1"/>
    <xf numFmtId="167" fontId="1" fillId="0" borderId="14" xfId="0" applyNumberFormat="1" applyFont="1" applyFill="1" applyBorder="1"/>
    <xf numFmtId="0" fontId="1" fillId="0" borderId="4" xfId="0" applyNumberFormat="1" applyFont="1" applyFill="1" applyBorder="1" applyAlignment="1">
      <alignment horizontal="center"/>
    </xf>
    <xf numFmtId="0" fontId="2" fillId="11" borderId="4" xfId="0" applyFont="1" applyFill="1" applyBorder="1"/>
    <xf numFmtId="1" fontId="2" fillId="12" borderId="0" xfId="14" applyNumberFormat="1" applyFont="1" applyFill="1" applyAlignment="1">
      <alignment horizontal="left"/>
    </xf>
    <xf numFmtId="0" fontId="9" fillId="0" borderId="2" xfId="13" applyFont="1" applyBorder="1"/>
    <xf numFmtId="0" fontId="72" fillId="0" borderId="6" xfId="12" applyBorder="1"/>
    <xf numFmtId="0" fontId="72" fillId="0" borderId="8" xfId="12" applyBorder="1"/>
    <xf numFmtId="0" fontId="13" fillId="0" borderId="7" xfId="13" applyFont="1" applyBorder="1"/>
    <xf numFmtId="0" fontId="40" fillId="2" borderId="7" xfId="13" applyFont="1" applyFill="1" applyBorder="1"/>
    <xf numFmtId="0" fontId="9" fillId="0" borderId="7" xfId="13" applyFont="1" applyBorder="1"/>
    <xf numFmtId="2" fontId="1" fillId="10" borderId="0" xfId="13" applyNumberFormat="1" applyFont="1" applyFill="1" applyBorder="1"/>
    <xf numFmtId="2" fontId="1" fillId="0" borderId="1" xfId="13" applyNumberFormat="1" applyFont="1" applyBorder="1"/>
    <xf numFmtId="0" fontId="72" fillId="0" borderId="9" xfId="12" applyBorder="1"/>
    <xf numFmtId="1" fontId="2" fillId="12" borderId="4" xfId="0" applyNumberFormat="1" applyFont="1" applyFill="1" applyBorder="1" applyAlignment="1">
      <alignment horizontal="center"/>
    </xf>
    <xf numFmtId="0" fontId="1" fillId="0" borderId="10" xfId="0" applyNumberFormat="1" applyFont="1" applyBorder="1"/>
    <xf numFmtId="0" fontId="78" fillId="0" borderId="0" xfId="0" applyFont="1" applyFill="1" applyAlignment="1">
      <alignment horizontal="center"/>
    </xf>
    <xf numFmtId="167" fontId="78" fillId="0" borderId="7" xfId="0" applyNumberFormat="1" applyFont="1" applyBorder="1"/>
    <xf numFmtId="2" fontId="1" fillId="12" borderId="0" xfId="0" applyNumberFormat="1" applyFont="1" applyFill="1" applyAlignment="1">
      <alignment horizontal="left"/>
    </xf>
    <xf numFmtId="2" fontId="78" fillId="12" borderId="0" xfId="0" applyNumberFormat="1" applyFont="1" applyFill="1" applyAlignment="1">
      <alignment horizontal="left"/>
    </xf>
    <xf numFmtId="174" fontId="1" fillId="0" borderId="0" xfId="0" applyNumberFormat="1" applyFont="1" applyAlignment="1">
      <alignment horizontal="center"/>
    </xf>
    <xf numFmtId="175" fontId="1" fillId="0" borderId="0" xfId="0" applyNumberFormat="1" applyFont="1" applyAlignment="1">
      <alignment horizontal="center"/>
    </xf>
    <xf numFmtId="0" fontId="1" fillId="5" borderId="5" xfId="0" applyNumberFormat="1" applyFont="1" applyFill="1" applyBorder="1"/>
    <xf numFmtId="0" fontId="50" fillId="10" borderId="7" xfId="0" applyNumberFormat="1" applyFont="1" applyFill="1" applyBorder="1"/>
    <xf numFmtId="0" fontId="50" fillId="10" borderId="2" xfId="0" applyNumberFormat="1" applyFont="1" applyFill="1" applyBorder="1"/>
    <xf numFmtId="0" fontId="50" fillId="0" borderId="2" xfId="0" applyNumberFormat="1" applyFont="1" applyFill="1" applyBorder="1"/>
    <xf numFmtId="0" fontId="1" fillId="5" borderId="4" xfId="0" applyFont="1" applyFill="1" applyBorder="1" applyAlignment="1">
      <alignment horizontal="right"/>
    </xf>
    <xf numFmtId="0" fontId="0" fillId="0" borderId="0" xfId="0" applyBorder="1"/>
    <xf numFmtId="0" fontId="1" fillId="10" borderId="0" xfId="0" applyNumberFormat="1" applyFont="1" applyFill="1" applyBorder="1"/>
    <xf numFmtId="0" fontId="38" fillId="10" borderId="0" xfId="0" applyNumberFormat="1" applyFont="1" applyFill="1" applyBorder="1"/>
    <xf numFmtId="0" fontId="1" fillId="0" borderId="1" xfId="0" applyFont="1" applyBorder="1" applyAlignment="1">
      <alignment horizontal="center"/>
    </xf>
    <xf numFmtId="0" fontId="1" fillId="0" borderId="3" xfId="0" applyFont="1" applyBorder="1" applyAlignment="1">
      <alignment horizontal="center"/>
    </xf>
    <xf numFmtId="0" fontId="13" fillId="0" borderId="0" xfId="0" applyFont="1" applyAlignment="1">
      <alignment horizontal="left" vertical="center"/>
    </xf>
    <xf numFmtId="0" fontId="1" fillId="0" borderId="2" xfId="0" applyFont="1" applyBorder="1" applyAlignment="1">
      <alignment horizontal="center" wrapText="1"/>
    </xf>
    <xf numFmtId="0" fontId="1" fillId="0" borderId="6" xfId="0" applyFont="1" applyBorder="1" applyAlignment="1">
      <alignment horizontal="center" wrapText="1"/>
    </xf>
    <xf numFmtId="0" fontId="1" fillId="0" borderId="5" xfId="0" applyFont="1" applyBorder="1" applyAlignment="1">
      <alignment horizontal="center" wrapText="1"/>
    </xf>
    <xf numFmtId="0" fontId="1" fillId="0" borderId="9" xfId="0" applyFont="1" applyBorder="1" applyAlignment="1">
      <alignment horizontal="center" wrapText="1"/>
    </xf>
    <xf numFmtId="0" fontId="1" fillId="0" borderId="2" xfId="0" applyFont="1" applyBorder="1" applyAlignment="1">
      <alignment horizontal="center"/>
    </xf>
    <xf numFmtId="0" fontId="1" fillId="0" borderId="6" xfId="0" applyFont="1" applyBorder="1" applyAlignment="1">
      <alignment horizontal="center"/>
    </xf>
    <xf numFmtId="0" fontId="1" fillId="0" borderId="5" xfId="0" applyFont="1" applyBorder="1" applyAlignment="1">
      <alignment horizontal="center"/>
    </xf>
    <xf numFmtId="0" fontId="1" fillId="0" borderId="9" xfId="0" applyFont="1" applyBorder="1" applyAlignment="1">
      <alignment horizontal="center"/>
    </xf>
    <xf numFmtId="0" fontId="1" fillId="0" borderId="12" xfId="0" applyFont="1" applyBorder="1" applyAlignment="1">
      <alignment horizontal="center"/>
    </xf>
    <xf numFmtId="0" fontId="1" fillId="0" borderId="14" xfId="0" applyFont="1" applyBorder="1" applyAlignment="1">
      <alignment horizontal="center"/>
    </xf>
    <xf numFmtId="0" fontId="8" fillId="0" borderId="4" xfId="0" applyFont="1" applyBorder="1" applyAlignment="1">
      <alignment horizontal="center" vertical="center" wrapText="1"/>
    </xf>
    <xf numFmtId="0" fontId="2" fillId="0" borderId="12" xfId="0" applyNumberFormat="1" applyFont="1" applyFill="1" applyBorder="1" applyAlignment="1">
      <alignment horizontal="center" vertical="center"/>
    </xf>
    <xf numFmtId="0" fontId="2" fillId="0" borderId="14" xfId="0" applyNumberFormat="1" applyFont="1" applyFill="1" applyBorder="1" applyAlignment="1">
      <alignment horizontal="center" vertical="center"/>
    </xf>
    <xf numFmtId="0" fontId="2" fillId="0" borderId="2" xfId="0" applyNumberFormat="1" applyFont="1" applyFill="1" applyBorder="1" applyAlignment="1">
      <alignment horizontal="center" vertical="center" wrapText="1"/>
    </xf>
    <xf numFmtId="0" fontId="2" fillId="0" borderId="6" xfId="0" applyNumberFormat="1" applyFont="1" applyFill="1" applyBorder="1" applyAlignment="1">
      <alignment horizontal="center" vertical="center" wrapText="1"/>
    </xf>
    <xf numFmtId="0" fontId="2" fillId="0" borderId="5" xfId="0" applyNumberFormat="1" applyFont="1" applyFill="1" applyBorder="1" applyAlignment="1">
      <alignment horizontal="center" vertical="center" wrapText="1"/>
    </xf>
    <xf numFmtId="0" fontId="2" fillId="0" borderId="9" xfId="0" applyNumberFormat="1" applyFont="1" applyFill="1" applyBorder="1" applyAlignment="1">
      <alignment horizontal="center" vertical="center" wrapText="1"/>
    </xf>
    <xf numFmtId="0" fontId="46" fillId="0" borderId="2" xfId="0" applyFont="1" applyFill="1" applyBorder="1" applyAlignment="1">
      <alignment horizontal="center" wrapText="1"/>
    </xf>
    <xf numFmtId="0" fontId="46" fillId="0" borderId="6" xfId="0" applyFont="1" applyFill="1" applyBorder="1" applyAlignment="1">
      <alignment horizontal="center" wrapText="1"/>
    </xf>
    <xf numFmtId="0" fontId="46" fillId="0" borderId="5" xfId="0" applyFont="1" applyFill="1" applyBorder="1" applyAlignment="1">
      <alignment horizontal="center" wrapText="1"/>
    </xf>
    <xf numFmtId="0" fontId="46" fillId="0" borderId="9" xfId="0" applyFont="1" applyFill="1" applyBorder="1" applyAlignment="1">
      <alignment horizontal="center" wrapText="1"/>
    </xf>
    <xf numFmtId="0" fontId="2" fillId="0" borderId="2" xfId="0" applyNumberFormat="1" applyFont="1" applyFill="1" applyBorder="1" applyAlignment="1">
      <alignment horizontal="center" vertical="center"/>
    </xf>
    <xf numFmtId="0" fontId="2" fillId="0" borderId="6"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0" fontId="2" fillId="0" borderId="10"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0" xfId="0" applyNumberFormat="1" applyFont="1" applyFill="1" applyBorder="1" applyAlignment="1">
      <alignment horizontal="center" vertical="center"/>
    </xf>
    <xf numFmtId="0" fontId="2" fillId="0" borderId="11" xfId="0" applyNumberFormat="1" applyFont="1" applyFill="1" applyBorder="1" applyAlignment="1">
      <alignment horizontal="center" vertical="center"/>
    </xf>
    <xf numFmtId="0" fontId="1" fillId="0" borderId="10" xfId="0" applyNumberFormat="1" applyFont="1" applyBorder="1" applyAlignment="1">
      <alignment vertical="center" wrapText="1"/>
    </xf>
    <xf numFmtId="0" fontId="1" fillId="0" borderId="15" xfId="0" applyNumberFormat="1" applyFont="1" applyBorder="1" applyAlignment="1">
      <alignment vertical="center" wrapText="1"/>
    </xf>
    <xf numFmtId="0" fontId="1" fillId="0" borderId="11" xfId="0" applyNumberFormat="1" applyFont="1" applyBorder="1" applyAlignment="1">
      <alignment vertical="center" wrapText="1"/>
    </xf>
    <xf numFmtId="0" fontId="2" fillId="0" borderId="0" xfId="0" applyNumberFormat="1" applyFont="1" applyFill="1" applyAlignment="1">
      <alignment horizontal="left" vertical="center" wrapText="1"/>
    </xf>
    <xf numFmtId="0" fontId="2" fillId="0" borderId="0" xfId="0" applyFont="1" applyFill="1" applyAlignment="1">
      <alignment horizontal="left" wrapText="1"/>
    </xf>
    <xf numFmtId="0" fontId="2" fillId="0" borderId="0" xfId="0" applyFont="1" applyFill="1" applyAlignment="1">
      <alignment horizontal="center"/>
    </xf>
    <xf numFmtId="0" fontId="2" fillId="0" borderId="2" xfId="0" applyNumberFormat="1" applyFont="1" applyFill="1" applyBorder="1" applyAlignment="1">
      <alignment horizontal="left" vertical="center" wrapText="1"/>
    </xf>
    <xf numFmtId="0" fontId="2" fillId="0" borderId="3" xfId="0" applyNumberFormat="1" applyFont="1" applyFill="1" applyBorder="1" applyAlignment="1">
      <alignment horizontal="left" vertical="center" wrapText="1"/>
    </xf>
    <xf numFmtId="0" fontId="2" fillId="0" borderId="6" xfId="0" applyNumberFormat="1" applyFont="1" applyFill="1" applyBorder="1" applyAlignment="1">
      <alignment horizontal="left" vertical="center" wrapText="1"/>
    </xf>
    <xf numFmtId="0" fontId="2" fillId="0" borderId="5" xfId="0" applyNumberFormat="1"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0" fontId="2" fillId="0" borderId="9" xfId="0" applyNumberFormat="1" applyFont="1" applyFill="1" applyBorder="1" applyAlignment="1">
      <alignment horizontal="left" vertical="center" wrapText="1"/>
    </xf>
    <xf numFmtId="0" fontId="1" fillId="0" borderId="12" xfId="0" applyFont="1" applyFill="1" applyBorder="1" applyAlignment="1">
      <alignment horizontal="center"/>
    </xf>
    <xf numFmtId="0" fontId="1" fillId="0" borderId="14" xfId="0" applyFont="1" applyFill="1" applyBorder="1" applyAlignment="1">
      <alignment horizontal="center"/>
    </xf>
    <xf numFmtId="0" fontId="49" fillId="0" borderId="4" xfId="0" applyFont="1" applyFill="1" applyBorder="1" applyAlignment="1">
      <alignment horizontal="center" wrapText="1"/>
    </xf>
    <xf numFmtId="0" fontId="1" fillId="0" borderId="13" xfId="0" applyFont="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1" fillId="6" borderId="14" xfId="0" applyFont="1" applyFill="1" applyBorder="1" applyAlignment="1">
      <alignment horizontal="center"/>
    </xf>
    <xf numFmtId="0" fontId="60" fillId="6" borderId="10" xfId="0" applyFont="1" applyFill="1" applyBorder="1" applyAlignment="1">
      <alignment horizontal="center" wrapText="1"/>
    </xf>
    <xf numFmtId="0" fontId="60" fillId="6" borderId="11" xfId="0" applyFont="1" applyFill="1" applyBorder="1" applyAlignment="1">
      <alignment horizontal="center" wrapText="1"/>
    </xf>
    <xf numFmtId="0" fontId="8" fillId="6" borderId="12" xfId="0" applyFont="1" applyFill="1" applyBorder="1" applyAlignment="1">
      <alignment horizontal="center"/>
    </xf>
    <xf numFmtId="0" fontId="8" fillId="6" borderId="13" xfId="0" applyFont="1" applyFill="1" applyBorder="1" applyAlignment="1">
      <alignment horizontal="center"/>
    </xf>
    <xf numFmtId="0" fontId="8" fillId="6" borderId="14" xfId="0" applyFont="1" applyFill="1" applyBorder="1" applyAlignment="1">
      <alignment horizontal="center"/>
    </xf>
    <xf numFmtId="0" fontId="18" fillId="6" borderId="12" xfId="1" applyFont="1" applyFill="1" applyBorder="1" applyAlignment="1">
      <alignment horizontal="center"/>
    </xf>
    <xf numFmtId="0" fontId="18" fillId="6" borderId="13" xfId="1" applyFont="1" applyFill="1" applyBorder="1" applyAlignment="1">
      <alignment horizontal="center"/>
    </xf>
    <xf numFmtId="0" fontId="18" fillId="6" borderId="14" xfId="1" applyFont="1" applyFill="1" applyBorder="1" applyAlignment="1">
      <alignment horizontal="center"/>
    </xf>
    <xf numFmtId="0" fontId="18" fillId="11" borderId="2" xfId="0" applyFont="1" applyFill="1" applyBorder="1" applyAlignment="1">
      <alignment horizontal="center" vertical="center" wrapText="1"/>
    </xf>
    <xf numFmtId="0" fontId="18" fillId="11" borderId="3"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18" fillId="11" borderId="5" xfId="0" applyFont="1" applyFill="1" applyBorder="1" applyAlignment="1">
      <alignment horizontal="center" vertical="center" wrapText="1"/>
    </xf>
    <xf numFmtId="0" fontId="18" fillId="11" borderId="1" xfId="0" applyFont="1" applyFill="1" applyBorder="1" applyAlignment="1">
      <alignment horizontal="center" vertical="center" wrapText="1"/>
    </xf>
    <xf numFmtId="0" fontId="18" fillId="11" borderId="9" xfId="0" applyFont="1" applyFill="1" applyBorder="1" applyAlignment="1">
      <alignment horizontal="center" vertical="center" wrapText="1"/>
    </xf>
    <xf numFmtId="0" fontId="39" fillId="6" borderId="10" xfId="0" applyFont="1" applyFill="1" applyBorder="1" applyAlignment="1">
      <alignment horizontal="center" wrapText="1"/>
    </xf>
    <xf numFmtId="0" fontId="39" fillId="6" borderId="11" xfId="0" applyFont="1" applyFill="1" applyBorder="1" applyAlignment="1">
      <alignment horizontal="center" wrapText="1"/>
    </xf>
    <xf numFmtId="0" fontId="8" fillId="6" borderId="10"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58" fillId="6" borderId="10" xfId="0" applyFont="1" applyFill="1" applyBorder="1" applyAlignment="1">
      <alignment horizontal="center" wrapText="1"/>
    </xf>
    <xf numFmtId="0" fontId="58" fillId="6" borderId="11" xfId="0" applyFont="1" applyFill="1" applyBorder="1" applyAlignment="1">
      <alignment horizontal="center" wrapText="1"/>
    </xf>
    <xf numFmtId="0" fontId="8" fillId="0" borderId="12" xfId="0" applyFont="1" applyFill="1" applyBorder="1" applyAlignment="1">
      <alignment horizontal="center"/>
    </xf>
    <xf numFmtId="0" fontId="8" fillId="0" borderId="13" xfId="0" applyFont="1" applyFill="1" applyBorder="1" applyAlignment="1">
      <alignment horizontal="center"/>
    </xf>
    <xf numFmtId="0" fontId="8" fillId="0" borderId="14" xfId="0" applyFont="1" applyFill="1" applyBorder="1" applyAlignment="1">
      <alignment horizontal="center"/>
    </xf>
    <xf numFmtId="0" fontId="8" fillId="0" borderId="12" xfId="0" applyFont="1" applyBorder="1" applyAlignment="1">
      <alignment horizontal="center"/>
    </xf>
    <xf numFmtId="0" fontId="8" fillId="0" borderId="13" xfId="0" applyFont="1" applyBorder="1" applyAlignment="1">
      <alignment horizontal="center"/>
    </xf>
    <xf numFmtId="0" fontId="8" fillId="0" borderId="14" xfId="0" applyFont="1" applyBorder="1" applyAlignment="1">
      <alignment horizontal="center"/>
    </xf>
    <xf numFmtId="0" fontId="3" fillId="2" borderId="0" xfId="0" applyFont="1" applyFill="1" applyAlignment="1">
      <alignment horizontal="left"/>
    </xf>
    <xf numFmtId="0" fontId="9" fillId="0" borderId="0" xfId="0" applyFont="1" applyBorder="1" applyAlignment="1">
      <alignment horizontal="left" wrapText="1"/>
    </xf>
    <xf numFmtId="0" fontId="9" fillId="0" borderId="8" xfId="0" applyFont="1" applyBorder="1" applyAlignment="1">
      <alignment horizontal="left" wrapText="1"/>
    </xf>
    <xf numFmtId="0" fontId="9" fillId="0" borderId="1" xfId="0" applyFont="1" applyBorder="1" applyAlignment="1">
      <alignment horizontal="left" wrapText="1"/>
    </xf>
    <xf numFmtId="0" fontId="9" fillId="0" borderId="9" xfId="0" applyFont="1" applyBorder="1" applyAlignment="1">
      <alignment horizontal="left" wrapText="1"/>
    </xf>
    <xf numFmtId="0" fontId="2" fillId="11" borderId="0" xfId="0" applyFont="1" applyFill="1" applyAlignment="1">
      <alignment horizontal="left" wrapText="1"/>
    </xf>
    <xf numFmtId="0" fontId="1" fillId="0" borderId="0" xfId="0" applyFont="1" applyBorder="1" applyAlignment="1">
      <alignment horizontal="left"/>
    </xf>
    <xf numFmtId="0" fontId="1" fillId="0" borderId="0" xfId="0" applyFont="1" applyAlignment="1">
      <alignment horizontal="left" wrapText="1"/>
    </xf>
    <xf numFmtId="0" fontId="1" fillId="2" borderId="1" xfId="0" applyFont="1" applyFill="1" applyBorder="1" applyAlignment="1">
      <alignment horizontal="center"/>
    </xf>
    <xf numFmtId="0" fontId="16" fillId="0" borderId="2" xfId="0" applyFont="1" applyBorder="1" applyAlignment="1">
      <alignment horizontal="center"/>
    </xf>
    <xf numFmtId="0" fontId="16" fillId="0" borderId="3" xfId="0" applyFont="1" applyBorder="1" applyAlignment="1">
      <alignment horizontal="center"/>
    </xf>
    <xf numFmtId="0" fontId="16" fillId="0" borderId="6" xfId="0" applyFont="1" applyBorder="1" applyAlignment="1">
      <alignment horizontal="center"/>
    </xf>
    <xf numFmtId="0" fontId="16" fillId="0" borderId="5" xfId="0" applyFont="1" applyBorder="1" applyAlignment="1">
      <alignment horizontal="center"/>
    </xf>
    <xf numFmtId="0" fontId="16" fillId="0" borderId="1" xfId="0" applyFont="1" applyBorder="1" applyAlignment="1">
      <alignment horizontal="center"/>
    </xf>
    <xf numFmtId="0" fontId="16" fillId="0" borderId="9" xfId="0" applyFont="1" applyBorder="1" applyAlignment="1">
      <alignment horizontal="center"/>
    </xf>
    <xf numFmtId="0" fontId="26" fillId="0" borderId="2" xfId="0" applyFont="1" applyBorder="1" applyAlignment="1">
      <alignment horizontal="center" wrapText="1"/>
    </xf>
    <xf numFmtId="0" fontId="26" fillId="0" borderId="3" xfId="0" applyFont="1" applyBorder="1" applyAlignment="1">
      <alignment horizontal="center" wrapText="1"/>
    </xf>
    <xf numFmtId="0" fontId="26" fillId="0" borderId="6" xfId="0" applyFont="1" applyBorder="1" applyAlignment="1">
      <alignment horizontal="center" wrapText="1"/>
    </xf>
    <xf numFmtId="0" fontId="26" fillId="0" borderId="5" xfId="0" applyFont="1" applyBorder="1" applyAlignment="1">
      <alignment horizontal="center" wrapText="1"/>
    </xf>
    <xf numFmtId="0" fontId="26" fillId="0" borderId="1" xfId="0" applyFont="1" applyBorder="1" applyAlignment="1">
      <alignment horizontal="center" wrapText="1"/>
    </xf>
    <xf numFmtId="0" fontId="26" fillId="0" borderId="9" xfId="0" applyFont="1" applyBorder="1" applyAlignment="1">
      <alignment horizontal="center" wrapText="1"/>
    </xf>
    <xf numFmtId="11" fontId="1" fillId="0" borderId="0" xfId="0" applyNumberFormat="1" applyFont="1" applyBorder="1" applyAlignment="1">
      <alignment horizontal="center"/>
    </xf>
    <xf numFmtId="0" fontId="1" fillId="0" borderId="2" xfId="0" applyNumberFormat="1" applyFont="1" applyFill="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7" xfId="0" applyNumberFormat="1" applyFont="1" applyFill="1" applyBorder="1" applyAlignment="1">
      <alignment horizontal="center" vertical="center" wrapText="1"/>
    </xf>
    <xf numFmtId="0" fontId="1" fillId="0" borderId="8" xfId="0" applyNumberFormat="1" applyFont="1" applyFill="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0" borderId="9" xfId="0" applyNumberFormat="1" applyFont="1" applyFill="1" applyBorder="1" applyAlignment="1">
      <alignment horizontal="center" vertical="center" wrapText="1"/>
    </xf>
    <xf numFmtId="164" fontId="43" fillId="0" borderId="12" xfId="0" applyNumberFormat="1" applyFont="1" applyFill="1" applyBorder="1" applyAlignment="1">
      <alignment horizontal="center" wrapText="1"/>
    </xf>
    <xf numFmtId="164" fontId="43" fillId="0" borderId="14" xfId="0" applyNumberFormat="1" applyFont="1" applyFill="1" applyBorder="1" applyAlignment="1">
      <alignment horizont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2" fillId="0" borderId="12" xfId="1" applyFont="1" applyFill="1" applyBorder="1" applyAlignment="1">
      <alignment horizontal="center"/>
    </xf>
    <xf numFmtId="0" fontId="2" fillId="0" borderId="13" xfId="1" applyFont="1" applyFill="1" applyBorder="1" applyAlignment="1">
      <alignment horizontal="center"/>
    </xf>
    <xf numFmtId="0" fontId="1" fillId="0" borderId="2"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 xfId="0" applyFont="1" applyFill="1" applyBorder="1" applyAlignment="1">
      <alignment horizontal="left" wrapText="1"/>
    </xf>
    <xf numFmtId="0" fontId="1" fillId="0" borderId="6" xfId="0" applyFont="1" applyFill="1" applyBorder="1" applyAlignment="1">
      <alignment horizontal="left" wrapText="1"/>
    </xf>
    <xf numFmtId="0" fontId="1" fillId="0" borderId="5" xfId="0" applyFont="1" applyFill="1" applyBorder="1" applyAlignment="1">
      <alignment horizontal="left" wrapText="1"/>
    </xf>
    <xf numFmtId="0" fontId="1" fillId="0" borderId="9" xfId="0" applyFont="1" applyFill="1" applyBorder="1" applyAlignment="1">
      <alignment horizontal="left" wrapText="1"/>
    </xf>
    <xf numFmtId="0" fontId="2" fillId="0" borderId="2" xfId="0" applyFont="1" applyFill="1" applyBorder="1" applyAlignment="1">
      <alignment horizontal="center"/>
    </xf>
    <xf numFmtId="0" fontId="2" fillId="0" borderId="6" xfId="0" applyFont="1" applyFill="1" applyBorder="1" applyAlignment="1">
      <alignment horizontal="center"/>
    </xf>
    <xf numFmtId="0" fontId="2" fillId="0" borderId="12" xfId="0" applyFont="1" applyFill="1" applyBorder="1" applyAlignment="1">
      <alignment horizontal="center"/>
    </xf>
    <xf numFmtId="0" fontId="2" fillId="0" borderId="14" xfId="0" applyFont="1" applyFill="1" applyBorder="1" applyAlignment="1">
      <alignment horizontal="center"/>
    </xf>
    <xf numFmtId="0" fontId="1" fillId="0" borderId="4" xfId="0" applyFont="1" applyBorder="1" applyAlignment="1">
      <alignment horizontal="center" textRotation="90"/>
    </xf>
    <xf numFmtId="0" fontId="1" fillId="0" borderId="12" xfId="0" applyFont="1" applyFill="1" applyBorder="1" applyAlignment="1">
      <alignment horizontal="center" wrapText="1"/>
    </xf>
    <xf numFmtId="0" fontId="1" fillId="0" borderId="14" xfId="0" applyFont="1" applyFill="1" applyBorder="1" applyAlignment="1">
      <alignment horizontal="center" wrapText="1"/>
    </xf>
    <xf numFmtId="0" fontId="3" fillId="3" borderId="0" xfId="0" applyFont="1" applyFill="1" applyAlignment="1">
      <alignment horizontal="left" wrapText="1"/>
    </xf>
    <xf numFmtId="0" fontId="1" fillId="6" borderId="12"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9" xfId="0" applyFont="1" applyFill="1" applyBorder="1" applyAlignment="1">
      <alignment horizontal="center" vertical="center"/>
    </xf>
    <xf numFmtId="0" fontId="1" fillId="6" borderId="10" xfId="0" applyFont="1" applyFill="1" applyBorder="1" applyAlignment="1">
      <alignment horizontal="center" wrapText="1"/>
    </xf>
    <xf numFmtId="0" fontId="1" fillId="6" borderId="11" xfId="0" applyFont="1" applyFill="1" applyBorder="1" applyAlignment="1">
      <alignment horizontal="center" wrapText="1"/>
    </xf>
    <xf numFmtId="0" fontId="1" fillId="6" borderId="14" xfId="0" applyFont="1" applyFill="1" applyBorder="1" applyAlignment="1">
      <alignment horizontal="center" vertical="center"/>
    </xf>
    <xf numFmtId="0" fontId="31" fillId="6" borderId="4" xfId="0" applyFont="1" applyFill="1" applyBorder="1" applyAlignment="1">
      <alignment horizontal="center" vertical="center"/>
    </xf>
    <xf numFmtId="0" fontId="31" fillId="6" borderId="4" xfId="0" applyFont="1" applyFill="1" applyBorder="1" applyAlignment="1">
      <alignment horizontal="center" vertical="center" wrapText="1"/>
    </xf>
    <xf numFmtId="0" fontId="1" fillId="6" borderId="10" xfId="0" applyFont="1" applyFill="1" applyBorder="1" applyAlignment="1">
      <alignment horizontal="center"/>
    </xf>
    <xf numFmtId="0" fontId="1" fillId="6" borderId="11" xfId="0" applyFont="1" applyFill="1" applyBorder="1" applyAlignment="1">
      <alignment horizontal="center"/>
    </xf>
    <xf numFmtId="0" fontId="1" fillId="6" borderId="4" xfId="0" applyFont="1" applyFill="1" applyBorder="1" applyAlignment="1">
      <alignment horizontal="center" wrapText="1"/>
    </xf>
    <xf numFmtId="0" fontId="9" fillId="0" borderId="0" xfId="13" applyFont="1" applyBorder="1" applyAlignment="1">
      <alignment horizontal="left" wrapText="1"/>
    </xf>
    <xf numFmtId="0" fontId="9" fillId="0" borderId="8" xfId="13" applyFont="1" applyBorder="1" applyAlignment="1">
      <alignment horizontal="left" wrapText="1"/>
    </xf>
    <xf numFmtId="0" fontId="9" fillId="0" borderId="1" xfId="13" applyFont="1" applyBorder="1" applyAlignment="1">
      <alignment horizontal="left" wrapText="1"/>
    </xf>
    <xf numFmtId="0" fontId="9" fillId="0" borderId="9" xfId="13" applyFont="1" applyBorder="1" applyAlignment="1">
      <alignment horizontal="left" wrapText="1"/>
    </xf>
    <xf numFmtId="0" fontId="1" fillId="2" borderId="1" xfId="13" applyFont="1" applyFill="1" applyBorder="1" applyAlignment="1">
      <alignment horizontal="center"/>
    </xf>
    <xf numFmtId="0" fontId="1" fillId="6" borderId="12"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14" xfId="0" applyFont="1" applyFill="1" applyBorder="1" applyAlignment="1">
      <alignment horizontal="center" vertical="center" wrapText="1"/>
    </xf>
    <xf numFmtId="0" fontId="2" fillId="11" borderId="0" xfId="13" applyFont="1" applyFill="1" applyAlignment="1">
      <alignment horizontal="left" wrapText="1"/>
    </xf>
    <xf numFmtId="0" fontId="1" fillId="0" borderId="0" xfId="13" applyFont="1" applyBorder="1" applyAlignment="1">
      <alignment horizontal="left"/>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13" xfId="0" applyFont="1" applyFill="1" applyBorder="1" applyAlignment="1">
      <alignment horizontal="center"/>
    </xf>
    <xf numFmtId="0" fontId="1" fillId="0" borderId="4" xfId="0" applyFont="1" applyBorder="1" applyAlignment="1">
      <alignment horizontal="center"/>
    </xf>
    <xf numFmtId="0" fontId="1" fillId="0" borderId="12" xfId="0" applyFont="1" applyBorder="1" applyAlignment="1">
      <alignment horizontal="center" vertical="center"/>
    </xf>
    <xf numFmtId="0" fontId="1" fillId="0" borderId="4" xfId="0" applyFont="1" applyFill="1" applyBorder="1" applyAlignment="1">
      <alignment horizontal="center" vertical="center" wrapText="1"/>
    </xf>
    <xf numFmtId="0" fontId="1" fillId="0" borderId="0" xfId="0" applyNumberFormat="1" applyFont="1" applyAlignment="1">
      <alignment horizontal="left"/>
    </xf>
    <xf numFmtId="0" fontId="1" fillId="0" borderId="0" xfId="0" applyFont="1" applyAlignment="1">
      <alignment horizontal="center"/>
    </xf>
    <xf numFmtId="0" fontId="49" fillId="6" borderId="10" xfId="0" applyFont="1" applyFill="1" applyBorder="1" applyAlignment="1">
      <alignment horizontal="center" vertical="center" wrapText="1"/>
    </xf>
    <xf numFmtId="0" fontId="49" fillId="6" borderId="15" xfId="0" applyFont="1" applyFill="1" applyBorder="1" applyAlignment="1">
      <alignment horizontal="center" vertical="center" wrapText="1"/>
    </xf>
    <xf numFmtId="0" fontId="49" fillId="6" borderId="11" xfId="0" applyFont="1" applyFill="1" applyBorder="1" applyAlignment="1">
      <alignment horizontal="center" vertical="center" wrapText="1"/>
    </xf>
    <xf numFmtId="0" fontId="31" fillId="6" borderId="10" xfId="0" applyFont="1" applyFill="1" applyBorder="1" applyAlignment="1">
      <alignment vertical="center" wrapText="1"/>
    </xf>
    <xf numFmtId="0" fontId="31" fillId="6" borderId="15" xfId="0" applyFont="1" applyFill="1" applyBorder="1" applyAlignment="1">
      <alignment vertical="center" wrapText="1"/>
    </xf>
    <xf numFmtId="0" fontId="31" fillId="6" borderId="11" xfId="0" applyFont="1" applyFill="1" applyBorder="1" applyAlignment="1">
      <alignment vertical="center" wrapText="1"/>
    </xf>
    <xf numFmtId="0" fontId="1" fillId="6" borderId="3"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77" fillId="2" borderId="4" xfId="0" applyFont="1" applyFill="1" applyBorder="1" applyAlignment="1">
      <alignment horizontal="center"/>
    </xf>
    <xf numFmtId="0" fontId="1" fillId="2" borderId="4" xfId="0" applyFont="1" applyFill="1" applyBorder="1" applyAlignment="1">
      <alignment horizontal="center" vertical="center"/>
    </xf>
    <xf numFmtId="0" fontId="1" fillId="12" borderId="12" xfId="0" applyFont="1" applyFill="1" applyBorder="1" applyAlignment="1">
      <alignment horizontal="center"/>
    </xf>
    <xf numFmtId="0" fontId="1" fillId="12" borderId="13" xfId="0" applyFont="1" applyFill="1" applyBorder="1" applyAlignment="1">
      <alignment horizontal="center"/>
    </xf>
    <xf numFmtId="0" fontId="1" fillId="12" borderId="14" xfId="0" applyFont="1" applyFill="1" applyBorder="1" applyAlignment="1">
      <alignment horizontal="center"/>
    </xf>
    <xf numFmtId="0" fontId="9" fillId="6" borderId="12" xfId="0" applyFont="1" applyFill="1" applyBorder="1" applyAlignment="1">
      <alignment horizontal="center"/>
    </xf>
    <xf numFmtId="0" fontId="9" fillId="6" borderId="13" xfId="0" applyFont="1" applyFill="1" applyBorder="1" applyAlignment="1">
      <alignment horizontal="center"/>
    </xf>
    <xf numFmtId="0" fontId="9" fillId="6" borderId="14" xfId="0" applyFont="1" applyFill="1" applyBorder="1" applyAlignment="1">
      <alignment horizontal="center"/>
    </xf>
    <xf numFmtId="0" fontId="1" fillId="6"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11" xfId="0" applyFont="1" applyFill="1" applyBorder="1" applyAlignment="1">
      <alignment horizontal="center" vertical="center"/>
    </xf>
    <xf numFmtId="173" fontId="33" fillId="12" borderId="0" xfId="8" applyNumberFormat="1" applyFont="1" applyFill="1" applyAlignment="1">
      <alignment horizontal="left"/>
    </xf>
    <xf numFmtId="0" fontId="33" fillId="0" borderId="0" xfId="8" applyFont="1" applyAlignment="1">
      <alignment horizontal="center"/>
    </xf>
    <xf numFmtId="0" fontId="1" fillId="2" borderId="0" xfId="0" applyFont="1" applyFill="1" applyBorder="1" applyAlignment="1">
      <alignment horizontal="center" vertical="center"/>
    </xf>
    <xf numFmtId="2" fontId="1" fillId="2" borderId="0" xfId="0" applyNumberFormat="1" applyFont="1" applyFill="1" applyBorder="1" applyAlignment="1">
      <alignment horizontal="center" vertical="center"/>
    </xf>
    <xf numFmtId="0" fontId="1" fillId="0" borderId="10" xfId="14" applyFont="1" applyBorder="1" applyAlignment="1">
      <alignment horizontal="center" vertical="center"/>
    </xf>
    <xf numFmtId="0" fontId="1" fillId="0" borderId="11" xfId="14" applyFont="1" applyBorder="1" applyAlignment="1">
      <alignment horizontal="center" vertical="center"/>
    </xf>
    <xf numFmtId="0" fontId="1" fillId="0" borderId="0" xfId="0" applyNumberFormat="1" applyFont="1" applyBorder="1" applyAlignment="1">
      <alignment horizontal="left"/>
    </xf>
    <xf numFmtId="0" fontId="1" fillId="0" borderId="2" xfId="14" applyFont="1" applyBorder="1" applyAlignment="1">
      <alignment horizontal="center" vertical="center"/>
    </xf>
    <xf numFmtId="0" fontId="1" fillId="0" borderId="5" xfId="14" applyFont="1" applyBorder="1" applyAlignment="1">
      <alignment horizontal="center" vertical="center"/>
    </xf>
    <xf numFmtId="0" fontId="9" fillId="0" borderId="19" xfId="0" applyFont="1" applyBorder="1" applyAlignment="1">
      <alignment horizontal="left" wrapText="1"/>
    </xf>
    <xf numFmtId="0" fontId="9" fillId="0" borderId="17" xfId="0" applyFont="1" applyBorder="1" applyAlignment="1">
      <alignment horizontal="left" wrapText="1"/>
    </xf>
    <xf numFmtId="0" fontId="9" fillId="0" borderId="16" xfId="0" applyFont="1" applyBorder="1" applyAlignment="1">
      <alignment horizontal="left" wrapText="1"/>
    </xf>
    <xf numFmtId="0" fontId="1" fillId="0" borderId="0" xfId="0" applyFont="1" applyAlignment="1">
      <alignment horizontal="center" vertical="center"/>
    </xf>
    <xf numFmtId="0" fontId="1" fillId="0" borderId="0" xfId="0" applyFont="1" applyBorder="1" applyAlignment="1">
      <alignment horizontal="center"/>
    </xf>
    <xf numFmtId="0" fontId="1" fillId="0" borderId="10" xfId="0" applyFont="1" applyBorder="1" applyAlignment="1">
      <alignment horizontal="center" wrapText="1"/>
    </xf>
    <xf numFmtId="0" fontId="1" fillId="0" borderId="15" xfId="0" applyFont="1" applyBorder="1" applyAlignment="1">
      <alignment horizontal="center" wrapText="1"/>
    </xf>
    <xf numFmtId="0" fontId="1" fillId="0" borderId="11" xfId="0" applyFont="1" applyBorder="1" applyAlignment="1">
      <alignment horizontal="center" wrapText="1"/>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5" xfId="0" applyFont="1" applyBorder="1" applyAlignment="1">
      <alignment horizontal="center" vertical="center"/>
    </xf>
    <xf numFmtId="0" fontId="1" fillId="0" borderId="4" xfId="0" applyFont="1" applyFill="1" applyBorder="1" applyAlignment="1">
      <alignment horizontal="center" vertical="center"/>
    </xf>
    <xf numFmtId="0" fontId="1" fillId="0" borderId="4" xfId="0" applyFont="1" applyBorder="1" applyAlignment="1">
      <alignment horizontal="center" wrapText="1"/>
    </xf>
    <xf numFmtId="0" fontId="1" fillId="0" borderId="10" xfId="0" applyFont="1" applyBorder="1" applyAlignment="1">
      <alignment horizontal="center"/>
    </xf>
    <xf numFmtId="0" fontId="1" fillId="0" borderId="15" xfId="0" applyFont="1" applyBorder="1" applyAlignment="1">
      <alignment horizontal="center"/>
    </xf>
    <xf numFmtId="0" fontId="1" fillId="0" borderId="11"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6" xfId="0" applyFont="1" applyBorder="1" applyAlignment="1">
      <alignment horizontal="center"/>
    </xf>
    <xf numFmtId="0" fontId="9" fillId="0" borderId="5" xfId="0" applyFont="1" applyBorder="1" applyAlignment="1">
      <alignment horizontal="center"/>
    </xf>
    <xf numFmtId="0" fontId="9" fillId="0" borderId="1" xfId="0" applyFont="1" applyBorder="1" applyAlignment="1">
      <alignment horizontal="center"/>
    </xf>
    <xf numFmtId="0" fontId="9" fillId="0" borderId="9" xfId="0" applyFont="1" applyBorder="1" applyAlignment="1">
      <alignment horizontal="center"/>
    </xf>
    <xf numFmtId="0" fontId="1" fillId="0" borderId="4" xfId="0" applyFont="1" applyBorder="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2" fillId="0" borderId="10" xfId="0" applyNumberFormat="1" applyFont="1" applyFill="1" applyBorder="1" applyAlignment="1">
      <alignment horizontal="center" wrapText="1"/>
    </xf>
    <xf numFmtId="0" fontId="2" fillId="0" borderId="15" xfId="0" applyNumberFormat="1" applyFont="1" applyFill="1" applyBorder="1" applyAlignment="1">
      <alignment horizontal="center" wrapText="1"/>
    </xf>
    <xf numFmtId="0" fontId="2" fillId="0" borderId="4" xfId="0" applyNumberFormat="1" applyFont="1" applyFill="1" applyBorder="1" applyAlignment="1">
      <alignment horizontal="center"/>
    </xf>
    <xf numFmtId="0" fontId="2" fillId="0" borderId="12" xfId="0" applyNumberFormat="1" applyFont="1" applyFill="1" applyBorder="1" applyAlignment="1">
      <alignment horizontal="center"/>
    </xf>
    <xf numFmtId="0" fontId="2" fillId="0" borderId="13" xfId="0" applyNumberFormat="1" applyFont="1" applyFill="1" applyBorder="1" applyAlignment="1">
      <alignment horizontal="center"/>
    </xf>
    <xf numFmtId="0" fontId="2" fillId="0" borderId="14" xfId="0" applyNumberFormat="1" applyFont="1" applyFill="1" applyBorder="1" applyAlignment="1">
      <alignment horizontal="center"/>
    </xf>
    <xf numFmtId="0" fontId="46" fillId="0" borderId="10" xfId="0" applyNumberFormat="1" applyFont="1" applyFill="1" applyBorder="1" applyAlignment="1">
      <alignment horizontal="center" wrapText="1"/>
    </xf>
    <xf numFmtId="0" fontId="46" fillId="0" borderId="15" xfId="0" applyNumberFormat="1" applyFont="1" applyFill="1" applyBorder="1" applyAlignment="1">
      <alignment horizontal="center" wrapText="1"/>
    </xf>
    <xf numFmtId="0" fontId="2" fillId="0" borderId="11" xfId="0" applyNumberFormat="1" applyFont="1" applyFill="1" applyBorder="1" applyAlignment="1">
      <alignment horizontal="center" wrapText="1"/>
    </xf>
    <xf numFmtId="0" fontId="46" fillId="0" borderId="11" xfId="0" applyNumberFormat="1" applyFont="1" applyFill="1" applyBorder="1" applyAlignment="1">
      <alignment horizontal="center" wrapText="1"/>
    </xf>
    <xf numFmtId="0" fontId="1" fillId="0" borderId="3" xfId="0" applyFont="1" applyBorder="1" applyAlignment="1">
      <alignment horizontal="center" wrapText="1"/>
    </xf>
    <xf numFmtId="0" fontId="1" fillId="0" borderId="1" xfId="0" applyFont="1" applyBorder="1" applyAlignment="1">
      <alignment horizontal="center" wrapText="1"/>
    </xf>
    <xf numFmtId="0" fontId="1" fillId="0" borderId="4" xfId="0" applyNumberFormat="1" applyFont="1" applyFill="1" applyBorder="1" applyAlignment="1">
      <alignment horizontal="center" wrapText="1"/>
    </xf>
    <xf numFmtId="0" fontId="1" fillId="0" borderId="10" xfId="0" applyNumberFormat="1" applyFont="1" applyFill="1" applyBorder="1" applyAlignment="1">
      <alignment horizontal="center"/>
    </xf>
    <xf numFmtId="0" fontId="1" fillId="0" borderId="11" xfId="0" applyNumberFormat="1" applyFont="1" applyFill="1" applyBorder="1" applyAlignment="1">
      <alignment horizontal="center"/>
    </xf>
    <xf numFmtId="0" fontId="1" fillId="0" borderId="5" xfId="0" applyNumberFormat="1" applyFont="1" applyFill="1" applyBorder="1" applyAlignment="1">
      <alignment horizontal="center" wrapText="1"/>
    </xf>
    <xf numFmtId="0" fontId="1" fillId="0" borderId="9" xfId="0" applyNumberFormat="1" applyFont="1" applyFill="1" applyBorder="1" applyAlignment="1">
      <alignment horizontal="center" wrapText="1"/>
    </xf>
    <xf numFmtId="0" fontId="2" fillId="0" borderId="10" xfId="0" applyNumberFormat="1" applyFont="1" applyFill="1" applyBorder="1" applyAlignment="1">
      <alignment horizontal="center"/>
    </xf>
    <xf numFmtId="0" fontId="2" fillId="0" borderId="15" xfId="0" applyNumberFormat="1" applyFont="1" applyFill="1" applyBorder="1" applyAlignment="1">
      <alignment horizontal="center"/>
    </xf>
    <xf numFmtId="0" fontId="2" fillId="0" borderId="11" xfId="0" applyNumberFormat="1" applyFont="1" applyFill="1" applyBorder="1" applyAlignment="1">
      <alignment horizontal="center"/>
    </xf>
    <xf numFmtId="0" fontId="2" fillId="0" borderId="4" xfId="0" applyNumberFormat="1"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10" xfId="0" applyFont="1" applyBorder="1" applyAlignment="1">
      <alignment horizontal="center" vertical="center" textRotation="90" wrapText="1"/>
    </xf>
    <xf numFmtId="0" fontId="1" fillId="0" borderId="15" xfId="0" applyFont="1" applyBorder="1" applyAlignment="1">
      <alignment horizontal="center" vertical="center" textRotation="90" wrapText="1"/>
    </xf>
    <xf numFmtId="0" fontId="1" fillId="0" borderId="11" xfId="0" applyFont="1" applyBorder="1" applyAlignment="1">
      <alignment horizontal="center" vertical="center" textRotation="90" wrapText="1"/>
    </xf>
    <xf numFmtId="0" fontId="1" fillId="0" borderId="4" xfId="0" applyFont="1" applyBorder="1" applyAlignment="1">
      <alignment horizontal="center" textRotation="90" wrapText="1"/>
    </xf>
    <xf numFmtId="0" fontId="2" fillId="0" borderId="4" xfId="0" applyNumberFormat="1" applyFont="1" applyFill="1" applyBorder="1" applyAlignment="1">
      <alignment horizontal="center" wrapText="1"/>
    </xf>
    <xf numFmtId="0" fontId="1" fillId="0" borderId="12" xfId="0" applyFont="1" applyBorder="1" applyAlignment="1">
      <alignment horizontal="center" wrapText="1"/>
    </xf>
    <xf numFmtId="0" fontId="1" fillId="0" borderId="14"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31" fillId="0" borderId="10" xfId="0" applyFont="1" applyBorder="1" applyAlignment="1">
      <alignment horizontal="center" textRotation="90" wrapText="1"/>
    </xf>
    <xf numFmtId="0" fontId="31" fillId="0" borderId="15" xfId="0" applyFont="1" applyBorder="1" applyAlignment="1">
      <alignment horizontal="center" textRotation="90" wrapText="1"/>
    </xf>
    <xf numFmtId="0" fontId="31" fillId="0" borderId="11" xfId="0" applyFont="1" applyBorder="1" applyAlignment="1">
      <alignment horizontal="center" textRotation="90" wrapText="1"/>
    </xf>
    <xf numFmtId="0" fontId="2" fillId="0" borderId="6" xfId="0" applyNumberFormat="1" applyFont="1" applyFill="1" applyBorder="1" applyAlignment="1">
      <alignment horizontal="center"/>
    </xf>
    <xf numFmtId="0" fontId="2" fillId="0" borderId="8" xfId="0" applyNumberFormat="1" applyFont="1" applyFill="1" applyBorder="1" applyAlignment="1">
      <alignment horizontal="center"/>
    </xf>
    <xf numFmtId="0" fontId="2" fillId="0" borderId="9" xfId="0" applyNumberFormat="1" applyFont="1" applyFill="1" applyBorder="1" applyAlignment="1">
      <alignment horizontal="center"/>
    </xf>
    <xf numFmtId="0" fontId="1" fillId="11" borderId="4" xfId="0" applyFont="1" applyFill="1" applyBorder="1" applyAlignment="1">
      <alignment horizontal="center" textRotation="90" wrapText="1"/>
    </xf>
    <xf numFmtId="0" fontId="1" fillId="0" borderId="15" xfId="0" applyFont="1" applyBorder="1" applyAlignment="1">
      <alignment horizontal="center" vertical="center" wrapText="1"/>
    </xf>
    <xf numFmtId="0" fontId="1" fillId="0" borderId="10" xfId="0" applyFont="1" applyFill="1" applyBorder="1" applyAlignment="1">
      <alignment horizontal="center" textRotation="90" wrapText="1"/>
    </xf>
    <xf numFmtId="0" fontId="1" fillId="0" borderId="15" xfId="0" applyFont="1" applyFill="1" applyBorder="1" applyAlignment="1">
      <alignment horizontal="center" textRotation="90" wrapText="1"/>
    </xf>
    <xf numFmtId="0" fontId="1" fillId="0" borderId="4" xfId="0" applyFont="1" applyFill="1" applyBorder="1" applyAlignment="1">
      <alignment horizontal="center"/>
    </xf>
    <xf numFmtId="0" fontId="2" fillId="0" borderId="10" xfId="0" applyNumberFormat="1" applyFont="1" applyFill="1" applyBorder="1" applyAlignment="1">
      <alignment horizontal="center" textRotation="90" wrapText="1"/>
    </xf>
    <xf numFmtId="0" fontId="2" fillId="0" borderId="15" xfId="0" applyNumberFormat="1" applyFont="1" applyFill="1" applyBorder="1" applyAlignment="1">
      <alignment horizontal="center" textRotation="90" wrapText="1"/>
    </xf>
    <xf numFmtId="0" fontId="2" fillId="0" borderId="11" xfId="0" applyNumberFormat="1" applyFont="1" applyFill="1" applyBorder="1" applyAlignment="1">
      <alignment horizontal="center" textRotation="90" wrapText="1"/>
    </xf>
    <xf numFmtId="0" fontId="46" fillId="0" borderId="15" xfId="0" applyNumberFormat="1" applyFont="1" applyFill="1" applyBorder="1" applyAlignment="1">
      <alignment horizontal="center" textRotation="90" wrapText="1"/>
    </xf>
    <xf numFmtId="0" fontId="46" fillId="0" borderId="11" xfId="0" applyNumberFormat="1" applyFont="1" applyFill="1" applyBorder="1" applyAlignment="1">
      <alignment horizontal="center" textRotation="90" wrapText="1"/>
    </xf>
    <xf numFmtId="0" fontId="1" fillId="2" borderId="10" xfId="0" applyFont="1" applyFill="1" applyBorder="1" applyAlignment="1">
      <alignment horizontal="center" textRotation="90" wrapText="1"/>
    </xf>
    <xf numFmtId="0" fontId="1" fillId="2" borderId="15" xfId="0" applyFont="1" applyFill="1" applyBorder="1" applyAlignment="1">
      <alignment horizontal="center" textRotation="90" wrapText="1"/>
    </xf>
    <xf numFmtId="0" fontId="1" fillId="2" borderId="11" xfId="0" applyFont="1" applyFill="1" applyBorder="1" applyAlignment="1">
      <alignment horizontal="center" textRotation="90" wrapText="1"/>
    </xf>
    <xf numFmtId="0" fontId="2" fillId="0" borderId="15" xfId="0" applyNumberFormat="1" applyFont="1" applyFill="1" applyBorder="1" applyAlignment="1">
      <alignment horizontal="center" vertical="center"/>
    </xf>
    <xf numFmtId="0" fontId="1" fillId="0" borderId="10" xfId="0" applyFont="1" applyBorder="1" applyAlignment="1">
      <alignment horizontal="left" wrapText="1"/>
    </xf>
    <xf numFmtId="0" fontId="1" fillId="0" borderId="15" xfId="0" applyFont="1" applyBorder="1" applyAlignment="1">
      <alignment horizontal="left" wrapText="1"/>
    </xf>
    <xf numFmtId="0" fontId="1" fillId="0" borderId="11" xfId="0" applyFont="1" applyBorder="1" applyAlignment="1">
      <alignment horizontal="left" wrapText="1"/>
    </xf>
    <xf numFmtId="0" fontId="46" fillId="0" borderId="3" xfId="0" applyNumberFormat="1" applyFont="1" applyFill="1" applyBorder="1" applyAlignment="1">
      <alignment horizontal="center" wrapText="1"/>
    </xf>
    <xf numFmtId="0" fontId="46" fillId="0" borderId="0" xfId="0" applyNumberFormat="1" applyFont="1" applyFill="1" applyBorder="1" applyAlignment="1">
      <alignment horizontal="center" wrapText="1"/>
    </xf>
    <xf numFmtId="0" fontId="46" fillId="0" borderId="1" xfId="0" applyNumberFormat="1" applyFont="1" applyFill="1" applyBorder="1" applyAlignment="1">
      <alignment horizontal="center" wrapText="1"/>
    </xf>
    <xf numFmtId="0" fontId="2" fillId="0" borderId="15" xfId="0" applyNumberFormat="1" applyFont="1" applyFill="1" applyBorder="1" applyAlignment="1">
      <alignment horizontal="center" vertical="center" wrapText="1"/>
    </xf>
    <xf numFmtId="0" fontId="1" fillId="0" borderId="0" xfId="0" applyFont="1" applyBorder="1" applyAlignment="1">
      <alignment horizontal="center" wrapText="1"/>
    </xf>
    <xf numFmtId="0" fontId="46" fillId="0" borderId="10" xfId="0" applyNumberFormat="1" applyFont="1" applyFill="1" applyBorder="1" applyAlignment="1">
      <alignment horizontal="center" vertical="center" wrapText="1"/>
    </xf>
    <xf numFmtId="0" fontId="46" fillId="0" borderId="15" xfId="0" applyNumberFormat="1" applyFont="1" applyFill="1" applyBorder="1" applyAlignment="1">
      <alignment horizontal="center" vertical="center" wrapText="1"/>
    </xf>
    <xf numFmtId="0" fontId="46" fillId="0" borderId="11" xfId="0" applyNumberFormat="1" applyFont="1" applyFill="1" applyBorder="1" applyAlignment="1">
      <alignment horizontal="center" vertical="center" wrapText="1"/>
    </xf>
    <xf numFmtId="0" fontId="1" fillId="0" borderId="10" xfId="0" applyFont="1" applyBorder="1" applyAlignment="1">
      <alignment horizontal="center" textRotation="90" wrapText="1"/>
    </xf>
    <xf numFmtId="0" fontId="1" fillId="0" borderId="15" xfId="0" applyFont="1" applyBorder="1" applyAlignment="1">
      <alignment horizontal="center" textRotation="90" wrapText="1"/>
    </xf>
    <xf numFmtId="0" fontId="1" fillId="0" borderId="11" xfId="0" applyFont="1" applyBorder="1" applyAlignment="1">
      <alignment horizontal="center" textRotation="90" wrapText="1"/>
    </xf>
    <xf numFmtId="0" fontId="1" fillId="0" borderId="2" xfId="0" applyFont="1" applyBorder="1" applyAlignment="1">
      <alignment horizontal="center" textRotation="90" wrapText="1"/>
    </xf>
    <xf numFmtId="0" fontId="1" fillId="0" borderId="7" xfId="0" applyFont="1" applyBorder="1" applyAlignment="1">
      <alignment horizontal="center" textRotation="90" wrapText="1"/>
    </xf>
    <xf numFmtId="0" fontId="1" fillId="0" borderId="5" xfId="0" applyFont="1" applyBorder="1" applyAlignment="1">
      <alignment horizontal="center" textRotation="90" wrapText="1"/>
    </xf>
    <xf numFmtId="0" fontId="31" fillId="11" borderId="7" xfId="0" applyFont="1" applyFill="1" applyBorder="1" applyAlignment="1"/>
    <xf numFmtId="0" fontId="31" fillId="11" borderId="8" xfId="0" applyFont="1" applyFill="1" applyBorder="1" applyAlignment="1"/>
    <xf numFmtId="0" fontId="1" fillId="0" borderId="3" xfId="0" applyFont="1" applyBorder="1" applyAlignment="1">
      <alignment horizontal="center" textRotation="90" wrapText="1"/>
    </xf>
    <xf numFmtId="0" fontId="1" fillId="0" borderId="0" xfId="0" applyFont="1" applyBorder="1" applyAlignment="1">
      <alignment horizontal="center" textRotation="90" wrapText="1"/>
    </xf>
    <xf numFmtId="0" fontId="1" fillId="0" borderId="1" xfId="0" applyFont="1" applyBorder="1" applyAlignment="1">
      <alignment horizontal="center" textRotation="90" wrapText="1"/>
    </xf>
    <xf numFmtId="0" fontId="1" fillId="11" borderId="2"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7" xfId="0" applyFont="1" applyFill="1" applyBorder="1" applyAlignment="1">
      <alignment horizontal="center" vertical="center"/>
    </xf>
    <xf numFmtId="0" fontId="1" fillId="11" borderId="8" xfId="0" applyFont="1" applyFill="1" applyBorder="1" applyAlignment="1">
      <alignment horizontal="center" vertical="center"/>
    </xf>
    <xf numFmtId="0" fontId="1" fillId="11" borderId="5"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12" xfId="0" applyFont="1" applyFill="1" applyBorder="1" applyAlignment="1">
      <alignment horizontal="center"/>
    </xf>
    <xf numFmtId="0" fontId="1" fillId="11" borderId="14" xfId="0" applyFont="1" applyFill="1" applyBorder="1" applyAlignment="1">
      <alignment horizontal="center"/>
    </xf>
    <xf numFmtId="0" fontId="39" fillId="0" borderId="4" xfId="0" applyFont="1" applyBorder="1" applyAlignment="1">
      <alignment horizontal="center" wrapText="1"/>
    </xf>
    <xf numFmtId="0" fontId="31" fillId="2" borderId="2" xfId="0" applyFont="1" applyFill="1" applyBorder="1" applyAlignment="1">
      <alignment horizontal="center" wrapText="1"/>
    </xf>
    <xf numFmtId="0" fontId="31" fillId="2" borderId="6" xfId="0" applyFont="1" applyFill="1" applyBorder="1" applyAlignment="1">
      <alignment horizontal="center" wrapText="1"/>
    </xf>
    <xf numFmtId="0" fontId="31" fillId="2" borderId="7" xfId="0" applyFont="1" applyFill="1" applyBorder="1" applyAlignment="1">
      <alignment horizontal="center" wrapText="1"/>
    </xf>
    <xf numFmtId="0" fontId="31" fillId="2" borderId="8" xfId="0" applyFont="1" applyFill="1" applyBorder="1" applyAlignment="1">
      <alignment horizontal="center" wrapText="1"/>
    </xf>
    <xf numFmtId="0" fontId="31" fillId="2" borderId="5" xfId="0" applyFont="1" applyFill="1" applyBorder="1" applyAlignment="1">
      <alignment horizontal="center" wrapText="1"/>
    </xf>
    <xf numFmtId="0" fontId="31" fillId="2" borderId="9" xfId="0" applyFont="1" applyFill="1" applyBorder="1" applyAlignment="1">
      <alignment horizontal="center" wrapText="1"/>
    </xf>
    <xf numFmtId="0" fontId="1" fillId="0" borderId="6" xfId="0" applyFont="1" applyBorder="1" applyAlignment="1">
      <alignment horizontal="center" textRotation="90" wrapText="1"/>
    </xf>
    <xf numFmtId="0" fontId="1" fillId="0" borderId="8" xfId="0" applyFont="1" applyBorder="1" applyAlignment="1">
      <alignment horizontal="center" textRotation="90" wrapText="1"/>
    </xf>
    <xf numFmtId="0" fontId="40" fillId="2" borderId="6" xfId="0" applyFont="1" applyFill="1" applyBorder="1" applyAlignment="1">
      <alignment horizontal="center" textRotation="90"/>
    </xf>
    <xf numFmtId="0" fontId="40" fillId="2" borderId="8" xfId="0" applyFont="1" applyFill="1" applyBorder="1" applyAlignment="1">
      <alignment horizontal="center" textRotation="90"/>
    </xf>
    <xf numFmtId="0" fontId="40" fillId="2" borderId="9" xfId="0" applyFont="1" applyFill="1" applyBorder="1" applyAlignment="1">
      <alignment horizontal="center" textRotation="90"/>
    </xf>
    <xf numFmtId="0" fontId="1" fillId="0" borderId="2" xfId="0" applyFont="1" applyBorder="1" applyAlignment="1">
      <alignment horizontal="center" vertical="center"/>
    </xf>
    <xf numFmtId="0" fontId="1" fillId="0" borderId="7"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4" xfId="0" applyFont="1" applyBorder="1" applyAlignment="1">
      <alignment horizontal="center" vertical="center" textRotation="90" wrapText="1"/>
    </xf>
    <xf numFmtId="0" fontId="2" fillId="9" borderId="6" xfId="0" applyFont="1" applyFill="1" applyBorder="1" applyAlignment="1">
      <alignment horizontal="center" vertical="center"/>
    </xf>
    <xf numFmtId="0" fontId="2" fillId="9" borderId="8" xfId="0" applyFont="1" applyFill="1" applyBorder="1" applyAlignment="1">
      <alignment horizontal="center" vertical="center"/>
    </xf>
    <xf numFmtId="0" fontId="2" fillId="9" borderId="9" xfId="0" applyFont="1" applyFill="1" applyBorder="1" applyAlignment="1">
      <alignment horizontal="center" vertical="center"/>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1" fillId="0" borderId="10"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1" xfId="0" applyFont="1" applyFill="1" applyBorder="1" applyAlignment="1">
      <alignment horizontal="center" vertical="center"/>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3" fillId="2" borderId="2"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0" fontId="3" fillId="2" borderId="6" xfId="0" applyNumberFormat="1" applyFont="1" applyFill="1" applyBorder="1" applyAlignment="1">
      <alignment horizontal="center" vertical="center"/>
    </xf>
    <xf numFmtId="0" fontId="3" fillId="2" borderId="7" xfId="0" applyNumberFormat="1" applyFont="1" applyFill="1" applyBorder="1" applyAlignment="1">
      <alignment horizontal="center" vertical="center"/>
    </xf>
    <xf numFmtId="0" fontId="3" fillId="2" borderId="0" xfId="0" applyNumberFormat="1" applyFont="1" applyFill="1" applyBorder="1" applyAlignment="1">
      <alignment horizontal="center" vertical="center"/>
    </xf>
    <xf numFmtId="0" fontId="3" fillId="2" borderId="8" xfId="0" applyNumberFormat="1" applyFont="1" applyFill="1" applyBorder="1" applyAlignment="1">
      <alignment horizontal="center" vertical="center"/>
    </xf>
    <xf numFmtId="0" fontId="3" fillId="2" borderId="5" xfId="0" applyNumberFormat="1" applyFont="1" applyFill="1" applyBorder="1" applyAlignment="1">
      <alignment horizontal="center" vertical="center"/>
    </xf>
    <xf numFmtId="0" fontId="3" fillId="2" borderId="1" xfId="0" applyNumberFormat="1" applyFont="1" applyFill="1" applyBorder="1" applyAlignment="1">
      <alignment horizontal="center" vertical="center"/>
    </xf>
    <xf numFmtId="0" fontId="3" fillId="2" borderId="9" xfId="0" applyNumberFormat="1" applyFont="1" applyFill="1" applyBorder="1" applyAlignment="1">
      <alignment horizontal="center" vertical="center"/>
    </xf>
    <xf numFmtId="0" fontId="1" fillId="9" borderId="10" xfId="0" applyFont="1" applyFill="1" applyBorder="1" applyAlignment="1">
      <alignment horizontal="center"/>
    </xf>
    <xf numFmtId="0" fontId="1" fillId="9" borderId="15" xfId="0" applyFont="1" applyFill="1" applyBorder="1" applyAlignment="1">
      <alignment horizontal="center"/>
    </xf>
    <xf numFmtId="0" fontId="1" fillId="9" borderId="11" xfId="0" applyFont="1" applyFill="1" applyBorder="1" applyAlignment="1">
      <alignment horizontal="center"/>
    </xf>
    <xf numFmtId="0" fontId="1" fillId="0" borderId="11" xfId="0" applyFont="1" applyFill="1" applyBorder="1" applyAlignment="1">
      <alignment horizontal="center" textRotation="90" wrapText="1"/>
    </xf>
    <xf numFmtId="0" fontId="1" fillId="9" borderId="10" xfId="0" applyFont="1" applyFill="1" applyBorder="1" applyAlignment="1">
      <alignment horizontal="center" vertical="center"/>
    </xf>
    <xf numFmtId="0" fontId="1" fillId="9" borderId="15" xfId="0" applyFont="1" applyFill="1" applyBorder="1" applyAlignment="1">
      <alignment horizontal="center" vertical="center"/>
    </xf>
    <xf numFmtId="0" fontId="1" fillId="9" borderId="11" xfId="0" applyFont="1" applyFill="1" applyBorder="1" applyAlignment="1">
      <alignment horizontal="center" vertical="center"/>
    </xf>
    <xf numFmtId="0" fontId="1" fillId="0" borderId="10" xfId="0" applyFont="1" applyFill="1" applyBorder="1" applyAlignment="1">
      <alignment horizontal="center" wrapText="1"/>
    </xf>
    <xf numFmtId="0" fontId="1" fillId="0" borderId="11" xfId="0" applyFont="1" applyFill="1" applyBorder="1" applyAlignment="1">
      <alignment horizontal="center" wrapText="1"/>
    </xf>
    <xf numFmtId="0" fontId="31" fillId="0" borderId="10" xfId="0" applyFont="1" applyFill="1" applyBorder="1" applyAlignment="1">
      <alignment horizontal="center" vertical="center" wrapText="1"/>
    </xf>
    <xf numFmtId="0" fontId="31" fillId="0" borderId="15" xfId="0" applyFont="1" applyFill="1" applyBorder="1" applyAlignment="1">
      <alignment horizontal="center" vertical="center" wrapText="1"/>
    </xf>
    <xf numFmtId="0" fontId="31" fillId="0" borderId="11" xfId="0" applyFont="1" applyFill="1" applyBorder="1" applyAlignment="1">
      <alignment horizontal="center" vertical="center" wrapText="1"/>
    </xf>
    <xf numFmtId="0" fontId="1" fillId="0" borderId="6"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9" xfId="0" applyFont="1" applyFill="1" applyBorder="1" applyAlignment="1">
      <alignment horizontal="center" vertical="center"/>
    </xf>
    <xf numFmtId="0" fontId="2" fillId="0" borderId="7" xfId="0" applyNumberFormat="1" applyFont="1" applyFill="1" applyBorder="1" applyAlignment="1">
      <alignment horizontal="center" vertical="center" textRotation="90" wrapText="1"/>
    </xf>
    <xf numFmtId="0" fontId="2" fillId="0" borderId="8" xfId="0" applyNumberFormat="1" applyFont="1" applyFill="1" applyBorder="1" applyAlignment="1">
      <alignment horizontal="center" vertical="center" textRotation="90" wrapText="1"/>
    </xf>
    <xf numFmtId="0" fontId="2" fillId="0" borderId="5" xfId="0" applyNumberFormat="1" applyFont="1" applyFill="1" applyBorder="1" applyAlignment="1">
      <alignment horizontal="center" vertical="center" textRotation="90" wrapText="1"/>
    </xf>
    <xf numFmtId="0" fontId="2" fillId="0" borderId="9" xfId="0" applyNumberFormat="1" applyFont="1" applyFill="1" applyBorder="1" applyAlignment="1">
      <alignment horizontal="center" vertical="center" textRotation="90" wrapText="1"/>
    </xf>
    <xf numFmtId="0" fontId="2" fillId="11" borderId="12" xfId="0" applyNumberFormat="1" applyFont="1" applyFill="1" applyBorder="1" applyAlignment="1">
      <alignment horizontal="center" vertical="center"/>
    </xf>
    <xf numFmtId="0" fontId="2" fillId="11" borderId="14" xfId="0"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2" xfId="0" applyFont="1" applyBorder="1" applyAlignment="1">
      <alignment horizontal="center" vertical="center" textRotation="90" wrapText="1"/>
    </xf>
    <xf numFmtId="0" fontId="1" fillId="0" borderId="6" xfId="0"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1" fillId="0" borderId="8" xfId="0" applyFont="1" applyBorder="1" applyAlignment="1">
      <alignment horizontal="center" vertical="center" textRotation="90" wrapText="1"/>
    </xf>
    <xf numFmtId="0" fontId="2" fillId="0" borderId="0" xfId="0" applyNumberFormat="1" applyFont="1" applyFill="1" applyAlignment="1">
      <alignment horizontal="center" vertical="center"/>
    </xf>
    <xf numFmtId="0" fontId="2" fillId="0" borderId="2" xfId="0" applyNumberFormat="1" applyFont="1" applyFill="1" applyBorder="1" applyAlignment="1">
      <alignment horizontal="center"/>
    </xf>
    <xf numFmtId="0" fontId="2" fillId="0" borderId="3" xfId="0" applyNumberFormat="1" applyFont="1" applyFill="1" applyBorder="1" applyAlignment="1">
      <alignment horizontal="center"/>
    </xf>
    <xf numFmtId="0" fontId="2" fillId="0" borderId="5" xfId="0" applyNumberFormat="1" applyFont="1" applyFill="1" applyBorder="1" applyAlignment="1">
      <alignment horizontal="center"/>
    </xf>
    <xf numFmtId="0" fontId="2" fillId="0" borderId="1" xfId="0" applyNumberFormat="1" applyFont="1" applyFill="1" applyBorder="1" applyAlignment="1">
      <alignment horizontal="center"/>
    </xf>
    <xf numFmtId="0" fontId="37" fillId="0" borderId="10" xfId="0" applyFont="1" applyFill="1" applyBorder="1" applyAlignment="1">
      <alignment horizontal="center" vertical="center" wrapText="1"/>
    </xf>
    <xf numFmtId="2" fontId="1" fillId="0" borderId="7" xfId="0" applyNumberFormat="1" applyFont="1" applyFill="1" applyBorder="1" applyAlignment="1">
      <alignment horizontal="center"/>
    </xf>
    <xf numFmtId="2" fontId="1" fillId="0" borderId="8" xfId="0" applyNumberFormat="1"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2" xfId="0" applyFont="1" applyBorder="1" applyAlignment="1">
      <alignment horizontal="center" textRotation="90"/>
    </xf>
    <xf numFmtId="0" fontId="1" fillId="0" borderId="7" xfId="0" applyFont="1" applyBorder="1" applyAlignment="1">
      <alignment horizontal="center" textRotation="90"/>
    </xf>
    <xf numFmtId="0" fontId="1" fillId="0" borderId="5" xfId="0" applyFont="1" applyBorder="1" applyAlignment="1">
      <alignment horizontal="center" textRotation="90"/>
    </xf>
    <xf numFmtId="0" fontId="1" fillId="6" borderId="0" xfId="0" applyFont="1" applyFill="1" applyAlignment="1">
      <alignment horizontal="center" textRotation="90"/>
    </xf>
    <xf numFmtId="0" fontId="11" fillId="6" borderId="0" xfId="0" applyFont="1" applyFill="1" applyAlignment="1">
      <alignment horizontal="center" wrapText="1"/>
    </xf>
  </cellXfs>
  <cellStyles count="17">
    <cellStyle name="br" xfId="3"/>
    <cellStyle name="Comma 2" xfId="4"/>
    <cellStyle name="Excel Built-in Normal" xfId="5"/>
    <cellStyle name="Excel Built-in Normal 2" xfId="6"/>
    <cellStyle name="lm" xfId="7"/>
    <cellStyle name="Normal" xfId="0" builtinId="0"/>
    <cellStyle name="Normal 11 2" xfId="13"/>
    <cellStyle name="Normal 2" xfId="1"/>
    <cellStyle name="Normal 2 2" xfId="8"/>
    <cellStyle name="Normal 2 6" xfId="15"/>
    <cellStyle name="Normal 3" xfId="9"/>
    <cellStyle name="Normal 3 2" xfId="11"/>
    <cellStyle name="Normal 4" xfId="10"/>
    <cellStyle name="Normal 4 2" xfId="14"/>
    <cellStyle name="Normal 4 2 2" xfId="16"/>
    <cellStyle name="Normal 5" xfId="12"/>
    <cellStyle name="Normal_FixVAPIv" xfId="2"/>
  </cellStyles>
  <dxfs count="0"/>
  <tableStyles count="0" defaultTableStyle="TableStyleMedium2" defaultPivotStyle="PivotStyleMedium9"/>
  <colors>
    <mruColors>
      <color rgb="FF000000"/>
      <color rgb="FFFFFF99"/>
      <color rgb="FFE9F7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63" Type="http://schemas.openxmlformats.org/officeDocument/2006/relationships/externalLink" Target="externalLinks/externalLink9.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4.xml"/><Relationship Id="rId66"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3.xml"/><Relationship Id="rId61" Type="http://schemas.openxmlformats.org/officeDocument/2006/relationships/externalLink" Target="externalLinks/externalLink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6.xml"/><Relationship Id="rId65"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2.xml"/><Relationship Id="rId64" Type="http://schemas.openxmlformats.org/officeDocument/2006/relationships/externalLink" Target="externalLinks/externalLink10.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5.xml"/><Relationship Id="rId67" Type="http://schemas.openxmlformats.org/officeDocument/2006/relationships/externalLink" Target="externalLinks/externalLink1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8.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u="sng"/>
            </a:pPr>
            <a:r>
              <a:rPr lang="en-IN" sz="1050" b="0" i="1" u="sng">
                <a:latin typeface="Garamond" pitchFamily="18" charset="0"/>
              </a:rPr>
              <a:t>INTERACTION DIAGRAM </a:t>
            </a:r>
            <a:r>
              <a:rPr lang="en-IN" sz="1050" b="0" i="1" u="none">
                <a:latin typeface="Garamond" pitchFamily="18" charset="0"/>
              </a:rPr>
              <a:t> </a:t>
            </a:r>
            <a:r>
              <a:rPr lang="en-IN" sz="1050" b="0" i="0" u="none">
                <a:latin typeface="Garamond" pitchFamily="18" charset="0"/>
              </a:rPr>
              <a:t>(Pu : Mu</a:t>
            </a:r>
            <a:r>
              <a:rPr lang="en-IN" sz="1050" b="0" i="0" u="none" cap="small" normalizeH="0" baseline="0">
                <a:latin typeface="Garamond" pitchFamily="18" charset="0"/>
              </a:rPr>
              <a:t>)</a:t>
            </a:r>
          </a:p>
        </c:rich>
      </c:tx>
      <c:layout>
        <c:manualLayout>
          <c:xMode val="edge"/>
          <c:yMode val="edge"/>
          <c:x val="0.20286002884652501"/>
          <c:y val="7.1856214823540834E-2"/>
        </c:manualLayout>
      </c:layout>
    </c:title>
    <c:plotArea>
      <c:layout>
        <c:manualLayout>
          <c:layoutTarget val="inner"/>
          <c:xMode val="edge"/>
          <c:yMode val="edge"/>
          <c:x val="0.10678183883730952"/>
          <c:y val="3.2245591197856895E-2"/>
          <c:w val="0.62501480314960678"/>
          <c:h val="0.9108876809983274"/>
        </c:manualLayout>
      </c:layout>
      <c:scatterChart>
        <c:scatterStyle val="smoothMarker"/>
        <c:ser>
          <c:idx val="0"/>
          <c:order val="0"/>
          <c:tx>
            <c:v>CAPACITY</c:v>
          </c:tx>
          <c:marker>
            <c:symbol val="none"/>
          </c:marker>
          <c:xVal>
            <c:numRef>
              <c:f>U_PILE!$C$22:$C$33</c:f>
              <c:numCache>
                <c:formatCode>0.0</c:formatCode>
                <c:ptCount val="12"/>
                <c:pt idx="0">
                  <c:v>0.65084261514208275</c:v>
                </c:pt>
                <c:pt idx="1">
                  <c:v>194.08146849893927</c:v>
                </c:pt>
                <c:pt idx="2">
                  <c:v>323.83177988976803</c:v>
                </c:pt>
                <c:pt idx="3">
                  <c:v>330.06653986895435</c:v>
                </c:pt>
                <c:pt idx="4">
                  <c:v>245.73852636165256</c:v>
                </c:pt>
                <c:pt idx="5">
                  <c:v>138.19110920672961</c:v>
                </c:pt>
                <c:pt idx="6">
                  <c:v>80.560547525219889</c:v>
                </c:pt>
                <c:pt idx="7">
                  <c:v>48.334361565229123</c:v>
                </c:pt>
                <c:pt idx="8">
                  <c:v>27.964675939293802</c:v>
                </c:pt>
                <c:pt idx="9">
                  <c:v>14.994903446581679</c:v>
                </c:pt>
                <c:pt idx="10">
                  <c:v>7.1869563206919729</c:v>
                </c:pt>
              </c:numCache>
            </c:numRef>
          </c:xVal>
          <c:yVal>
            <c:numRef>
              <c:f>U_PILE!$B$22:$B$33</c:f>
              <c:numCache>
                <c:formatCode>0.0</c:formatCode>
                <c:ptCount val="12"/>
                <c:pt idx="0">
                  <c:v>-532.70702790389066</c:v>
                </c:pt>
                <c:pt idx="1">
                  <c:v>-103.79485068986493</c:v>
                </c:pt>
                <c:pt idx="2">
                  <c:v>402.22256272178328</c:v>
                </c:pt>
                <c:pt idx="3">
                  <c:v>946.40381700724026</c:v>
                </c:pt>
                <c:pt idx="4">
                  <c:v>1454.1762764402495</c:v>
                </c:pt>
                <c:pt idx="5">
                  <c:v>1828.3786177516333</c:v>
                </c:pt>
                <c:pt idx="6">
                  <c:v>2001.3755992107569</c:v>
                </c:pt>
                <c:pt idx="7">
                  <c:v>2093.061365823809</c:v>
                </c:pt>
                <c:pt idx="8">
                  <c:v>2146.3273661210983</c:v>
                </c:pt>
                <c:pt idx="9">
                  <c:v>2177.5706052481737</c:v>
                </c:pt>
                <c:pt idx="10">
                  <c:v>2195.2635401565044</c:v>
                </c:pt>
              </c:numCache>
            </c:numRef>
          </c:yVal>
          <c:smooth val="1"/>
          <c:extLst xmlns:c16r2="http://schemas.microsoft.com/office/drawing/2015/06/chart">
            <c:ext xmlns:c16="http://schemas.microsoft.com/office/drawing/2014/chart" uri="{C3380CC4-5D6E-409C-BE32-E72D297353CC}">
              <c16:uniqueId val="{00000000-F9E2-474E-ABD6-BC964DEAE560}"/>
            </c:ext>
          </c:extLst>
        </c:ser>
        <c:ser>
          <c:idx val="1"/>
          <c:order val="1"/>
          <c:tx>
            <c:v>Max_Vertical_load</c:v>
          </c:tx>
          <c:spPr>
            <a:ln>
              <a:noFill/>
            </a:ln>
          </c:spPr>
          <c:marker>
            <c:symbol val="diamond"/>
            <c:size val="5"/>
            <c:spPr>
              <a:solidFill>
                <a:schemeClr val="accent1"/>
              </a:solidFill>
            </c:spPr>
          </c:marker>
          <c:xVal>
            <c:numRef>
              <c:f>U_PILE!$E$46:$E$104</c:f>
              <c:numCache>
                <c:formatCode>0.00</c:formatCode>
                <c:ptCount val="59"/>
                <c:pt idx="0">
                  <c:v>13.77688567058482</c:v>
                </c:pt>
                <c:pt idx="1">
                  <c:v>5.5107542682339288</c:v>
                </c:pt>
                <c:pt idx="2">
                  <c:v>30.176094352892601</c:v>
                </c:pt>
                <c:pt idx="3">
                  <c:v>28.243157656400729</c:v>
                </c:pt>
                <c:pt idx="5">
                  <c:v>11.93996758117351</c:v>
                </c:pt>
                <c:pt idx="6">
                  <c:v>4.7759870324694056</c:v>
                </c:pt>
                <c:pt idx="7">
                  <c:v>26.152615105840258</c:v>
                </c:pt>
                <c:pt idx="8">
                  <c:v>24.477403302213968</c:v>
                </c:pt>
                <c:pt idx="10">
                  <c:v>64.9914376926329</c:v>
                </c:pt>
                <c:pt idx="11">
                  <c:v>42.42005427428002</c:v>
                </c:pt>
                <c:pt idx="12">
                  <c:v>64.9914376926329</c:v>
                </c:pt>
                <c:pt idx="13">
                  <c:v>42.42005427428002</c:v>
                </c:pt>
                <c:pt idx="15">
                  <c:v>124.30528899040191</c:v>
                </c:pt>
                <c:pt idx="16">
                  <c:v>121.06500089685652</c:v>
                </c:pt>
                <c:pt idx="17">
                  <c:v>124.30528899040191</c:v>
                </c:pt>
                <c:pt idx="18">
                  <c:v>121.06500089685652</c:v>
                </c:pt>
                <c:pt idx="20">
                  <c:v>124.02240570710883</c:v>
                </c:pt>
                <c:pt idx="21">
                  <c:v>124.91236824453485</c:v>
                </c:pt>
                <c:pt idx="22">
                  <c:v>124.02240570710883</c:v>
                </c:pt>
                <c:pt idx="23">
                  <c:v>124.91236824453485</c:v>
                </c:pt>
                <c:pt idx="25">
                  <c:v>123.98972654802672</c:v>
                </c:pt>
                <c:pt idx="26">
                  <c:v>124.55137934545488</c:v>
                </c:pt>
                <c:pt idx="27">
                  <c:v>123.98972654802672</c:v>
                </c:pt>
                <c:pt idx="28">
                  <c:v>124.55137934545488</c:v>
                </c:pt>
                <c:pt idx="30">
                  <c:v>20.302110287604837</c:v>
                </c:pt>
                <c:pt idx="31">
                  <c:v>10.017890143064157</c:v>
                </c:pt>
                <c:pt idx="32">
                  <c:v>41.018532891692232</c:v>
                </c:pt>
                <c:pt idx="33">
                  <c:v>38.571151848340953</c:v>
                </c:pt>
                <c:pt idx="35">
                  <c:v>17.995955241457274</c:v>
                </c:pt>
                <c:pt idx="36">
                  <c:v>9.1267167581477295</c:v>
                </c:pt>
                <c:pt idx="37">
                  <c:v>35.92516690488474</c:v>
                </c:pt>
                <c:pt idx="38">
                  <c:v>33.80572603847925</c:v>
                </c:pt>
                <c:pt idx="40">
                  <c:v>122.48490845378666</c:v>
                </c:pt>
                <c:pt idx="41">
                  <c:v>92.717781140380353</c:v>
                </c:pt>
                <c:pt idx="42">
                  <c:v>122.48490845378666</c:v>
                </c:pt>
                <c:pt idx="43">
                  <c:v>92.717781140380353</c:v>
                </c:pt>
                <c:pt idx="45">
                  <c:v>218.23555484273933</c:v>
                </c:pt>
                <c:pt idx="46">
                  <c:v>213.84618763244313</c:v>
                </c:pt>
                <c:pt idx="47">
                  <c:v>218.23555484273933</c:v>
                </c:pt>
                <c:pt idx="48">
                  <c:v>213.84618763244313</c:v>
                </c:pt>
                <c:pt idx="50">
                  <c:v>217.2255622868872</c:v>
                </c:pt>
                <c:pt idx="51">
                  <c:v>218.50565330598246</c:v>
                </c:pt>
                <c:pt idx="52">
                  <c:v>217.2255622868872</c:v>
                </c:pt>
                <c:pt idx="53">
                  <c:v>218.50565330598246</c:v>
                </c:pt>
                <c:pt idx="55">
                  <c:v>217.18282288669064</c:v>
                </c:pt>
                <c:pt idx="56">
                  <c:v>218.04763283398006</c:v>
                </c:pt>
                <c:pt idx="57">
                  <c:v>217.18282288669064</c:v>
                </c:pt>
                <c:pt idx="58">
                  <c:v>218.04763283398006</c:v>
                </c:pt>
              </c:numCache>
            </c:numRef>
          </c:xVal>
          <c:yVal>
            <c:numRef>
              <c:f>U_PILE!$C$46:$C$104</c:f>
              <c:numCache>
                <c:formatCode>0.00</c:formatCode>
                <c:ptCount val="59"/>
                <c:pt idx="0">
                  <c:v>125.13000312057085</c:v>
                </c:pt>
                <c:pt idx="1">
                  <c:v>217.60409487983014</c:v>
                </c:pt>
                <c:pt idx="2">
                  <c:v>219.59924390662121</c:v>
                </c:pt>
                <c:pt idx="3">
                  <c:v>210.86403396911581</c:v>
                </c:pt>
                <c:pt idx="5">
                  <c:v>88.166537551588817</c:v>
                </c:pt>
                <c:pt idx="6">
                  <c:v>158.67415488492216</c:v>
                </c:pt>
                <c:pt idx="7">
                  <c:v>160.40328404147439</c:v>
                </c:pt>
                <c:pt idx="8">
                  <c:v>152.83276876230312</c:v>
                </c:pt>
                <c:pt idx="10">
                  <c:v>57.190317722240977</c:v>
                </c:pt>
                <c:pt idx="11">
                  <c:v>81.355888650051526</c:v>
                </c:pt>
                <c:pt idx="12">
                  <c:v>60.269942085426052</c:v>
                </c:pt>
                <c:pt idx="13">
                  <c:v>84.435513013236601</c:v>
                </c:pt>
                <c:pt idx="15">
                  <c:v>51.0235846398839</c:v>
                </c:pt>
                <c:pt idx="16">
                  <c:v>67.774472254379631</c:v>
                </c:pt>
                <c:pt idx="17">
                  <c:v>63.185621866254003</c:v>
                </c:pt>
                <c:pt idx="18">
                  <c:v>79.936509480749734</c:v>
                </c:pt>
                <c:pt idx="20">
                  <c:v>54.93655463610709</c:v>
                </c:pt>
                <c:pt idx="21">
                  <c:v>68.051812836852804</c:v>
                </c:pt>
                <c:pt idx="22">
                  <c:v>67.573673963693409</c:v>
                </c:pt>
                <c:pt idx="23">
                  <c:v>80.688932164439152</c:v>
                </c:pt>
                <c:pt idx="25">
                  <c:v>53.616127794264173</c:v>
                </c:pt>
                <c:pt idx="26">
                  <c:v>67.053803212484894</c:v>
                </c:pt>
                <c:pt idx="27">
                  <c:v>66.104228339934295</c:v>
                </c:pt>
                <c:pt idx="28">
                  <c:v>79.541903758154973</c:v>
                </c:pt>
                <c:pt idx="30">
                  <c:v>112.27835549442354</c:v>
                </c:pt>
                <c:pt idx="31">
                  <c:v>205.74718799442357</c:v>
                </c:pt>
                <c:pt idx="32">
                  <c:v>208.48258167034038</c:v>
                </c:pt>
                <c:pt idx="33">
                  <c:v>199.74737173283501</c:v>
                </c:pt>
                <c:pt idx="35">
                  <c:v>78.446907220456865</c:v>
                </c:pt>
                <c:pt idx="36">
                  <c:v>148.95452455379021</c:v>
                </c:pt>
                <c:pt idx="37">
                  <c:v>151.42389835946818</c:v>
                </c:pt>
                <c:pt idx="38">
                  <c:v>143.85338308029685</c:v>
                </c:pt>
                <c:pt idx="40">
                  <c:v>39.555262915829623</c:v>
                </c:pt>
                <c:pt idx="41">
                  <c:v>63.922653723547185</c:v>
                </c:pt>
                <c:pt idx="42">
                  <c:v>44.252173779014733</c:v>
                </c:pt>
                <c:pt idx="43">
                  <c:v>68.619564586732281</c:v>
                </c:pt>
                <c:pt idx="45">
                  <c:v>35.912191168183313</c:v>
                </c:pt>
                <c:pt idx="46">
                  <c:v>53.978487794300889</c:v>
                </c:pt>
                <c:pt idx="47">
                  <c:v>51.308801394553456</c:v>
                </c:pt>
                <c:pt idx="48">
                  <c:v>69.375098020671032</c:v>
                </c:pt>
                <c:pt idx="50">
                  <c:v>40.49827916440649</c:v>
                </c:pt>
                <c:pt idx="51">
                  <c:v>54.928946376774135</c:v>
                </c:pt>
                <c:pt idx="52">
                  <c:v>56.369971491992843</c:v>
                </c:pt>
                <c:pt idx="53">
                  <c:v>70.800638704360466</c:v>
                </c:pt>
                <c:pt idx="55">
                  <c:v>39.177852322563602</c:v>
                </c:pt>
                <c:pt idx="56">
                  <c:v>53.930936752406197</c:v>
                </c:pt>
                <c:pt idx="57">
                  <c:v>54.900525868233728</c:v>
                </c:pt>
                <c:pt idx="58">
                  <c:v>69.653610298076316</c:v>
                </c:pt>
              </c:numCache>
            </c:numRef>
          </c:yVal>
          <c:smooth val="1"/>
          <c:extLst xmlns:c16r2="http://schemas.microsoft.com/office/drawing/2015/06/chart">
            <c:ext xmlns:c16="http://schemas.microsoft.com/office/drawing/2014/chart" uri="{C3380CC4-5D6E-409C-BE32-E72D297353CC}">
              <c16:uniqueId val="{00000001-F9E2-474E-ABD6-BC964DEAE560}"/>
            </c:ext>
          </c:extLst>
        </c:ser>
        <c:ser>
          <c:idx val="2"/>
          <c:order val="2"/>
          <c:tx>
            <c:v>Min_vertical_load</c:v>
          </c:tx>
          <c:spPr>
            <a:ln>
              <a:noFill/>
            </a:ln>
          </c:spPr>
          <c:marker>
            <c:symbol val="square"/>
            <c:size val="5"/>
            <c:spPr>
              <a:solidFill>
                <a:schemeClr val="accent1"/>
              </a:solidFill>
            </c:spPr>
          </c:marker>
          <c:xVal>
            <c:numRef>
              <c:f>U_PILE!$E$46:$E$104</c:f>
              <c:numCache>
                <c:formatCode>0.00</c:formatCode>
                <c:ptCount val="59"/>
                <c:pt idx="0">
                  <c:v>13.77688567058482</c:v>
                </c:pt>
                <c:pt idx="1">
                  <c:v>5.5107542682339288</c:v>
                </c:pt>
                <c:pt idx="2">
                  <c:v>30.176094352892601</c:v>
                </c:pt>
                <c:pt idx="3">
                  <c:v>28.243157656400729</c:v>
                </c:pt>
                <c:pt idx="5">
                  <c:v>11.93996758117351</c:v>
                </c:pt>
                <c:pt idx="6">
                  <c:v>4.7759870324694056</c:v>
                </c:pt>
                <c:pt idx="7">
                  <c:v>26.152615105840258</c:v>
                </c:pt>
                <c:pt idx="8">
                  <c:v>24.477403302213968</c:v>
                </c:pt>
                <c:pt idx="10">
                  <c:v>64.9914376926329</c:v>
                </c:pt>
                <c:pt idx="11">
                  <c:v>42.42005427428002</c:v>
                </c:pt>
                <c:pt idx="12">
                  <c:v>64.9914376926329</c:v>
                </c:pt>
                <c:pt idx="13">
                  <c:v>42.42005427428002</c:v>
                </c:pt>
                <c:pt idx="15">
                  <c:v>124.30528899040191</c:v>
                </c:pt>
                <c:pt idx="16">
                  <c:v>121.06500089685652</c:v>
                </c:pt>
                <c:pt idx="17">
                  <c:v>124.30528899040191</c:v>
                </c:pt>
                <c:pt idx="18">
                  <c:v>121.06500089685652</c:v>
                </c:pt>
                <c:pt idx="20">
                  <c:v>124.02240570710883</c:v>
                </c:pt>
                <c:pt idx="21">
                  <c:v>124.91236824453485</c:v>
                </c:pt>
                <c:pt idx="22">
                  <c:v>124.02240570710883</c:v>
                </c:pt>
                <c:pt idx="23">
                  <c:v>124.91236824453485</c:v>
                </c:pt>
                <c:pt idx="25">
                  <c:v>123.98972654802672</c:v>
                </c:pt>
                <c:pt idx="26">
                  <c:v>124.55137934545488</c:v>
                </c:pt>
                <c:pt idx="27">
                  <c:v>123.98972654802672</c:v>
                </c:pt>
                <c:pt idx="28">
                  <c:v>124.55137934545488</c:v>
                </c:pt>
                <c:pt idx="30">
                  <c:v>20.302110287604837</c:v>
                </c:pt>
                <c:pt idx="31">
                  <c:v>10.017890143064157</c:v>
                </c:pt>
                <c:pt idx="32">
                  <c:v>41.018532891692232</c:v>
                </c:pt>
                <c:pt idx="33">
                  <c:v>38.571151848340953</c:v>
                </c:pt>
                <c:pt idx="35">
                  <c:v>17.995955241457274</c:v>
                </c:pt>
                <c:pt idx="36">
                  <c:v>9.1267167581477295</c:v>
                </c:pt>
                <c:pt idx="37">
                  <c:v>35.92516690488474</c:v>
                </c:pt>
                <c:pt idx="38">
                  <c:v>33.80572603847925</c:v>
                </c:pt>
                <c:pt idx="40">
                  <c:v>122.48490845378666</c:v>
                </c:pt>
                <c:pt idx="41">
                  <c:v>92.717781140380353</c:v>
                </c:pt>
                <c:pt idx="42">
                  <c:v>122.48490845378666</c:v>
                </c:pt>
                <c:pt idx="43">
                  <c:v>92.717781140380353</c:v>
                </c:pt>
                <c:pt idx="45">
                  <c:v>218.23555484273933</c:v>
                </c:pt>
                <c:pt idx="46">
                  <c:v>213.84618763244313</c:v>
                </c:pt>
                <c:pt idx="47">
                  <c:v>218.23555484273933</c:v>
                </c:pt>
                <c:pt idx="48">
                  <c:v>213.84618763244313</c:v>
                </c:pt>
                <c:pt idx="50">
                  <c:v>217.2255622868872</c:v>
                </c:pt>
                <c:pt idx="51">
                  <c:v>218.50565330598246</c:v>
                </c:pt>
                <c:pt idx="52">
                  <c:v>217.2255622868872</c:v>
                </c:pt>
                <c:pt idx="53">
                  <c:v>218.50565330598246</c:v>
                </c:pt>
                <c:pt idx="55">
                  <c:v>217.18282288669064</c:v>
                </c:pt>
                <c:pt idx="56">
                  <c:v>218.04763283398006</c:v>
                </c:pt>
                <c:pt idx="57">
                  <c:v>217.18282288669064</c:v>
                </c:pt>
                <c:pt idx="58">
                  <c:v>218.04763283398006</c:v>
                </c:pt>
              </c:numCache>
            </c:numRef>
          </c:xVal>
          <c:yVal>
            <c:numRef>
              <c:f>U_PILE!$B$46:$B$104</c:f>
              <c:numCache>
                <c:formatCode>0.00</c:formatCode>
                <c:ptCount val="59"/>
                <c:pt idx="0">
                  <c:v>195.69884293538564</c:v>
                </c:pt>
                <c:pt idx="1">
                  <c:v>232.16708450945976</c:v>
                </c:pt>
                <c:pt idx="2">
                  <c:v>300.34479262552583</c:v>
                </c:pt>
                <c:pt idx="3">
                  <c:v>302.8568882773169</c:v>
                </c:pt>
                <c:pt idx="5">
                  <c:v>143.29581755158881</c:v>
                </c:pt>
                <c:pt idx="6">
                  <c:v>170.34153355158881</c:v>
                </c:pt>
                <c:pt idx="7">
                  <c:v>229.42888058551276</c:v>
                </c:pt>
                <c:pt idx="8">
                  <c:v>231.60603015039831</c:v>
                </c:pt>
                <c:pt idx="10">
                  <c:v>257.17338905386379</c:v>
                </c:pt>
                <c:pt idx="11">
                  <c:v>233.00781812605325</c:v>
                </c:pt>
                <c:pt idx="12">
                  <c:v>261.51470991704883</c:v>
                </c:pt>
                <c:pt idx="13">
                  <c:v>237.3491389892383</c:v>
                </c:pt>
                <c:pt idx="15">
                  <c:v>386.5855575230359</c:v>
                </c:pt>
                <c:pt idx="16">
                  <c:v>369.83466990854021</c:v>
                </c:pt>
                <c:pt idx="17">
                  <c:v>398.74759474940601</c:v>
                </c:pt>
                <c:pt idx="18">
                  <c:v>381.99670713491031</c:v>
                </c:pt>
                <c:pt idx="20">
                  <c:v>391.57424836490799</c:v>
                </c:pt>
                <c:pt idx="21">
                  <c:v>378.45899016416229</c:v>
                </c:pt>
                <c:pt idx="22">
                  <c:v>404.1706437186333</c:v>
                </c:pt>
                <c:pt idx="23">
                  <c:v>391.05538551788749</c:v>
                </c:pt>
                <c:pt idx="25">
                  <c:v>392.10525241589369</c:v>
                </c:pt>
                <c:pt idx="26">
                  <c:v>378.66757699767294</c:v>
                </c:pt>
                <c:pt idx="27">
                  <c:v>404.77001499039233</c:v>
                </c:pt>
                <c:pt idx="28">
                  <c:v>391.33233957217169</c:v>
                </c:pt>
                <c:pt idx="30">
                  <c:v>184.13019023804932</c:v>
                </c:pt>
                <c:pt idx="31">
                  <c:v>222.35835773804931</c:v>
                </c:pt>
                <c:pt idx="32">
                  <c:v>289.79582120498969</c:v>
                </c:pt>
                <c:pt idx="33">
                  <c:v>292.30791685678071</c:v>
                </c:pt>
                <c:pt idx="35">
                  <c:v>135.62436733445301</c:v>
                </c:pt>
                <c:pt idx="36">
                  <c:v>162.67008333445298</c:v>
                </c:pt>
                <c:pt idx="37">
                  <c:v>221.01718571925119</c:v>
                </c:pt>
                <c:pt idx="38">
                  <c:v>223.1943352841368</c:v>
                </c:pt>
                <c:pt idx="40">
                  <c:v>268.01308569357661</c:v>
                </c:pt>
                <c:pt idx="41">
                  <c:v>243.645694885859</c:v>
                </c:pt>
                <c:pt idx="42">
                  <c:v>273.97169305676169</c:v>
                </c:pt>
                <c:pt idx="43">
                  <c:v>249.60430224904411</c:v>
                </c:pt>
                <c:pt idx="45">
                  <c:v>393.28430632803787</c:v>
                </c:pt>
                <c:pt idx="46">
                  <c:v>375.21800970192032</c:v>
                </c:pt>
                <c:pt idx="47">
                  <c:v>408.68091655440804</c:v>
                </c:pt>
                <c:pt idx="48">
                  <c:v>390.61461992829044</c:v>
                </c:pt>
                <c:pt idx="50">
                  <c:v>397.59987916990997</c:v>
                </c:pt>
                <c:pt idx="51">
                  <c:v>383.1692119575423</c:v>
                </c:pt>
                <c:pt idx="52">
                  <c:v>413.43084752363529</c:v>
                </c:pt>
                <c:pt idx="53">
                  <c:v>399.00018031126763</c:v>
                </c:pt>
                <c:pt idx="55">
                  <c:v>398.13088322089573</c:v>
                </c:pt>
                <c:pt idx="56">
                  <c:v>383.37779879105312</c:v>
                </c:pt>
                <c:pt idx="57">
                  <c:v>414.03021879539438</c:v>
                </c:pt>
                <c:pt idx="58">
                  <c:v>399.27713436555177</c:v>
                </c:pt>
              </c:numCache>
            </c:numRef>
          </c:yVal>
          <c:smooth val="1"/>
          <c:extLst xmlns:c16r2="http://schemas.microsoft.com/office/drawing/2015/06/chart">
            <c:ext xmlns:c16="http://schemas.microsoft.com/office/drawing/2014/chart" uri="{C3380CC4-5D6E-409C-BE32-E72D297353CC}">
              <c16:uniqueId val="{00000002-F9E2-474E-ABD6-BC964DEAE560}"/>
            </c:ext>
          </c:extLst>
        </c:ser>
        <c:axId val="70654976"/>
        <c:axId val="70662016"/>
      </c:scatterChart>
      <c:valAx>
        <c:axId val="70654976"/>
        <c:scaling>
          <c:orientation val="minMax"/>
          <c:min val="0"/>
        </c:scaling>
        <c:axPos val="b"/>
        <c:majorGridlines>
          <c:spPr>
            <a:ln>
              <a:prstDash val="dash"/>
            </a:ln>
          </c:spPr>
        </c:majorGridlines>
        <c:title>
          <c:tx>
            <c:rich>
              <a:bodyPr/>
              <a:lstStyle/>
              <a:p>
                <a:pPr>
                  <a:defRPr/>
                </a:pPr>
                <a:r>
                  <a:rPr lang="en-IN">
                    <a:latin typeface="Garamond" pitchFamily="18" charset="0"/>
                  </a:rPr>
                  <a:t>Mu (Tm)</a:t>
                </a:r>
              </a:p>
            </c:rich>
          </c:tx>
        </c:title>
        <c:numFmt formatCode="General" sourceLinked="0"/>
        <c:tickLblPos val="nextTo"/>
        <c:txPr>
          <a:bodyPr/>
          <a:lstStyle/>
          <a:p>
            <a:pPr>
              <a:defRPr sz="800"/>
            </a:pPr>
            <a:endParaRPr lang="en-US"/>
          </a:p>
        </c:txPr>
        <c:crossAx val="70662016"/>
        <c:crosses val="autoZero"/>
        <c:crossBetween val="midCat"/>
      </c:valAx>
      <c:valAx>
        <c:axId val="70662016"/>
        <c:scaling>
          <c:orientation val="minMax"/>
        </c:scaling>
        <c:axPos val="l"/>
        <c:majorGridlines>
          <c:spPr>
            <a:ln>
              <a:prstDash val="dash"/>
            </a:ln>
          </c:spPr>
        </c:majorGridlines>
        <c:title>
          <c:tx>
            <c:rich>
              <a:bodyPr rot="-5400000" vert="horz"/>
              <a:lstStyle/>
              <a:p>
                <a:pPr>
                  <a:defRPr sz="1000"/>
                </a:pPr>
                <a:r>
                  <a:rPr lang="en-IN" sz="1000">
                    <a:latin typeface="Garamond" pitchFamily="18" charset="0"/>
                  </a:rPr>
                  <a:t>Pu ( T )</a:t>
                </a:r>
              </a:p>
            </c:rich>
          </c:tx>
          <c:layout>
            <c:manualLayout>
              <c:xMode val="edge"/>
              <c:yMode val="edge"/>
              <c:x val="8.1702576652095231E-3"/>
              <c:y val="0.30276864998174458"/>
            </c:manualLayout>
          </c:layout>
        </c:title>
        <c:numFmt formatCode="General" sourceLinked="0"/>
        <c:tickLblPos val="nextTo"/>
        <c:txPr>
          <a:bodyPr/>
          <a:lstStyle/>
          <a:p>
            <a:pPr>
              <a:defRPr sz="800" i="0"/>
            </a:pPr>
            <a:endParaRPr lang="en-US"/>
          </a:p>
        </c:txPr>
        <c:crossAx val="70654976"/>
        <c:crosses val="autoZero"/>
        <c:crossBetween val="midCat"/>
      </c:valAx>
      <c:spPr>
        <a:solidFill>
          <a:schemeClr val="bg2">
            <a:lumMod val="90000"/>
          </a:schemeClr>
        </a:solidFill>
      </c:spPr>
    </c:plotArea>
    <c:legend>
      <c:legendPos val="r"/>
      <c:layout>
        <c:manualLayout>
          <c:xMode val="edge"/>
          <c:yMode val="edge"/>
          <c:x val="0.63067905511811106"/>
          <c:y val="8.5984007243849761E-2"/>
          <c:w val="0.35885182534001447"/>
          <c:h val="0.30781455889442416"/>
        </c:manualLayout>
      </c:layout>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u="sng"/>
            </a:pPr>
            <a:r>
              <a:rPr lang="en-IN" sz="1050" b="0" i="1" u="sng">
                <a:latin typeface="Garamond" pitchFamily="18" charset="0"/>
              </a:rPr>
              <a:t>INTERACTION DIAGRAM </a:t>
            </a:r>
            <a:r>
              <a:rPr lang="en-IN" sz="1050" b="0" i="1" u="none">
                <a:latin typeface="Garamond" pitchFamily="18" charset="0"/>
              </a:rPr>
              <a:t> </a:t>
            </a:r>
            <a:r>
              <a:rPr lang="en-IN" sz="1050" b="0" i="0" u="none">
                <a:latin typeface="Garamond" pitchFamily="18" charset="0"/>
              </a:rPr>
              <a:t>(Pu : Mu</a:t>
            </a:r>
            <a:r>
              <a:rPr lang="en-IN" sz="1050" b="0" i="0" u="none" cap="small" normalizeH="0" baseline="-25000">
                <a:latin typeface="Garamond" pitchFamily="18" charset="0"/>
              </a:rPr>
              <a:t>LL</a:t>
            </a:r>
            <a:r>
              <a:rPr lang="en-IN" sz="1050" b="0" i="0" u="none" cap="small" normalizeH="0" baseline="0">
                <a:latin typeface="Garamond" pitchFamily="18" charset="0"/>
              </a:rPr>
              <a:t>)</a:t>
            </a:r>
          </a:p>
        </c:rich>
      </c:tx>
      <c:layout>
        <c:manualLayout>
          <c:xMode val="edge"/>
          <c:yMode val="edge"/>
          <c:x val="0.20286008817143"/>
          <c:y val="7.1856204541596524E-2"/>
        </c:manualLayout>
      </c:layout>
    </c:title>
    <c:plotArea>
      <c:layout>
        <c:manualLayout>
          <c:layoutTarget val="inner"/>
          <c:xMode val="edge"/>
          <c:yMode val="edge"/>
          <c:x val="0.14520823451285475"/>
          <c:y val="3.2245734595145278E-2"/>
          <c:w val="0.65630520529067582"/>
          <c:h val="0.82345613545943219"/>
        </c:manualLayout>
      </c:layout>
      <c:scatterChart>
        <c:scatterStyle val="smoothMarker"/>
        <c:ser>
          <c:idx val="0"/>
          <c:order val="0"/>
          <c:marker>
            <c:symbol val="none"/>
          </c:marker>
          <c:xVal>
            <c:numRef>
              <c:f>CD!$C$36:$C$47</c:f>
              <c:numCache>
                <c:formatCode>0.0</c:formatCode>
                <c:ptCount val="12"/>
                <c:pt idx="0">
                  <c:v>3.0554318132263106E-5</c:v>
                </c:pt>
                <c:pt idx="1">
                  <c:v>6589.9000902799635</c:v>
                </c:pt>
                <c:pt idx="2">
                  <c:v>10080.310901464974</c:v>
                </c:pt>
                <c:pt idx="3">
                  <c:v>10928.278157111657</c:v>
                </c:pt>
                <c:pt idx="4">
                  <c:v>9351.0871047068322</c:v>
                </c:pt>
                <c:pt idx="5">
                  <c:v>5970.9153600433392</c:v>
                </c:pt>
                <c:pt idx="6">
                  <c:v>3460.5269617688364</c:v>
                </c:pt>
                <c:pt idx="7">
                  <c:v>2305.2445844016488</c:v>
                </c:pt>
                <c:pt idx="8">
                  <c:v>1674.3243368197598</c:v>
                </c:pt>
                <c:pt idx="9">
                  <c:v>1289.7041628042421</c:v>
                </c:pt>
                <c:pt idx="10">
                  <c:v>1036.486815789503</c:v>
                </c:pt>
              </c:numCache>
            </c:numRef>
          </c:xVal>
          <c:yVal>
            <c:numRef>
              <c:f>CD!$B$36:$B$47</c:f>
              <c:numCache>
                <c:formatCode>General</c:formatCode>
                <c:ptCount val="12"/>
                <c:pt idx="0">
                  <c:v>-1224.4671430375197</c:v>
                </c:pt>
                <c:pt idx="1">
                  <c:v>1271.5490297238268</c:v>
                </c:pt>
                <c:pt idx="2">
                  <c:v>3620.0871938210034</c:v>
                </c:pt>
                <c:pt idx="3">
                  <c:v>5968.7954519813229</c:v>
                </c:pt>
                <c:pt idx="4">
                  <c:v>8268.8429176282043</c:v>
                </c:pt>
                <c:pt idx="5">
                  <c:v>10431.577668247806</c:v>
                </c:pt>
                <c:pt idx="6">
                  <c:v>11541.587633208224</c:v>
                </c:pt>
                <c:pt idx="7">
                  <c:v>12052.285172109769</c:v>
                </c:pt>
                <c:pt idx="8">
                  <c:v>12330.923588284852</c:v>
                </c:pt>
                <c:pt idx="9">
                  <c:v>12500.485557773867</c:v>
                </c:pt>
                <c:pt idx="10">
                  <c:v>12611.811186864941</c:v>
                </c:pt>
              </c:numCache>
            </c:numRef>
          </c:yVal>
          <c:smooth val="1"/>
          <c:extLst xmlns:c16r2="http://schemas.microsoft.com/office/drawing/2015/06/chart">
            <c:ext xmlns:c16="http://schemas.microsoft.com/office/drawing/2014/chart" uri="{C3380CC4-5D6E-409C-BE32-E72D297353CC}">
              <c16:uniqueId val="{00000000-61EB-4F98-9763-A101233598E1}"/>
            </c:ext>
          </c:extLst>
        </c:ser>
        <c:ser>
          <c:idx val="1"/>
          <c:order val="1"/>
          <c:spPr>
            <a:ln>
              <a:noFill/>
            </a:ln>
          </c:spPr>
          <c:marker>
            <c:symbol val="x"/>
            <c:size val="3"/>
          </c:marker>
          <c:xVal>
            <c:numRef>
              <c:f>CD!$J$115:$J$164</c:f>
              <c:numCache>
                <c:formatCode>0.0</c:formatCode>
                <c:ptCount val="50"/>
                <c:pt idx="0">
                  <c:v>0</c:v>
                </c:pt>
                <c:pt idx="1">
                  <c:v>0</c:v>
                </c:pt>
                <c:pt idx="2">
                  <c:v>-32.649344208494199</c:v>
                </c:pt>
                <c:pt idx="3">
                  <c:v>-29.753914142857134</c:v>
                </c:pt>
                <c:pt idx="5">
                  <c:v>74.467904735437429</c:v>
                </c:pt>
                <c:pt idx="6">
                  <c:v>248.2263491181248</c:v>
                </c:pt>
                <c:pt idx="7">
                  <c:v>74.467904735437429</c:v>
                </c:pt>
                <c:pt idx="8">
                  <c:v>248.2263491181248</c:v>
                </c:pt>
                <c:pt idx="10">
                  <c:v>264.85613400173355</c:v>
                </c:pt>
                <c:pt idx="11">
                  <c:v>882.85378000577862</c:v>
                </c:pt>
                <c:pt idx="12">
                  <c:v>264.85613400173355</c:v>
                </c:pt>
                <c:pt idx="13">
                  <c:v>882.85378000577862</c:v>
                </c:pt>
                <c:pt idx="15">
                  <c:v>274.55130445089702</c:v>
                </c:pt>
                <c:pt idx="16">
                  <c:v>924.96291593494198</c:v>
                </c:pt>
                <c:pt idx="17">
                  <c:v>274.2378707464955</c:v>
                </c:pt>
                <c:pt idx="18">
                  <c:v>924.64948223054057</c:v>
                </c:pt>
                <c:pt idx="20">
                  <c:v>273.69151113220971</c:v>
                </c:pt>
                <c:pt idx="21">
                  <c:v>921.22856655785495</c:v>
                </c:pt>
                <c:pt idx="22">
                  <c:v>273.40587355643834</c:v>
                </c:pt>
                <c:pt idx="23">
                  <c:v>920.94292898208346</c:v>
                </c:pt>
                <c:pt idx="25">
                  <c:v>1.2722721422765415</c:v>
                </c:pt>
                <c:pt idx="26">
                  <c:v>1.2722721422765415</c:v>
                </c:pt>
                <c:pt idx="27">
                  <c:v>-31.377072066217657</c:v>
                </c:pt>
                <c:pt idx="28">
                  <c:v>-28.481642000580592</c:v>
                </c:pt>
                <c:pt idx="30">
                  <c:v>77.640441467844028</c:v>
                </c:pt>
                <c:pt idx="31">
                  <c:v>255.83283656083486</c:v>
                </c:pt>
                <c:pt idx="32">
                  <c:v>77.640441467844028</c:v>
                </c:pt>
                <c:pt idx="33">
                  <c:v>255.83283656083486</c:v>
                </c:pt>
                <c:pt idx="35">
                  <c:v>268.66209226418351</c:v>
                </c:pt>
                <c:pt idx="36">
                  <c:v>892.57167254863327</c:v>
                </c:pt>
                <c:pt idx="37">
                  <c:v>268.66209226418351</c:v>
                </c:pt>
                <c:pt idx="38">
                  <c:v>892.57167254863327</c:v>
                </c:pt>
                <c:pt idx="40">
                  <c:v>278.35726271334698</c:v>
                </c:pt>
                <c:pt idx="41">
                  <c:v>934.68080847779652</c:v>
                </c:pt>
                <c:pt idx="42">
                  <c:v>278.04382900894547</c:v>
                </c:pt>
                <c:pt idx="43">
                  <c:v>934.36737477339511</c:v>
                </c:pt>
                <c:pt idx="45">
                  <c:v>277.49746939465967</c:v>
                </c:pt>
                <c:pt idx="46">
                  <c:v>930.94645910070949</c:v>
                </c:pt>
                <c:pt idx="47">
                  <c:v>277.2118318188883</c:v>
                </c:pt>
                <c:pt idx="48">
                  <c:v>930.660821524938</c:v>
                </c:pt>
              </c:numCache>
            </c:numRef>
          </c:xVal>
          <c:yVal>
            <c:numRef>
              <c:f>CD!$F$115:$F$164</c:f>
              <c:numCache>
                <c:formatCode>0.0</c:formatCode>
                <c:ptCount val="50"/>
                <c:pt idx="0">
                  <c:v>635.21210219751424</c:v>
                </c:pt>
                <c:pt idx="1">
                  <c:v>1030.3031021975144</c:v>
                </c:pt>
                <c:pt idx="2">
                  <c:v>1240.8216736260858</c:v>
                </c:pt>
                <c:pt idx="3">
                  <c:v>1222.1523307689431</c:v>
                </c:pt>
                <c:pt idx="5">
                  <c:v>626.9666075015474</c:v>
                </c:pt>
                <c:pt idx="6">
                  <c:v>626.9666075015474</c:v>
                </c:pt>
                <c:pt idx="7">
                  <c:v>643.45759689348108</c:v>
                </c:pt>
                <c:pt idx="8">
                  <c:v>643.45759689348108</c:v>
                </c:pt>
                <c:pt idx="10">
                  <c:v>1003.2763528055807</c:v>
                </c:pt>
                <c:pt idx="11">
                  <c:v>1003.2763528055807</c:v>
                </c:pt>
                <c:pt idx="12">
                  <c:v>1057.329851589448</c:v>
                </c:pt>
                <c:pt idx="13">
                  <c:v>1057.329851589448</c:v>
                </c:pt>
                <c:pt idx="15">
                  <c:v>1030.3350065198665</c:v>
                </c:pt>
                <c:pt idx="16">
                  <c:v>1030.3350065198665</c:v>
                </c:pt>
                <c:pt idx="17">
                  <c:v>1086.409483589448</c:v>
                </c:pt>
                <c:pt idx="18">
                  <c:v>1086.409483589448</c:v>
                </c:pt>
                <c:pt idx="20">
                  <c:v>1027.9353736512949</c:v>
                </c:pt>
                <c:pt idx="21">
                  <c:v>1027.9353736512949</c:v>
                </c:pt>
                <c:pt idx="22">
                  <c:v>1083.8306250294481</c:v>
                </c:pt>
                <c:pt idx="23">
                  <c:v>1083.8306250294481</c:v>
                </c:pt>
                <c:pt idx="25">
                  <c:v>631.65778719741854</c:v>
                </c:pt>
                <c:pt idx="26">
                  <c:v>1026.7487871974188</c:v>
                </c:pt>
                <c:pt idx="27">
                  <c:v>1237.2673586259903</c:v>
                </c:pt>
                <c:pt idx="28">
                  <c:v>1218.5980157688475</c:v>
                </c:pt>
                <c:pt idx="30">
                  <c:v>623.4122925014517</c:v>
                </c:pt>
                <c:pt idx="31">
                  <c:v>623.4122925014517</c:v>
                </c:pt>
                <c:pt idx="32">
                  <c:v>639.90328189338538</c:v>
                </c:pt>
                <c:pt idx="33">
                  <c:v>639.90328189338538</c:v>
                </c:pt>
                <c:pt idx="35">
                  <c:v>999.72203780548512</c:v>
                </c:pt>
                <c:pt idx="36">
                  <c:v>999.72203780548512</c:v>
                </c:pt>
                <c:pt idx="37">
                  <c:v>1053.7755365893524</c:v>
                </c:pt>
                <c:pt idx="38">
                  <c:v>1053.7755365893524</c:v>
                </c:pt>
                <c:pt idx="40">
                  <c:v>1026.7806915197709</c:v>
                </c:pt>
                <c:pt idx="41">
                  <c:v>1026.7806915197709</c:v>
                </c:pt>
                <c:pt idx="42">
                  <c:v>1082.8551685893524</c:v>
                </c:pt>
                <c:pt idx="43">
                  <c:v>1082.8551685893524</c:v>
                </c:pt>
                <c:pt idx="45">
                  <c:v>1024.3810586511993</c:v>
                </c:pt>
                <c:pt idx="46">
                  <c:v>1024.3810586511993</c:v>
                </c:pt>
                <c:pt idx="47">
                  <c:v>1080.2763100293525</c:v>
                </c:pt>
                <c:pt idx="48">
                  <c:v>1080.2763100293525</c:v>
                </c:pt>
              </c:numCache>
            </c:numRef>
          </c:yVal>
          <c:smooth val="1"/>
          <c:extLst xmlns:c16r2="http://schemas.microsoft.com/office/drawing/2015/06/chart">
            <c:ext xmlns:c16="http://schemas.microsoft.com/office/drawing/2014/chart" uri="{C3380CC4-5D6E-409C-BE32-E72D297353CC}">
              <c16:uniqueId val="{00000001-61EB-4F98-9763-A101233598E1}"/>
            </c:ext>
          </c:extLst>
        </c:ser>
        <c:axId val="112730496"/>
        <c:axId val="112732416"/>
      </c:scatterChart>
      <c:valAx>
        <c:axId val="112730496"/>
        <c:scaling>
          <c:orientation val="minMax"/>
          <c:min val="0"/>
        </c:scaling>
        <c:axPos val="b"/>
        <c:majorGridlines>
          <c:spPr>
            <a:ln>
              <a:prstDash val="dash"/>
            </a:ln>
          </c:spPr>
        </c:majorGridlines>
        <c:title>
          <c:tx>
            <c:rich>
              <a:bodyPr/>
              <a:lstStyle/>
              <a:p>
                <a:pPr>
                  <a:defRPr/>
                </a:pPr>
                <a:r>
                  <a:rPr lang="en-IN">
                    <a:latin typeface="Garamond" pitchFamily="18" charset="0"/>
                  </a:rPr>
                  <a:t>Mu</a:t>
                </a:r>
                <a:r>
                  <a:rPr lang="en-IN" baseline="-25000">
                    <a:latin typeface="Garamond" pitchFamily="18" charset="0"/>
                  </a:rPr>
                  <a:t>TT</a:t>
                </a:r>
                <a:r>
                  <a:rPr lang="en-IN">
                    <a:latin typeface="Garamond" pitchFamily="18" charset="0"/>
                  </a:rPr>
                  <a:t> (Tm)</a:t>
                </a:r>
              </a:p>
            </c:rich>
          </c:tx>
        </c:title>
        <c:numFmt formatCode="General" sourceLinked="0"/>
        <c:tickLblPos val="nextTo"/>
        <c:txPr>
          <a:bodyPr rot="0" vert="horz"/>
          <a:lstStyle/>
          <a:p>
            <a:pPr>
              <a:defRPr sz="800" b="0" i="0" u="none" strike="noStrike" baseline="0">
                <a:solidFill>
                  <a:srgbClr val="000000"/>
                </a:solidFill>
                <a:latin typeface="Calibri"/>
                <a:ea typeface="Calibri"/>
                <a:cs typeface="Calibri"/>
              </a:defRPr>
            </a:pPr>
            <a:endParaRPr lang="en-US"/>
          </a:p>
        </c:txPr>
        <c:crossAx val="112732416"/>
        <c:crosses val="autoZero"/>
        <c:crossBetween val="midCat"/>
      </c:valAx>
      <c:valAx>
        <c:axId val="112732416"/>
        <c:scaling>
          <c:orientation val="minMax"/>
          <c:min val="0"/>
        </c:scaling>
        <c:axPos val="l"/>
        <c:majorGridlines>
          <c:spPr>
            <a:ln>
              <a:prstDash val="dash"/>
            </a:ln>
          </c:spPr>
        </c:majorGridlines>
        <c:title>
          <c:tx>
            <c:rich>
              <a:bodyPr rot="-5400000" vert="horz"/>
              <a:lstStyle/>
              <a:p>
                <a:pPr>
                  <a:defRPr sz="1000"/>
                </a:pPr>
                <a:r>
                  <a:rPr lang="en-IN" sz="1000">
                    <a:latin typeface="Garamond" pitchFamily="18" charset="0"/>
                  </a:rPr>
                  <a:t>Pu ( T )</a:t>
                </a:r>
              </a:p>
            </c:rich>
          </c:tx>
          <c:layout>
            <c:manualLayout>
              <c:xMode val="edge"/>
              <c:yMode val="edge"/>
              <c:x val="7.4221920031583859E-4"/>
              <c:y val="0.37275982293258131"/>
            </c:manualLayout>
          </c:layout>
        </c:title>
        <c:numFmt formatCode="General" sourceLinked="0"/>
        <c:tickLblPos val="nextTo"/>
        <c:txPr>
          <a:bodyPr/>
          <a:lstStyle/>
          <a:p>
            <a:pPr>
              <a:defRPr sz="800" i="0"/>
            </a:pPr>
            <a:endParaRPr lang="en-US"/>
          </a:p>
        </c:txPr>
        <c:crossAx val="112730496"/>
        <c:crosses val="autoZero"/>
        <c:crossBetween val="midCat"/>
      </c:valAx>
      <c:spPr>
        <a:solidFill>
          <a:schemeClr val="bg2">
            <a:lumMod val="90000"/>
          </a:schemeClr>
        </a:solidFill>
      </c:spPr>
    </c:plotArea>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u="sng"/>
            </a:pPr>
            <a:r>
              <a:rPr lang="en-IN" sz="1050" b="0" i="1" u="sng">
                <a:latin typeface="Garamond" pitchFamily="18" charset="0"/>
              </a:rPr>
              <a:t>INTERACTION DIAGRAM </a:t>
            </a:r>
            <a:r>
              <a:rPr lang="en-IN" sz="1050" b="0" i="1" u="none">
                <a:latin typeface="Garamond" pitchFamily="18" charset="0"/>
              </a:rPr>
              <a:t> </a:t>
            </a:r>
            <a:r>
              <a:rPr lang="en-IN" sz="1050" b="0" i="0" u="none">
                <a:latin typeface="Garamond" pitchFamily="18" charset="0"/>
              </a:rPr>
              <a:t>(Pu : Mu</a:t>
            </a:r>
            <a:r>
              <a:rPr lang="en-IN" sz="1050" b="0" i="0" u="none" cap="small" normalizeH="0" baseline="-25000">
                <a:latin typeface="Garamond" pitchFamily="18" charset="0"/>
              </a:rPr>
              <a:t>TT</a:t>
            </a:r>
            <a:r>
              <a:rPr lang="en-IN" sz="1050" b="0" i="0" u="none" cap="small" normalizeH="0" baseline="0">
                <a:latin typeface="Garamond" pitchFamily="18" charset="0"/>
              </a:rPr>
              <a:t>)</a:t>
            </a:r>
          </a:p>
        </c:rich>
      </c:tx>
      <c:layout>
        <c:manualLayout>
          <c:xMode val="edge"/>
          <c:yMode val="edge"/>
          <c:x val="0.20286008817143"/>
          <c:y val="7.1856204541596524E-2"/>
        </c:manualLayout>
      </c:layout>
    </c:title>
    <c:plotArea>
      <c:layout>
        <c:manualLayout>
          <c:layoutTarget val="inner"/>
          <c:xMode val="edge"/>
          <c:yMode val="edge"/>
          <c:x val="0.14520823451285475"/>
          <c:y val="3.2245734595145278E-2"/>
          <c:w val="0.6364533139675258"/>
          <c:h val="0.82345613545943219"/>
        </c:manualLayout>
      </c:layout>
      <c:scatterChart>
        <c:scatterStyle val="smoothMarker"/>
        <c:ser>
          <c:idx val="0"/>
          <c:order val="0"/>
          <c:marker>
            <c:symbol val="none"/>
          </c:marker>
          <c:xVal>
            <c:numRef>
              <c:f>CD!$C$53:$C$64</c:f>
              <c:numCache>
                <c:formatCode>0.0</c:formatCode>
                <c:ptCount val="12"/>
                <c:pt idx="0">
                  <c:v>5.775383012372113E-6</c:v>
                </c:pt>
                <c:pt idx="1">
                  <c:v>1528.7408056601867</c:v>
                </c:pt>
                <c:pt idx="2">
                  <c:v>2122.4442769777602</c:v>
                </c:pt>
                <c:pt idx="3">
                  <c:v>2284.9113776626268</c:v>
                </c:pt>
                <c:pt idx="4">
                  <c:v>1909.9600409891586</c:v>
                </c:pt>
                <c:pt idx="5">
                  <c:v>1228.9998977087919</c:v>
                </c:pt>
                <c:pt idx="6">
                  <c:v>731.31047321830874</c:v>
                </c:pt>
                <c:pt idx="7">
                  <c:v>499.1312299679924</c:v>
                </c:pt>
                <c:pt idx="8">
                  <c:v>370.73828659007643</c:v>
                </c:pt>
                <c:pt idx="9">
                  <c:v>291.5326554347144</c:v>
                </c:pt>
                <c:pt idx="10">
                  <c:v>238.83288266917</c:v>
                </c:pt>
              </c:numCache>
            </c:numRef>
          </c:xVal>
          <c:yVal>
            <c:numRef>
              <c:f>CD!$B$53:$B$64</c:f>
              <c:numCache>
                <c:formatCode>General</c:formatCode>
                <c:ptCount val="12"/>
                <c:pt idx="0">
                  <c:v>-1224.4671430375195</c:v>
                </c:pt>
                <c:pt idx="1">
                  <c:v>1786.3189766744665</c:v>
                </c:pt>
                <c:pt idx="2">
                  <c:v>3790.6045835898935</c:v>
                </c:pt>
                <c:pt idx="3">
                  <c:v>5841.2923096635805</c:v>
                </c:pt>
                <c:pt idx="4">
                  <c:v>8149.5670727603556</c:v>
                </c:pt>
                <c:pt idx="5">
                  <c:v>10321.436318750988</c:v>
                </c:pt>
                <c:pt idx="6">
                  <c:v>11461.207786466141</c:v>
                </c:pt>
                <c:pt idx="7">
                  <c:v>11990.102862117192</c:v>
                </c:pt>
                <c:pt idx="8">
                  <c:v>12281.136123824397</c:v>
                </c:pt>
                <c:pt idx="9">
                  <c:v>12459.608001280894</c:v>
                </c:pt>
                <c:pt idx="10">
                  <c:v>12577.770566955716</c:v>
                </c:pt>
              </c:numCache>
            </c:numRef>
          </c:yVal>
          <c:smooth val="1"/>
          <c:extLst xmlns:c16r2="http://schemas.microsoft.com/office/drawing/2015/06/chart">
            <c:ext xmlns:c16="http://schemas.microsoft.com/office/drawing/2014/chart" uri="{C3380CC4-5D6E-409C-BE32-E72D297353CC}">
              <c16:uniqueId val="{00000000-4A3F-4CD7-839E-340EE7E1E2A1}"/>
            </c:ext>
          </c:extLst>
        </c:ser>
        <c:ser>
          <c:idx val="1"/>
          <c:order val="1"/>
          <c:spPr>
            <a:ln>
              <a:noFill/>
            </a:ln>
          </c:spPr>
          <c:marker>
            <c:symbol val="x"/>
            <c:size val="4"/>
          </c:marker>
          <c:xVal>
            <c:numRef>
              <c:f>CD!$I$115:$I$164</c:f>
              <c:numCache>
                <c:formatCode>0.0</c:formatCode>
                <c:ptCount val="50"/>
                <c:pt idx="0">
                  <c:v>337.43063500000005</c:v>
                </c:pt>
                <c:pt idx="1">
                  <c:v>62.836504000000012</c:v>
                </c:pt>
                <c:pt idx="2">
                  <c:v>325.00050509714293</c:v>
                </c:pt>
                <c:pt idx="3">
                  <c:v>393.45076822857152</c:v>
                </c:pt>
                <c:pt idx="5">
                  <c:v>660.1752942333602</c:v>
                </c:pt>
                <c:pt idx="6">
                  <c:v>382.70619167000802</c:v>
                </c:pt>
                <c:pt idx="7">
                  <c:v>665.22208023336032</c:v>
                </c:pt>
                <c:pt idx="8">
                  <c:v>387.75297767000802</c:v>
                </c:pt>
                <c:pt idx="10">
                  <c:v>849.91605806672055</c:v>
                </c:pt>
                <c:pt idx="11">
                  <c:v>294.97785294001619</c:v>
                </c:pt>
                <c:pt idx="12">
                  <c:v>849.91605806672055</c:v>
                </c:pt>
                <c:pt idx="13">
                  <c:v>294.97785294001619</c:v>
                </c:pt>
                <c:pt idx="15">
                  <c:v>843.94354620386332</c:v>
                </c:pt>
                <c:pt idx="16">
                  <c:v>289.00534107715902</c:v>
                </c:pt>
                <c:pt idx="17">
                  <c:v>844.01572558672058</c:v>
                </c:pt>
                <c:pt idx="18">
                  <c:v>289.07752046001616</c:v>
                </c:pt>
                <c:pt idx="20">
                  <c:v>855.30665488957766</c:v>
                </c:pt>
                <c:pt idx="21">
                  <c:v>300.3684497628733</c:v>
                </c:pt>
                <c:pt idx="22">
                  <c:v>856.22753118672063</c:v>
                </c:pt>
                <c:pt idx="23">
                  <c:v>301.28932606001615</c:v>
                </c:pt>
                <c:pt idx="25">
                  <c:v>340.0161046423508</c:v>
                </c:pt>
                <c:pt idx="26">
                  <c:v>65.421973642350736</c:v>
                </c:pt>
                <c:pt idx="27">
                  <c:v>327.58597473949368</c:v>
                </c:pt>
                <c:pt idx="28">
                  <c:v>396.03623787092226</c:v>
                </c:pt>
                <c:pt idx="30">
                  <c:v>738.09995407600013</c:v>
                </c:pt>
                <c:pt idx="31">
                  <c:v>457.67488437244555</c:v>
                </c:pt>
                <c:pt idx="32">
                  <c:v>743.14674007600024</c:v>
                </c:pt>
                <c:pt idx="33">
                  <c:v>462.72167037244554</c:v>
                </c:pt>
                <c:pt idx="35">
                  <c:v>866.63645850964929</c:v>
                </c:pt>
                <c:pt idx="36">
                  <c:v>305.78631910254029</c:v>
                </c:pt>
                <c:pt idx="37">
                  <c:v>866.63645850964929</c:v>
                </c:pt>
                <c:pt idx="38">
                  <c:v>305.78631910254029</c:v>
                </c:pt>
                <c:pt idx="40">
                  <c:v>854.9746362467921</c:v>
                </c:pt>
                <c:pt idx="41">
                  <c:v>294.12449683968316</c:v>
                </c:pt>
                <c:pt idx="42">
                  <c:v>855.04681562964936</c:v>
                </c:pt>
                <c:pt idx="43">
                  <c:v>294.1966762225403</c:v>
                </c:pt>
                <c:pt idx="45">
                  <c:v>866.33774493250644</c:v>
                </c:pt>
                <c:pt idx="46">
                  <c:v>305.48760552539744</c:v>
                </c:pt>
                <c:pt idx="47">
                  <c:v>867.25862122964941</c:v>
                </c:pt>
                <c:pt idx="48">
                  <c:v>306.4084818225403</c:v>
                </c:pt>
              </c:numCache>
            </c:numRef>
          </c:xVal>
          <c:yVal>
            <c:numRef>
              <c:f>CD!$F$115:$F$164</c:f>
              <c:numCache>
                <c:formatCode>0.0</c:formatCode>
                <c:ptCount val="50"/>
                <c:pt idx="0">
                  <c:v>635.21210219751424</c:v>
                </c:pt>
                <c:pt idx="1">
                  <c:v>1030.3031021975144</c:v>
                </c:pt>
                <c:pt idx="2">
                  <c:v>1240.8216736260858</c:v>
                </c:pt>
                <c:pt idx="3">
                  <c:v>1222.1523307689431</c:v>
                </c:pt>
                <c:pt idx="5">
                  <c:v>626.9666075015474</c:v>
                </c:pt>
                <c:pt idx="6">
                  <c:v>626.9666075015474</c:v>
                </c:pt>
                <c:pt idx="7">
                  <c:v>643.45759689348108</c:v>
                </c:pt>
                <c:pt idx="8">
                  <c:v>643.45759689348108</c:v>
                </c:pt>
                <c:pt idx="10">
                  <c:v>1003.2763528055807</c:v>
                </c:pt>
                <c:pt idx="11">
                  <c:v>1003.2763528055807</c:v>
                </c:pt>
                <c:pt idx="12">
                  <c:v>1057.329851589448</c:v>
                </c:pt>
                <c:pt idx="13">
                  <c:v>1057.329851589448</c:v>
                </c:pt>
                <c:pt idx="15">
                  <c:v>1030.3350065198665</c:v>
                </c:pt>
                <c:pt idx="16">
                  <c:v>1030.3350065198665</c:v>
                </c:pt>
                <c:pt idx="17">
                  <c:v>1086.409483589448</c:v>
                </c:pt>
                <c:pt idx="18">
                  <c:v>1086.409483589448</c:v>
                </c:pt>
                <c:pt idx="20">
                  <c:v>1027.9353736512949</c:v>
                </c:pt>
                <c:pt idx="21">
                  <c:v>1027.9353736512949</c:v>
                </c:pt>
                <c:pt idx="22">
                  <c:v>1083.8306250294481</c:v>
                </c:pt>
                <c:pt idx="23">
                  <c:v>1083.8306250294481</c:v>
                </c:pt>
                <c:pt idx="25">
                  <c:v>631.65778719741854</c:v>
                </c:pt>
                <c:pt idx="26">
                  <c:v>1026.7487871974188</c:v>
                </c:pt>
                <c:pt idx="27">
                  <c:v>1237.2673586259903</c:v>
                </c:pt>
                <c:pt idx="28">
                  <c:v>1218.5980157688475</c:v>
                </c:pt>
                <c:pt idx="30">
                  <c:v>623.4122925014517</c:v>
                </c:pt>
                <c:pt idx="31">
                  <c:v>623.4122925014517</c:v>
                </c:pt>
                <c:pt idx="32">
                  <c:v>639.90328189338538</c:v>
                </c:pt>
                <c:pt idx="33">
                  <c:v>639.90328189338538</c:v>
                </c:pt>
                <c:pt idx="35">
                  <c:v>999.72203780548512</c:v>
                </c:pt>
                <c:pt idx="36">
                  <c:v>999.72203780548512</c:v>
                </c:pt>
                <c:pt idx="37">
                  <c:v>1053.7755365893524</c:v>
                </c:pt>
                <c:pt idx="38">
                  <c:v>1053.7755365893524</c:v>
                </c:pt>
                <c:pt idx="40">
                  <c:v>1026.7806915197709</c:v>
                </c:pt>
                <c:pt idx="41">
                  <c:v>1026.7806915197709</c:v>
                </c:pt>
                <c:pt idx="42">
                  <c:v>1082.8551685893524</c:v>
                </c:pt>
                <c:pt idx="43">
                  <c:v>1082.8551685893524</c:v>
                </c:pt>
                <c:pt idx="45">
                  <c:v>1024.3810586511993</c:v>
                </c:pt>
                <c:pt idx="46">
                  <c:v>1024.3810586511993</c:v>
                </c:pt>
                <c:pt idx="47">
                  <c:v>1080.2763100293525</c:v>
                </c:pt>
                <c:pt idx="48">
                  <c:v>1080.2763100293525</c:v>
                </c:pt>
              </c:numCache>
            </c:numRef>
          </c:yVal>
          <c:smooth val="1"/>
          <c:extLst xmlns:c16r2="http://schemas.microsoft.com/office/drawing/2015/06/chart">
            <c:ext xmlns:c16="http://schemas.microsoft.com/office/drawing/2014/chart" uri="{C3380CC4-5D6E-409C-BE32-E72D297353CC}">
              <c16:uniqueId val="{00000001-4A3F-4CD7-839E-340EE7E1E2A1}"/>
            </c:ext>
          </c:extLst>
        </c:ser>
        <c:axId val="126083072"/>
        <c:axId val="126084992"/>
      </c:scatterChart>
      <c:valAx>
        <c:axId val="126083072"/>
        <c:scaling>
          <c:orientation val="minMax"/>
          <c:min val="0"/>
        </c:scaling>
        <c:axPos val="b"/>
        <c:majorGridlines>
          <c:spPr>
            <a:ln>
              <a:prstDash val="dash"/>
            </a:ln>
          </c:spPr>
        </c:majorGridlines>
        <c:title>
          <c:tx>
            <c:rich>
              <a:bodyPr/>
              <a:lstStyle/>
              <a:p>
                <a:pPr>
                  <a:defRPr/>
                </a:pPr>
                <a:r>
                  <a:rPr lang="en-IN">
                    <a:latin typeface="Garamond" pitchFamily="18" charset="0"/>
                  </a:rPr>
                  <a:t>Mu</a:t>
                </a:r>
                <a:r>
                  <a:rPr lang="en-IN" baseline="-25000">
                    <a:latin typeface="Garamond" pitchFamily="18" charset="0"/>
                  </a:rPr>
                  <a:t>LL</a:t>
                </a:r>
                <a:r>
                  <a:rPr lang="en-IN">
                    <a:latin typeface="Garamond" pitchFamily="18" charset="0"/>
                  </a:rPr>
                  <a:t> (Tm)</a:t>
                </a:r>
              </a:p>
            </c:rich>
          </c:tx>
        </c:title>
        <c:numFmt formatCode="General" sourceLinked="0"/>
        <c:tickLblPos val="nextTo"/>
        <c:txPr>
          <a:bodyPr rot="0" vert="horz"/>
          <a:lstStyle/>
          <a:p>
            <a:pPr>
              <a:defRPr sz="800" b="0" i="0" u="none" strike="noStrike" baseline="0">
                <a:solidFill>
                  <a:srgbClr val="000000"/>
                </a:solidFill>
                <a:latin typeface="Calibri"/>
                <a:ea typeface="Calibri"/>
                <a:cs typeface="Calibri"/>
              </a:defRPr>
            </a:pPr>
            <a:endParaRPr lang="en-US"/>
          </a:p>
        </c:txPr>
        <c:crossAx val="126084992"/>
        <c:crosses val="autoZero"/>
        <c:crossBetween val="midCat"/>
      </c:valAx>
      <c:valAx>
        <c:axId val="126084992"/>
        <c:scaling>
          <c:orientation val="minMax"/>
          <c:min val="0"/>
        </c:scaling>
        <c:axPos val="l"/>
        <c:majorGridlines>
          <c:spPr>
            <a:ln>
              <a:prstDash val="dash"/>
            </a:ln>
          </c:spPr>
        </c:majorGridlines>
        <c:title>
          <c:tx>
            <c:rich>
              <a:bodyPr rot="-5400000" vert="horz"/>
              <a:lstStyle/>
              <a:p>
                <a:pPr>
                  <a:defRPr sz="1000"/>
                </a:pPr>
                <a:r>
                  <a:rPr lang="en-IN" sz="1000">
                    <a:latin typeface="Garamond" pitchFamily="18" charset="0"/>
                  </a:rPr>
                  <a:t>Pu ( T )</a:t>
                </a:r>
              </a:p>
            </c:rich>
          </c:tx>
          <c:layout>
            <c:manualLayout>
              <c:xMode val="edge"/>
              <c:yMode val="edge"/>
              <c:x val="7.4221920031583859E-4"/>
              <c:y val="0.37275982293258131"/>
            </c:manualLayout>
          </c:layout>
        </c:title>
        <c:numFmt formatCode="General" sourceLinked="0"/>
        <c:tickLblPos val="nextTo"/>
        <c:txPr>
          <a:bodyPr/>
          <a:lstStyle/>
          <a:p>
            <a:pPr>
              <a:defRPr sz="800" i="0"/>
            </a:pPr>
            <a:endParaRPr lang="en-US"/>
          </a:p>
        </c:txPr>
        <c:crossAx val="126083072"/>
        <c:crosses val="autoZero"/>
        <c:crossBetween val="midCat"/>
      </c:valAx>
      <c:spPr>
        <a:solidFill>
          <a:schemeClr val="bg2">
            <a:lumMod val="90000"/>
          </a:schemeClr>
        </a:solidFill>
      </c:spPr>
    </c:plotArea>
    <c:plotVisOnly val="1"/>
    <c:dispBlanksAs val="gap"/>
  </c:chart>
  <c:printSettings>
    <c:headerFooter/>
    <c:pageMargins b="0.75000000000000033" l="0.70000000000000029" r="0.70000000000000029" t="0.75000000000000033" header="0.30000000000000016" footer="0.30000000000000016"/>
    <c:pageSetup/>
  </c:printSettings>
</c:chartSpace>
</file>

<file path=xl/drawings/_rels/drawing1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28.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390525</xdr:colOff>
      <xdr:row>109</xdr:row>
      <xdr:rowOff>173586</xdr:rowOff>
    </xdr:from>
    <xdr:to>
      <xdr:col>1</xdr:col>
      <xdr:colOff>223838</xdr:colOff>
      <xdr:row>110</xdr:row>
      <xdr:rowOff>0</xdr:rowOff>
    </xdr:to>
    <xdr:cxnSp macro="">
      <xdr:nvCxnSpPr>
        <xdr:cNvPr id="41" name="Straight Connector 40"/>
        <xdr:cNvCxnSpPr/>
      </xdr:nvCxnSpPr>
      <xdr:spPr>
        <a:xfrm flipH="1">
          <a:off x="390525" y="21928686"/>
          <a:ext cx="347663" cy="16914"/>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385764</xdr:colOff>
      <xdr:row>108</xdr:row>
      <xdr:rowOff>114300</xdr:rowOff>
    </xdr:from>
    <xdr:to>
      <xdr:col>6</xdr:col>
      <xdr:colOff>276225</xdr:colOff>
      <xdr:row>108</xdr:row>
      <xdr:rowOff>188368</xdr:rowOff>
    </xdr:to>
    <xdr:cxnSp macro="">
      <xdr:nvCxnSpPr>
        <xdr:cNvPr id="77" name="Straight Connector 76"/>
        <xdr:cNvCxnSpPr>
          <a:cxnSpLocks/>
        </xdr:cNvCxnSpPr>
      </xdr:nvCxnSpPr>
      <xdr:spPr>
        <a:xfrm flipH="1">
          <a:off x="385764" y="21488400"/>
          <a:ext cx="2976561" cy="74068"/>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385763</xdr:colOff>
      <xdr:row>108</xdr:row>
      <xdr:rowOff>185738</xdr:rowOff>
    </xdr:from>
    <xdr:to>
      <xdr:col>0</xdr:col>
      <xdr:colOff>385763</xdr:colOff>
      <xdr:row>109</xdr:row>
      <xdr:rowOff>123825</xdr:rowOff>
    </xdr:to>
    <xdr:cxnSp macro="">
      <xdr:nvCxnSpPr>
        <xdr:cNvPr id="79" name="Straight Connector 78"/>
        <xdr:cNvCxnSpPr/>
      </xdr:nvCxnSpPr>
      <xdr:spPr>
        <a:xfrm>
          <a:off x="385763" y="3043238"/>
          <a:ext cx="0" cy="128587"/>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247650</xdr:colOff>
      <xdr:row>109</xdr:row>
      <xdr:rowOff>142875</xdr:rowOff>
    </xdr:from>
    <xdr:to>
      <xdr:col>3</xdr:col>
      <xdr:colOff>428625</xdr:colOff>
      <xdr:row>109</xdr:row>
      <xdr:rowOff>171450</xdr:rowOff>
    </xdr:to>
    <xdr:cxnSp macro="">
      <xdr:nvCxnSpPr>
        <xdr:cNvPr id="82" name="Straight Connector 81"/>
        <xdr:cNvCxnSpPr>
          <a:stCxn id="248" idx="1"/>
          <a:endCxn id="217" idx="1"/>
        </xdr:cNvCxnSpPr>
      </xdr:nvCxnSpPr>
      <xdr:spPr>
        <a:xfrm flipH="1">
          <a:off x="1276350" y="21707475"/>
          <a:ext cx="695325" cy="28575"/>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109</xdr:row>
      <xdr:rowOff>123825</xdr:rowOff>
    </xdr:from>
    <xdr:to>
      <xdr:col>5</xdr:col>
      <xdr:colOff>504825</xdr:colOff>
      <xdr:row>109</xdr:row>
      <xdr:rowOff>142875</xdr:rowOff>
    </xdr:to>
    <xdr:cxnSp macro="">
      <xdr:nvCxnSpPr>
        <xdr:cNvPr id="84" name="Straight Connector 83"/>
        <xdr:cNvCxnSpPr>
          <a:stCxn id="187" idx="1"/>
          <a:endCxn id="250" idx="1"/>
        </xdr:cNvCxnSpPr>
      </xdr:nvCxnSpPr>
      <xdr:spPr>
        <a:xfrm flipH="1">
          <a:off x="2524125" y="21688425"/>
          <a:ext cx="552450" cy="19050"/>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485775</xdr:colOff>
      <xdr:row>109</xdr:row>
      <xdr:rowOff>133350</xdr:rowOff>
    </xdr:from>
    <xdr:to>
      <xdr:col>9</xdr:col>
      <xdr:colOff>409575</xdr:colOff>
      <xdr:row>109</xdr:row>
      <xdr:rowOff>152400</xdr:rowOff>
    </xdr:to>
    <xdr:cxnSp macro="">
      <xdr:nvCxnSpPr>
        <xdr:cNvPr id="87" name="Straight Connector 86"/>
        <xdr:cNvCxnSpPr>
          <a:stCxn id="252" idx="1"/>
          <a:endCxn id="191" idx="1"/>
        </xdr:cNvCxnSpPr>
      </xdr:nvCxnSpPr>
      <xdr:spPr>
        <a:xfrm flipH="1" flipV="1">
          <a:off x="4600575" y="21697950"/>
          <a:ext cx="438150" cy="19050"/>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447675</xdr:colOff>
      <xdr:row>109</xdr:row>
      <xdr:rowOff>152400</xdr:rowOff>
    </xdr:from>
    <xdr:to>
      <xdr:col>11</xdr:col>
      <xdr:colOff>324716</xdr:colOff>
      <xdr:row>109</xdr:row>
      <xdr:rowOff>160193</xdr:rowOff>
    </xdr:to>
    <xdr:cxnSp macro="">
      <xdr:nvCxnSpPr>
        <xdr:cNvPr id="91" name="Straight Connector 90"/>
        <xdr:cNvCxnSpPr>
          <a:endCxn id="253" idx="1"/>
        </xdr:cNvCxnSpPr>
      </xdr:nvCxnSpPr>
      <xdr:spPr>
        <a:xfrm flipH="1" flipV="1">
          <a:off x="5599834" y="21921355"/>
          <a:ext cx="392257" cy="7793"/>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276223</xdr:colOff>
      <xdr:row>108</xdr:row>
      <xdr:rowOff>114301</xdr:rowOff>
    </xdr:from>
    <xdr:to>
      <xdr:col>11</xdr:col>
      <xdr:colOff>324559</xdr:colOff>
      <xdr:row>109</xdr:row>
      <xdr:rowOff>11430</xdr:rowOff>
    </xdr:to>
    <xdr:cxnSp macro="">
      <xdr:nvCxnSpPr>
        <xdr:cNvPr id="102" name="Straight Connector 101"/>
        <xdr:cNvCxnSpPr>
          <a:cxnSpLocks/>
          <a:stCxn id="259" idx="0"/>
        </xdr:cNvCxnSpPr>
      </xdr:nvCxnSpPr>
      <xdr:spPr>
        <a:xfrm flipH="1" flipV="1">
          <a:off x="3371115" y="21687693"/>
          <a:ext cx="2627413" cy="87629"/>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324166</xdr:colOff>
      <xdr:row>109</xdr:row>
      <xdr:rowOff>9209</xdr:rowOff>
    </xdr:from>
    <xdr:to>
      <xdr:col>11</xdr:col>
      <xdr:colOff>324166</xdr:colOff>
      <xdr:row>109</xdr:row>
      <xdr:rowOff>160193</xdr:rowOff>
    </xdr:to>
    <xdr:cxnSp macro="">
      <xdr:nvCxnSpPr>
        <xdr:cNvPr id="105" name="Straight Connector 104"/>
        <xdr:cNvCxnSpPr/>
      </xdr:nvCxnSpPr>
      <xdr:spPr>
        <a:xfrm>
          <a:off x="5991541" y="21778164"/>
          <a:ext cx="0" cy="150984"/>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116</xdr:row>
      <xdr:rowOff>9525</xdr:rowOff>
    </xdr:from>
    <xdr:to>
      <xdr:col>11</xdr:col>
      <xdr:colOff>352425</xdr:colOff>
      <xdr:row>118</xdr:row>
      <xdr:rowOff>171450</xdr:rowOff>
    </xdr:to>
    <xdr:sp macro="" textlink="">
      <xdr:nvSpPr>
        <xdr:cNvPr id="110" name="Freeform 109"/>
        <xdr:cNvSpPr/>
      </xdr:nvSpPr>
      <xdr:spPr>
        <a:xfrm>
          <a:off x="142875" y="22907625"/>
          <a:ext cx="5867400" cy="542925"/>
        </a:xfrm>
        <a:custGeom>
          <a:avLst/>
          <a:gdLst>
            <a:gd name="connsiteX0" fmla="*/ 0 w 4133850"/>
            <a:gd name="connsiteY0" fmla="*/ 228600 h 276225"/>
            <a:gd name="connsiteX1" fmla="*/ 0 w 4133850"/>
            <a:gd name="connsiteY1" fmla="*/ 0 h 276225"/>
            <a:gd name="connsiteX2" fmla="*/ 4133850 w 4133850"/>
            <a:gd name="connsiteY2" fmla="*/ 0 h 276225"/>
            <a:gd name="connsiteX3" fmla="*/ 4133850 w 4133850"/>
            <a:gd name="connsiteY3" fmla="*/ 276225 h 276225"/>
          </a:gdLst>
          <a:ahLst/>
          <a:cxnLst>
            <a:cxn ang="0">
              <a:pos x="connsiteX0" y="connsiteY0"/>
            </a:cxn>
            <a:cxn ang="0">
              <a:pos x="connsiteX1" y="connsiteY1"/>
            </a:cxn>
            <a:cxn ang="0">
              <a:pos x="connsiteX2" y="connsiteY2"/>
            </a:cxn>
            <a:cxn ang="0">
              <a:pos x="connsiteX3" y="connsiteY3"/>
            </a:cxn>
          </a:cxnLst>
          <a:rect l="l" t="t" r="r" b="b"/>
          <a:pathLst>
            <a:path w="4133850" h="276225">
              <a:moveTo>
                <a:pt x="0" y="228600"/>
              </a:moveTo>
              <a:lnTo>
                <a:pt x="0" y="0"/>
              </a:lnTo>
              <a:lnTo>
                <a:pt x="4133850" y="0"/>
              </a:lnTo>
              <a:lnTo>
                <a:pt x="4133850" y="276225"/>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9</xdr:col>
      <xdr:colOff>504825</xdr:colOff>
      <xdr:row>114</xdr:row>
      <xdr:rowOff>161924</xdr:rowOff>
    </xdr:from>
    <xdr:to>
      <xdr:col>10</xdr:col>
      <xdr:colOff>352425</xdr:colOff>
      <xdr:row>115</xdr:row>
      <xdr:rowOff>190499</xdr:rowOff>
    </xdr:to>
    <xdr:grpSp>
      <xdr:nvGrpSpPr>
        <xdr:cNvPr id="113" name="Group 112"/>
        <xdr:cNvGrpSpPr/>
      </xdr:nvGrpSpPr>
      <xdr:grpSpPr>
        <a:xfrm>
          <a:off x="5133975" y="19850100"/>
          <a:ext cx="361950" cy="0"/>
          <a:chOff x="3733800" y="4305300"/>
          <a:chExt cx="361950" cy="209550"/>
        </a:xfrm>
      </xdr:grpSpPr>
      <xdr:sp macro="" textlink="">
        <xdr:nvSpPr>
          <xdr:cNvPr id="111" name="Rectangle 110"/>
          <xdr:cNvSpPr/>
        </xdr:nvSpPr>
        <xdr:spPr>
          <a:xfrm>
            <a:off x="3810000" y="4305300"/>
            <a:ext cx="209550" cy="76200"/>
          </a:xfrm>
          <a:prstGeom prst="rect">
            <a:avLst/>
          </a:pr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tx1"/>
              </a:solidFill>
              <a:latin typeface="+mn-lt"/>
              <a:ea typeface="+mn-ea"/>
              <a:cs typeface="+mn-cs"/>
            </a:endParaRPr>
          </a:p>
        </xdr:txBody>
      </xdr:sp>
      <xdr:sp macro="" textlink="">
        <xdr:nvSpPr>
          <xdr:cNvPr id="112" name="Rectangle 111"/>
          <xdr:cNvSpPr/>
        </xdr:nvSpPr>
        <xdr:spPr>
          <a:xfrm>
            <a:off x="3733800" y="4381499"/>
            <a:ext cx="361950" cy="133351"/>
          </a:xfrm>
          <a:prstGeom prst="rect">
            <a:avLst/>
          </a:pr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tx1"/>
              </a:solidFill>
              <a:latin typeface="+mn-lt"/>
              <a:ea typeface="+mn-ea"/>
              <a:cs typeface="+mn-cs"/>
            </a:endParaRPr>
          </a:p>
        </xdr:txBody>
      </xdr:sp>
    </xdr:grpSp>
    <xdr:clientData/>
  </xdr:twoCellAnchor>
  <xdr:twoCellAnchor>
    <xdr:from>
      <xdr:col>0</xdr:col>
      <xdr:colOff>390525</xdr:colOff>
      <xdr:row>102</xdr:row>
      <xdr:rowOff>85726</xdr:rowOff>
    </xdr:from>
    <xdr:to>
      <xdr:col>0</xdr:col>
      <xdr:colOff>390525</xdr:colOff>
      <xdr:row>117</xdr:row>
      <xdr:rowOff>152400</xdr:rowOff>
    </xdr:to>
    <xdr:cxnSp macro="">
      <xdr:nvCxnSpPr>
        <xdr:cNvPr id="125" name="Straight Connector 124"/>
        <xdr:cNvCxnSpPr/>
      </xdr:nvCxnSpPr>
      <xdr:spPr>
        <a:xfrm flipV="1">
          <a:off x="390525" y="4657726"/>
          <a:ext cx="0" cy="2543174"/>
        </a:xfrm>
        <a:prstGeom prst="line">
          <a:avLst/>
        </a:prstGeom>
        <a:ln w="9525" cmpd="sng">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325315</xdr:colOff>
      <xdr:row>102</xdr:row>
      <xdr:rowOff>44697</xdr:rowOff>
    </xdr:from>
    <xdr:to>
      <xdr:col>11</xdr:col>
      <xdr:colOff>325315</xdr:colOff>
      <xdr:row>106</xdr:row>
      <xdr:rowOff>169985</xdr:rowOff>
    </xdr:to>
    <xdr:cxnSp macro="">
      <xdr:nvCxnSpPr>
        <xdr:cNvPr id="129" name="Straight Connector 128"/>
        <xdr:cNvCxnSpPr/>
      </xdr:nvCxnSpPr>
      <xdr:spPr>
        <a:xfrm flipV="1">
          <a:off x="5999284" y="20475089"/>
          <a:ext cx="0" cy="887288"/>
        </a:xfrm>
        <a:prstGeom prst="line">
          <a:avLst/>
        </a:prstGeom>
        <a:ln w="9525" cmpd="sng">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395654</xdr:colOff>
      <xdr:row>103</xdr:row>
      <xdr:rowOff>0</xdr:rowOff>
    </xdr:from>
    <xdr:to>
      <xdr:col>11</xdr:col>
      <xdr:colOff>266700</xdr:colOff>
      <xdr:row>103</xdr:row>
      <xdr:rowOff>0</xdr:rowOff>
    </xdr:to>
    <xdr:cxnSp macro="">
      <xdr:nvCxnSpPr>
        <xdr:cNvPr id="3" name="Straight Connector 2"/>
        <xdr:cNvCxnSpPr/>
      </xdr:nvCxnSpPr>
      <xdr:spPr>
        <a:xfrm>
          <a:off x="395654" y="20612100"/>
          <a:ext cx="5528896"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14868</xdr:colOff>
      <xdr:row>104</xdr:row>
      <xdr:rowOff>123825</xdr:rowOff>
    </xdr:from>
    <xdr:to>
      <xdr:col>1</xdr:col>
      <xdr:colOff>14868</xdr:colOff>
      <xdr:row>106</xdr:row>
      <xdr:rowOff>172183</xdr:rowOff>
    </xdr:to>
    <xdr:cxnSp macro="">
      <xdr:nvCxnSpPr>
        <xdr:cNvPr id="51" name="Straight Connector 50"/>
        <xdr:cNvCxnSpPr/>
      </xdr:nvCxnSpPr>
      <xdr:spPr>
        <a:xfrm flipV="1">
          <a:off x="529218" y="20926425"/>
          <a:ext cx="0" cy="429358"/>
        </a:xfrm>
        <a:prstGeom prst="line">
          <a:avLst/>
        </a:prstGeom>
        <a:ln w="9525" cmpd="sng">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323850</xdr:colOff>
      <xdr:row>105</xdr:row>
      <xdr:rowOff>0</xdr:rowOff>
    </xdr:from>
    <xdr:to>
      <xdr:col>9</xdr:col>
      <xdr:colOff>314325</xdr:colOff>
      <xdr:row>105</xdr:row>
      <xdr:rowOff>0</xdr:rowOff>
    </xdr:to>
    <xdr:cxnSp macro="">
      <xdr:nvCxnSpPr>
        <xdr:cNvPr id="52" name="Straight Connector 51"/>
        <xdr:cNvCxnSpPr/>
      </xdr:nvCxnSpPr>
      <xdr:spPr>
        <a:xfrm>
          <a:off x="1352550" y="20993100"/>
          <a:ext cx="359092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109</xdr:row>
      <xdr:rowOff>0</xdr:rowOff>
    </xdr:from>
    <xdr:to>
      <xdr:col>4</xdr:col>
      <xdr:colOff>171450</xdr:colOff>
      <xdr:row>117</xdr:row>
      <xdr:rowOff>149087</xdr:rowOff>
    </xdr:to>
    <xdr:cxnSp macro="">
      <xdr:nvCxnSpPr>
        <xdr:cNvPr id="57" name="Straight Connector 56"/>
        <xdr:cNvCxnSpPr/>
      </xdr:nvCxnSpPr>
      <xdr:spPr>
        <a:xfrm>
          <a:off x="2225537" y="21733565"/>
          <a:ext cx="0" cy="1673087"/>
        </a:xfrm>
        <a:prstGeom prst="line">
          <a:avLst/>
        </a:prstGeom>
        <a:ln w="9525">
          <a:solidFill>
            <a:schemeClr val="tx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117</xdr:row>
      <xdr:rowOff>0</xdr:rowOff>
    </xdr:from>
    <xdr:to>
      <xdr:col>4</xdr:col>
      <xdr:colOff>149775</xdr:colOff>
      <xdr:row>117</xdr:row>
      <xdr:rowOff>0</xdr:rowOff>
    </xdr:to>
    <xdr:cxnSp macro="">
      <xdr:nvCxnSpPr>
        <xdr:cNvPr id="9" name="Straight Connector 8"/>
        <xdr:cNvCxnSpPr/>
      </xdr:nvCxnSpPr>
      <xdr:spPr>
        <a:xfrm>
          <a:off x="1038225" y="23279100"/>
          <a:ext cx="116895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xdr:colOff>
      <xdr:row>113</xdr:row>
      <xdr:rowOff>184813</xdr:rowOff>
    </xdr:from>
    <xdr:to>
      <xdr:col>5</xdr:col>
      <xdr:colOff>114300</xdr:colOff>
      <xdr:row>115</xdr:row>
      <xdr:rowOff>388</xdr:rowOff>
    </xdr:to>
    <xdr:cxnSp macro="">
      <xdr:nvCxnSpPr>
        <xdr:cNvPr id="18" name="Straight Connector 17"/>
        <xdr:cNvCxnSpPr/>
      </xdr:nvCxnSpPr>
      <xdr:spPr>
        <a:xfrm flipV="1">
          <a:off x="2105025" y="22701913"/>
          <a:ext cx="581025" cy="19657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485775</xdr:colOff>
      <xdr:row>108</xdr:row>
      <xdr:rowOff>3978</xdr:rowOff>
    </xdr:from>
    <xdr:to>
      <xdr:col>5</xdr:col>
      <xdr:colOff>85725</xdr:colOff>
      <xdr:row>109</xdr:row>
      <xdr:rowOff>26168</xdr:rowOff>
    </xdr:to>
    <xdr:cxnSp macro="">
      <xdr:nvCxnSpPr>
        <xdr:cNvPr id="66" name="Straight Connector 65"/>
        <xdr:cNvCxnSpPr/>
      </xdr:nvCxnSpPr>
      <xdr:spPr>
        <a:xfrm flipV="1">
          <a:off x="2028825" y="21568578"/>
          <a:ext cx="628650" cy="21269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108</xdr:row>
      <xdr:rowOff>19050</xdr:rowOff>
    </xdr:from>
    <xdr:to>
      <xdr:col>5</xdr:col>
      <xdr:colOff>0</xdr:colOff>
      <xdr:row>114</xdr:row>
      <xdr:rowOff>9525</xdr:rowOff>
    </xdr:to>
    <xdr:cxnSp macro="">
      <xdr:nvCxnSpPr>
        <xdr:cNvPr id="21" name="Straight Connector 20"/>
        <xdr:cNvCxnSpPr/>
      </xdr:nvCxnSpPr>
      <xdr:spPr>
        <a:xfrm>
          <a:off x="2571750" y="21583650"/>
          <a:ext cx="0" cy="1133475"/>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179070</xdr:colOff>
      <xdr:row>108</xdr:row>
      <xdr:rowOff>85725</xdr:rowOff>
    </xdr:from>
    <xdr:to>
      <xdr:col>6</xdr:col>
      <xdr:colOff>276226</xdr:colOff>
      <xdr:row>108</xdr:row>
      <xdr:rowOff>152400</xdr:rowOff>
    </xdr:to>
    <xdr:cxnSp macro="">
      <xdr:nvCxnSpPr>
        <xdr:cNvPr id="75" name="Straight Connector 74"/>
        <xdr:cNvCxnSpPr>
          <a:cxnSpLocks/>
        </xdr:cNvCxnSpPr>
      </xdr:nvCxnSpPr>
      <xdr:spPr>
        <a:xfrm flipH="1">
          <a:off x="693420" y="21665565"/>
          <a:ext cx="2668906" cy="66675"/>
        </a:xfrm>
        <a:prstGeom prst="line">
          <a:avLst/>
        </a:prstGeom>
        <a:ln w="9525">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272562</xdr:colOff>
      <xdr:row>108</xdr:row>
      <xdr:rowOff>85727</xdr:rowOff>
    </xdr:from>
    <xdr:to>
      <xdr:col>11</xdr:col>
      <xdr:colOff>49823</xdr:colOff>
      <xdr:row>108</xdr:row>
      <xdr:rowOff>161193</xdr:rowOff>
    </xdr:to>
    <xdr:cxnSp macro="">
      <xdr:nvCxnSpPr>
        <xdr:cNvPr id="76" name="Straight Connector 75"/>
        <xdr:cNvCxnSpPr>
          <a:cxnSpLocks/>
        </xdr:cNvCxnSpPr>
      </xdr:nvCxnSpPr>
      <xdr:spPr>
        <a:xfrm flipH="1" flipV="1">
          <a:off x="3367454" y="21659119"/>
          <a:ext cx="2356338" cy="75466"/>
        </a:xfrm>
        <a:prstGeom prst="line">
          <a:avLst/>
        </a:prstGeom>
        <a:ln w="9525">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390525</xdr:colOff>
      <xdr:row>117</xdr:row>
      <xdr:rowOff>0</xdr:rowOff>
    </xdr:from>
    <xdr:to>
      <xdr:col>1</xdr:col>
      <xdr:colOff>488175</xdr:colOff>
      <xdr:row>117</xdr:row>
      <xdr:rowOff>0</xdr:rowOff>
    </xdr:to>
    <xdr:cxnSp macro="">
      <xdr:nvCxnSpPr>
        <xdr:cNvPr id="85" name="Straight Connector 84"/>
        <xdr:cNvCxnSpPr/>
      </xdr:nvCxnSpPr>
      <xdr:spPr>
        <a:xfrm>
          <a:off x="390525" y="23088600"/>
          <a:ext cx="61200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514349</xdr:colOff>
      <xdr:row>105</xdr:row>
      <xdr:rowOff>76201</xdr:rowOff>
    </xdr:from>
    <xdr:to>
      <xdr:col>5</xdr:col>
      <xdr:colOff>209548</xdr:colOff>
      <xdr:row>108</xdr:row>
      <xdr:rowOff>95251</xdr:rowOff>
    </xdr:to>
    <xdr:sp macro="" textlink="">
      <xdr:nvSpPr>
        <xdr:cNvPr id="54" name="Freeform 53"/>
        <xdr:cNvSpPr/>
      </xdr:nvSpPr>
      <xdr:spPr>
        <a:xfrm flipH="1">
          <a:off x="2571749" y="21069301"/>
          <a:ext cx="209549" cy="590550"/>
        </a:xfrm>
        <a:custGeom>
          <a:avLst/>
          <a:gdLst>
            <a:gd name="connsiteX0" fmla="*/ 0 w 352425"/>
            <a:gd name="connsiteY0" fmla="*/ 495300 h 495300"/>
            <a:gd name="connsiteX1" fmla="*/ 0 w 352425"/>
            <a:gd name="connsiteY1" fmla="*/ 0 h 495300"/>
            <a:gd name="connsiteX2" fmla="*/ 352425 w 352425"/>
            <a:gd name="connsiteY2" fmla="*/ 0 h 495300"/>
          </a:gdLst>
          <a:ahLst/>
          <a:cxnLst>
            <a:cxn ang="0">
              <a:pos x="connsiteX0" y="connsiteY0"/>
            </a:cxn>
            <a:cxn ang="0">
              <a:pos x="connsiteX1" y="connsiteY1"/>
            </a:cxn>
            <a:cxn ang="0">
              <a:pos x="connsiteX2" y="connsiteY2"/>
            </a:cxn>
          </a:cxnLst>
          <a:rect l="l" t="t" r="r" b="b"/>
          <a:pathLst>
            <a:path w="352425" h="495300">
              <a:moveTo>
                <a:pt x="0" y="495300"/>
              </a:moveTo>
              <a:lnTo>
                <a:pt x="0" y="0"/>
              </a:lnTo>
              <a:lnTo>
                <a:pt x="352425" y="0"/>
              </a:lnTo>
            </a:path>
          </a:pathLst>
        </a:custGeom>
        <a:noFill/>
        <a:ln w="9525">
          <a:solidFill>
            <a:schemeClr val="tx2"/>
          </a:solidFill>
          <a:headEnd type="stealt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9</xdr:col>
      <xdr:colOff>257175</xdr:colOff>
      <xdr:row>114</xdr:row>
      <xdr:rowOff>152400</xdr:rowOff>
    </xdr:from>
    <xdr:to>
      <xdr:col>9</xdr:col>
      <xdr:colOff>257175</xdr:colOff>
      <xdr:row>115</xdr:row>
      <xdr:rowOff>180975</xdr:rowOff>
    </xdr:to>
    <xdr:cxnSp macro="">
      <xdr:nvCxnSpPr>
        <xdr:cNvPr id="103" name="Straight Connector 102"/>
        <xdr:cNvCxnSpPr/>
      </xdr:nvCxnSpPr>
      <xdr:spPr>
        <a:xfrm>
          <a:off x="4886325" y="22669500"/>
          <a:ext cx="0" cy="219075"/>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371475</xdr:colOff>
      <xdr:row>107</xdr:row>
      <xdr:rowOff>189470</xdr:rowOff>
    </xdr:from>
    <xdr:to>
      <xdr:col>9</xdr:col>
      <xdr:colOff>0</xdr:colOff>
      <xdr:row>108</xdr:row>
      <xdr:rowOff>38100</xdr:rowOff>
    </xdr:to>
    <xdr:cxnSp macro="">
      <xdr:nvCxnSpPr>
        <xdr:cNvPr id="93" name="Straight Connector 92"/>
        <xdr:cNvCxnSpPr/>
      </xdr:nvCxnSpPr>
      <xdr:spPr>
        <a:xfrm>
          <a:off x="3971925" y="21563570"/>
          <a:ext cx="657225" cy="39130"/>
        </a:xfrm>
        <a:prstGeom prst="line">
          <a:avLst/>
        </a:prstGeom>
        <a:ln w="9525">
          <a:solidFill>
            <a:schemeClr val="tx2"/>
          </a:solidFill>
          <a:headEnd type="none"/>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105</xdr:row>
      <xdr:rowOff>0</xdr:rowOff>
    </xdr:from>
    <xdr:to>
      <xdr:col>1</xdr:col>
      <xdr:colOff>19050</xdr:colOff>
      <xdr:row>105</xdr:row>
      <xdr:rowOff>0</xdr:rowOff>
    </xdr:to>
    <xdr:cxnSp macro="">
      <xdr:nvCxnSpPr>
        <xdr:cNvPr id="121" name="Straight Connector 120"/>
        <xdr:cNvCxnSpPr/>
      </xdr:nvCxnSpPr>
      <xdr:spPr>
        <a:xfrm>
          <a:off x="381000" y="20993100"/>
          <a:ext cx="15240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191149</xdr:colOff>
      <xdr:row>104</xdr:row>
      <xdr:rowOff>96120</xdr:rowOff>
    </xdr:from>
    <xdr:to>
      <xdr:col>11</xdr:col>
      <xdr:colOff>191149</xdr:colOff>
      <xdr:row>106</xdr:row>
      <xdr:rowOff>78974</xdr:rowOff>
    </xdr:to>
    <xdr:cxnSp macro="">
      <xdr:nvCxnSpPr>
        <xdr:cNvPr id="124" name="Straight Connector 123"/>
        <xdr:cNvCxnSpPr/>
      </xdr:nvCxnSpPr>
      <xdr:spPr>
        <a:xfrm flipH="1" flipV="1">
          <a:off x="5865118" y="20907512"/>
          <a:ext cx="0" cy="363854"/>
        </a:xfrm>
        <a:prstGeom prst="line">
          <a:avLst/>
        </a:prstGeom>
        <a:ln w="9525" cmpd="sng">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194164</xdr:colOff>
      <xdr:row>105</xdr:row>
      <xdr:rowOff>0</xdr:rowOff>
    </xdr:from>
    <xdr:to>
      <xdr:col>11</xdr:col>
      <xdr:colOff>330300</xdr:colOff>
      <xdr:row>105</xdr:row>
      <xdr:rowOff>0</xdr:rowOff>
    </xdr:to>
    <xdr:cxnSp macro="">
      <xdr:nvCxnSpPr>
        <xdr:cNvPr id="126" name="Straight Connector 125"/>
        <xdr:cNvCxnSpPr/>
      </xdr:nvCxnSpPr>
      <xdr:spPr>
        <a:xfrm>
          <a:off x="5852014" y="20993100"/>
          <a:ext cx="136136"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108346</xdr:colOff>
      <xdr:row>104</xdr:row>
      <xdr:rowOff>104775</xdr:rowOff>
    </xdr:from>
    <xdr:to>
      <xdr:col>2</xdr:col>
      <xdr:colOff>108346</xdr:colOff>
      <xdr:row>106</xdr:row>
      <xdr:rowOff>104776</xdr:rowOff>
    </xdr:to>
    <xdr:cxnSp macro="">
      <xdr:nvCxnSpPr>
        <xdr:cNvPr id="203" name="Straight Connector 202"/>
        <xdr:cNvCxnSpPr/>
      </xdr:nvCxnSpPr>
      <xdr:spPr>
        <a:xfrm flipV="1">
          <a:off x="1137046" y="20907375"/>
          <a:ext cx="0" cy="381001"/>
        </a:xfrm>
        <a:prstGeom prst="line">
          <a:avLst/>
        </a:prstGeom>
        <a:ln w="9525" cmpd="sng">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xdr:colOff>
      <xdr:row>105</xdr:row>
      <xdr:rowOff>940</xdr:rowOff>
    </xdr:from>
    <xdr:to>
      <xdr:col>2</xdr:col>
      <xdr:colOff>85725</xdr:colOff>
      <xdr:row>105</xdr:row>
      <xdr:rowOff>940</xdr:rowOff>
    </xdr:to>
    <xdr:cxnSp macro="">
      <xdr:nvCxnSpPr>
        <xdr:cNvPr id="205" name="Straight Connector 204"/>
        <xdr:cNvCxnSpPr/>
      </xdr:nvCxnSpPr>
      <xdr:spPr>
        <a:xfrm>
          <a:off x="561975" y="20994040"/>
          <a:ext cx="55245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316386</xdr:colOff>
      <xdr:row>104</xdr:row>
      <xdr:rowOff>66675</xdr:rowOff>
    </xdr:from>
    <xdr:to>
      <xdr:col>9</xdr:col>
      <xdr:colOff>316386</xdr:colOff>
      <xdr:row>108</xdr:row>
      <xdr:rowOff>83745</xdr:rowOff>
    </xdr:to>
    <xdr:cxnSp macro="">
      <xdr:nvCxnSpPr>
        <xdr:cNvPr id="206" name="Straight Connector 205"/>
        <xdr:cNvCxnSpPr/>
      </xdr:nvCxnSpPr>
      <xdr:spPr>
        <a:xfrm flipV="1">
          <a:off x="4945536" y="20869275"/>
          <a:ext cx="0" cy="779070"/>
        </a:xfrm>
        <a:prstGeom prst="line">
          <a:avLst/>
        </a:prstGeom>
        <a:ln w="9525" cmpd="sng">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105</xdr:row>
      <xdr:rowOff>0</xdr:rowOff>
    </xdr:from>
    <xdr:to>
      <xdr:col>11</xdr:col>
      <xdr:colOff>184639</xdr:colOff>
      <xdr:row>105</xdr:row>
      <xdr:rowOff>0</xdr:rowOff>
    </xdr:to>
    <xdr:cxnSp macro="">
      <xdr:nvCxnSpPr>
        <xdr:cNvPr id="207" name="Straight Connector 206"/>
        <xdr:cNvCxnSpPr/>
      </xdr:nvCxnSpPr>
      <xdr:spPr>
        <a:xfrm>
          <a:off x="5153025" y="20993100"/>
          <a:ext cx="689464"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257172</xdr:colOff>
      <xdr:row>106</xdr:row>
      <xdr:rowOff>180975</xdr:rowOff>
    </xdr:from>
    <xdr:to>
      <xdr:col>7</xdr:col>
      <xdr:colOff>219075</xdr:colOff>
      <xdr:row>108</xdr:row>
      <xdr:rowOff>107708</xdr:rowOff>
    </xdr:to>
    <xdr:sp macro="" textlink="">
      <xdr:nvSpPr>
        <xdr:cNvPr id="302" name="Freeform 301"/>
        <xdr:cNvSpPr/>
      </xdr:nvSpPr>
      <xdr:spPr>
        <a:xfrm>
          <a:off x="3343272" y="21364575"/>
          <a:ext cx="476253" cy="307733"/>
        </a:xfrm>
        <a:custGeom>
          <a:avLst/>
          <a:gdLst>
            <a:gd name="connsiteX0" fmla="*/ 0 w 609600"/>
            <a:gd name="connsiteY0" fmla="*/ 180975 h 180975"/>
            <a:gd name="connsiteX1" fmla="*/ 228600 w 609600"/>
            <a:gd name="connsiteY1" fmla="*/ 0 h 180975"/>
            <a:gd name="connsiteX2" fmla="*/ 609600 w 609600"/>
            <a:gd name="connsiteY2" fmla="*/ 0 h 180975"/>
          </a:gdLst>
          <a:ahLst/>
          <a:cxnLst>
            <a:cxn ang="0">
              <a:pos x="connsiteX0" y="connsiteY0"/>
            </a:cxn>
            <a:cxn ang="0">
              <a:pos x="connsiteX1" y="connsiteY1"/>
            </a:cxn>
            <a:cxn ang="0">
              <a:pos x="connsiteX2" y="connsiteY2"/>
            </a:cxn>
          </a:cxnLst>
          <a:rect l="l" t="t" r="r" b="b"/>
          <a:pathLst>
            <a:path w="609600" h="180975">
              <a:moveTo>
                <a:pt x="0" y="180975"/>
              </a:moveTo>
              <a:lnTo>
                <a:pt x="228600" y="0"/>
              </a:lnTo>
              <a:lnTo>
                <a:pt x="609600" y="0"/>
              </a:lnTo>
            </a:path>
          </a:pathLst>
        </a:custGeom>
        <a:noFill/>
        <a:ln w="9525">
          <a:solidFill>
            <a:schemeClr val="tx2"/>
          </a:solidFill>
          <a:headEnd type="stealth"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257175</xdr:colOff>
      <xdr:row>131</xdr:row>
      <xdr:rowOff>0</xdr:rowOff>
    </xdr:from>
    <xdr:to>
      <xdr:col>4</xdr:col>
      <xdr:colOff>266700</xdr:colOff>
      <xdr:row>144</xdr:row>
      <xdr:rowOff>9524</xdr:rowOff>
    </xdr:to>
    <xdr:sp macro="" textlink="">
      <xdr:nvSpPr>
        <xdr:cNvPr id="220" name="Rectangle 219"/>
        <xdr:cNvSpPr/>
      </xdr:nvSpPr>
      <xdr:spPr>
        <a:xfrm>
          <a:off x="1800225" y="16687800"/>
          <a:ext cx="523875" cy="2486024"/>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257175</xdr:colOff>
      <xdr:row>148</xdr:row>
      <xdr:rowOff>0</xdr:rowOff>
    </xdr:from>
    <xdr:to>
      <xdr:col>6</xdr:col>
      <xdr:colOff>266700</xdr:colOff>
      <xdr:row>148</xdr:row>
      <xdr:rowOff>0</xdr:rowOff>
    </xdr:to>
    <xdr:cxnSp macro="">
      <xdr:nvCxnSpPr>
        <xdr:cNvPr id="227" name="Straight Connector 226"/>
        <xdr:cNvCxnSpPr/>
      </xdr:nvCxnSpPr>
      <xdr:spPr>
        <a:xfrm>
          <a:off x="771525" y="19926300"/>
          <a:ext cx="2581275"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142</xdr:row>
      <xdr:rowOff>104775</xdr:rowOff>
    </xdr:from>
    <xdr:to>
      <xdr:col>1</xdr:col>
      <xdr:colOff>257175</xdr:colOff>
      <xdr:row>148</xdr:row>
      <xdr:rowOff>123825</xdr:rowOff>
    </xdr:to>
    <xdr:cxnSp macro="">
      <xdr:nvCxnSpPr>
        <xdr:cNvPr id="228" name="Straight Connector 227"/>
        <xdr:cNvCxnSpPr/>
      </xdr:nvCxnSpPr>
      <xdr:spPr>
        <a:xfrm>
          <a:off x="771525" y="27727275"/>
          <a:ext cx="0" cy="116205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276225</xdr:colOff>
      <xdr:row>142</xdr:row>
      <xdr:rowOff>66675</xdr:rowOff>
    </xdr:from>
    <xdr:to>
      <xdr:col>6</xdr:col>
      <xdr:colOff>276225</xdr:colOff>
      <xdr:row>148</xdr:row>
      <xdr:rowOff>114300</xdr:rowOff>
    </xdr:to>
    <xdr:cxnSp macro="">
      <xdr:nvCxnSpPr>
        <xdr:cNvPr id="229" name="Straight Connector 228"/>
        <xdr:cNvCxnSpPr/>
      </xdr:nvCxnSpPr>
      <xdr:spPr>
        <a:xfrm>
          <a:off x="3362325" y="27689175"/>
          <a:ext cx="0" cy="119062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228600</xdr:colOff>
      <xdr:row>128</xdr:row>
      <xdr:rowOff>9525</xdr:rowOff>
    </xdr:from>
    <xdr:to>
      <xdr:col>5</xdr:col>
      <xdr:colOff>228600</xdr:colOff>
      <xdr:row>129</xdr:row>
      <xdr:rowOff>71025</xdr:rowOff>
    </xdr:to>
    <xdr:cxnSp macro="">
      <xdr:nvCxnSpPr>
        <xdr:cNvPr id="232" name="Straight Connector 231"/>
        <xdr:cNvCxnSpPr/>
      </xdr:nvCxnSpPr>
      <xdr:spPr>
        <a:xfrm flipV="1">
          <a:off x="2800350" y="16125825"/>
          <a:ext cx="0" cy="25200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128</xdr:row>
      <xdr:rowOff>0</xdr:rowOff>
    </xdr:from>
    <xdr:to>
      <xdr:col>6</xdr:col>
      <xdr:colOff>190500</xdr:colOff>
      <xdr:row>128</xdr:row>
      <xdr:rowOff>0</xdr:rowOff>
    </xdr:to>
    <xdr:cxnSp macro="">
      <xdr:nvCxnSpPr>
        <xdr:cNvPr id="233" name="Straight Connector 232"/>
        <xdr:cNvCxnSpPr/>
      </xdr:nvCxnSpPr>
      <xdr:spPr>
        <a:xfrm>
          <a:off x="2686050" y="16116300"/>
          <a:ext cx="59055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129</xdr:row>
      <xdr:rowOff>95250</xdr:rowOff>
    </xdr:from>
    <xdr:to>
      <xdr:col>5</xdr:col>
      <xdr:colOff>390525</xdr:colOff>
      <xdr:row>129</xdr:row>
      <xdr:rowOff>95250</xdr:rowOff>
    </xdr:to>
    <xdr:cxnSp macro="">
      <xdr:nvCxnSpPr>
        <xdr:cNvPr id="234" name="Straight Connector 233"/>
        <xdr:cNvCxnSpPr/>
      </xdr:nvCxnSpPr>
      <xdr:spPr>
        <a:xfrm>
          <a:off x="2581275" y="16402050"/>
          <a:ext cx="38100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131</xdr:row>
      <xdr:rowOff>0</xdr:rowOff>
    </xdr:from>
    <xdr:to>
      <xdr:col>7</xdr:col>
      <xdr:colOff>114300</xdr:colOff>
      <xdr:row>131</xdr:row>
      <xdr:rowOff>0</xdr:rowOff>
    </xdr:to>
    <xdr:cxnSp macro="">
      <xdr:nvCxnSpPr>
        <xdr:cNvPr id="235" name="Straight Connector 234"/>
        <xdr:cNvCxnSpPr/>
      </xdr:nvCxnSpPr>
      <xdr:spPr>
        <a:xfrm>
          <a:off x="2524125" y="25527000"/>
          <a:ext cx="11906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228600</xdr:colOff>
      <xdr:row>129</xdr:row>
      <xdr:rowOff>104775</xdr:rowOff>
    </xdr:from>
    <xdr:to>
      <xdr:col>5</xdr:col>
      <xdr:colOff>228600</xdr:colOff>
      <xdr:row>131</xdr:row>
      <xdr:rowOff>11775</xdr:rowOff>
    </xdr:to>
    <xdr:cxnSp macro="">
      <xdr:nvCxnSpPr>
        <xdr:cNvPr id="236" name="Straight Connector 235"/>
        <xdr:cNvCxnSpPr/>
      </xdr:nvCxnSpPr>
      <xdr:spPr>
        <a:xfrm flipV="1">
          <a:off x="2800350" y="16411575"/>
          <a:ext cx="0" cy="28800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127</xdr:row>
      <xdr:rowOff>180975</xdr:rowOff>
    </xdr:from>
    <xdr:to>
      <xdr:col>6</xdr:col>
      <xdr:colOff>0</xdr:colOff>
      <xdr:row>130</xdr:row>
      <xdr:rowOff>185475</xdr:rowOff>
    </xdr:to>
    <xdr:cxnSp macro="">
      <xdr:nvCxnSpPr>
        <xdr:cNvPr id="237" name="Straight Connector 236"/>
        <xdr:cNvCxnSpPr/>
      </xdr:nvCxnSpPr>
      <xdr:spPr>
        <a:xfrm flipV="1">
          <a:off x="3086100" y="16106775"/>
          <a:ext cx="0" cy="57600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257175</xdr:colOff>
      <xdr:row>145</xdr:row>
      <xdr:rowOff>114300</xdr:rowOff>
    </xdr:from>
    <xdr:to>
      <xdr:col>3</xdr:col>
      <xdr:colOff>390525</xdr:colOff>
      <xdr:row>146</xdr:row>
      <xdr:rowOff>104775</xdr:rowOff>
    </xdr:to>
    <xdr:sp macro="" textlink="">
      <xdr:nvSpPr>
        <xdr:cNvPr id="263" name="TextBox 262"/>
        <xdr:cNvSpPr txBox="1"/>
      </xdr:nvSpPr>
      <xdr:spPr>
        <a:xfrm>
          <a:off x="1800225" y="19469100"/>
          <a:ext cx="133350"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5</a:t>
          </a:r>
        </a:p>
      </xdr:txBody>
    </xdr:sp>
    <xdr:clientData/>
  </xdr:twoCellAnchor>
  <xdr:twoCellAnchor>
    <xdr:from>
      <xdr:col>4</xdr:col>
      <xdr:colOff>0</xdr:colOff>
      <xdr:row>125</xdr:row>
      <xdr:rowOff>0</xdr:rowOff>
    </xdr:from>
    <xdr:to>
      <xdr:col>4</xdr:col>
      <xdr:colOff>360000</xdr:colOff>
      <xdr:row>125</xdr:row>
      <xdr:rowOff>0</xdr:rowOff>
    </xdr:to>
    <xdr:cxnSp macro="">
      <xdr:nvCxnSpPr>
        <xdr:cNvPr id="264" name="Straight Connector 263"/>
        <xdr:cNvCxnSpPr/>
      </xdr:nvCxnSpPr>
      <xdr:spPr>
        <a:xfrm>
          <a:off x="2057400" y="15544800"/>
          <a:ext cx="3600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133350</xdr:colOff>
      <xdr:row>125</xdr:row>
      <xdr:rowOff>0</xdr:rowOff>
    </xdr:from>
    <xdr:to>
      <xdr:col>3</xdr:col>
      <xdr:colOff>493350</xdr:colOff>
      <xdr:row>125</xdr:row>
      <xdr:rowOff>0</xdr:rowOff>
    </xdr:to>
    <xdr:cxnSp macro="">
      <xdr:nvCxnSpPr>
        <xdr:cNvPr id="265" name="Straight Connector 264"/>
        <xdr:cNvCxnSpPr/>
      </xdr:nvCxnSpPr>
      <xdr:spPr>
        <a:xfrm>
          <a:off x="1676400" y="15544800"/>
          <a:ext cx="3600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485778</xdr:colOff>
      <xdr:row>127</xdr:row>
      <xdr:rowOff>46299</xdr:rowOff>
    </xdr:from>
    <xdr:to>
      <xdr:col>3</xdr:col>
      <xdr:colOff>283848</xdr:colOff>
      <xdr:row>128</xdr:row>
      <xdr:rowOff>3285</xdr:rowOff>
    </xdr:to>
    <xdr:grpSp>
      <xdr:nvGrpSpPr>
        <xdr:cNvPr id="266" name="Group 265"/>
        <xdr:cNvGrpSpPr>
          <a:grpSpLocks noChangeAspect="1"/>
        </xdr:cNvGrpSpPr>
      </xdr:nvGrpSpPr>
      <xdr:grpSpPr>
        <a:xfrm>
          <a:off x="1514478" y="20848899"/>
          <a:ext cx="312420" cy="147486"/>
          <a:chOff x="1247775" y="24411244"/>
          <a:chExt cx="381000" cy="163256"/>
        </a:xfrm>
      </xdr:grpSpPr>
      <xdr:sp macro="" textlink="">
        <xdr:nvSpPr>
          <xdr:cNvPr id="268" name="Rectangle 267"/>
          <xdr:cNvSpPr/>
        </xdr:nvSpPr>
        <xdr:spPr>
          <a:xfrm>
            <a:off x="1352550" y="24411244"/>
            <a:ext cx="180975" cy="68006"/>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sp macro="" textlink="">
        <xdr:nvSpPr>
          <xdr:cNvPr id="269" name="Rectangle 268"/>
          <xdr:cNvSpPr/>
        </xdr:nvSpPr>
        <xdr:spPr>
          <a:xfrm>
            <a:off x="1247775" y="24479250"/>
            <a:ext cx="381000" cy="9525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grpSp>
    <xdr:clientData/>
  </xdr:twoCellAnchor>
  <xdr:twoCellAnchor>
    <xdr:from>
      <xdr:col>2</xdr:col>
      <xdr:colOff>381000</xdr:colOff>
      <xdr:row>128</xdr:row>
      <xdr:rowOff>4</xdr:rowOff>
    </xdr:from>
    <xdr:to>
      <xdr:col>5</xdr:col>
      <xdr:colOff>142875</xdr:colOff>
      <xdr:row>130</xdr:row>
      <xdr:rowOff>186486</xdr:rowOff>
    </xdr:to>
    <xdr:grpSp>
      <xdr:nvGrpSpPr>
        <xdr:cNvPr id="270" name="Group 269"/>
        <xdr:cNvGrpSpPr/>
      </xdr:nvGrpSpPr>
      <xdr:grpSpPr>
        <a:xfrm>
          <a:off x="1409700" y="20993104"/>
          <a:ext cx="1304925" cy="567482"/>
          <a:chOff x="2047875" y="18907124"/>
          <a:chExt cx="1304925" cy="485776"/>
        </a:xfrm>
      </xdr:grpSpPr>
      <xdr:sp macro="" textlink="">
        <xdr:nvSpPr>
          <xdr:cNvPr id="272" name="Rectangle 271"/>
          <xdr:cNvSpPr/>
        </xdr:nvSpPr>
        <xdr:spPr>
          <a:xfrm>
            <a:off x="2047875" y="18907124"/>
            <a:ext cx="1304925" cy="485776"/>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xnSp macro="">
        <xdr:nvCxnSpPr>
          <xdr:cNvPr id="275" name="Straight Connector 274"/>
          <xdr:cNvCxnSpPr>
            <a:stCxn id="272" idx="1"/>
            <a:endCxn id="272" idx="3"/>
          </xdr:cNvCxnSpPr>
        </xdr:nvCxnSpPr>
        <xdr:spPr>
          <a:xfrm>
            <a:off x="2047875" y="19150012"/>
            <a:ext cx="1304925" cy="0"/>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209553</xdr:colOff>
      <xdr:row>127</xdr:row>
      <xdr:rowOff>46299</xdr:rowOff>
    </xdr:from>
    <xdr:to>
      <xdr:col>5</xdr:col>
      <xdr:colOff>7623</xdr:colOff>
      <xdr:row>128</xdr:row>
      <xdr:rowOff>3285</xdr:rowOff>
    </xdr:to>
    <xdr:grpSp>
      <xdr:nvGrpSpPr>
        <xdr:cNvPr id="277" name="Group 276"/>
        <xdr:cNvGrpSpPr>
          <a:grpSpLocks noChangeAspect="1"/>
        </xdr:cNvGrpSpPr>
      </xdr:nvGrpSpPr>
      <xdr:grpSpPr>
        <a:xfrm>
          <a:off x="2266953" y="20848899"/>
          <a:ext cx="312420" cy="147486"/>
          <a:chOff x="1247775" y="24411244"/>
          <a:chExt cx="381000" cy="163256"/>
        </a:xfrm>
      </xdr:grpSpPr>
      <xdr:sp macro="" textlink="">
        <xdr:nvSpPr>
          <xdr:cNvPr id="279" name="Rectangle 278"/>
          <xdr:cNvSpPr/>
        </xdr:nvSpPr>
        <xdr:spPr>
          <a:xfrm>
            <a:off x="1352550" y="24411244"/>
            <a:ext cx="180975" cy="68006"/>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sp macro="" textlink="">
        <xdr:nvSpPr>
          <xdr:cNvPr id="280" name="Rectangle 279"/>
          <xdr:cNvSpPr/>
        </xdr:nvSpPr>
        <xdr:spPr>
          <a:xfrm>
            <a:off x="1247775" y="24479250"/>
            <a:ext cx="381000" cy="9525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grpSp>
    <xdr:clientData/>
  </xdr:twoCellAnchor>
  <xdr:twoCellAnchor>
    <xdr:from>
      <xdr:col>3</xdr:col>
      <xdr:colOff>123825</xdr:colOff>
      <xdr:row>124</xdr:row>
      <xdr:rowOff>114300</xdr:rowOff>
    </xdr:from>
    <xdr:to>
      <xdr:col>3</xdr:col>
      <xdr:colOff>123825</xdr:colOff>
      <xdr:row>129</xdr:row>
      <xdr:rowOff>97800</xdr:rowOff>
    </xdr:to>
    <xdr:cxnSp macro="">
      <xdr:nvCxnSpPr>
        <xdr:cNvPr id="281" name="Straight Connector 280"/>
        <xdr:cNvCxnSpPr/>
      </xdr:nvCxnSpPr>
      <xdr:spPr>
        <a:xfrm>
          <a:off x="1666875" y="15468600"/>
          <a:ext cx="0" cy="936000"/>
        </a:xfrm>
        <a:prstGeom prst="line">
          <a:avLst/>
        </a:prstGeom>
        <a:ln w="9525">
          <a:solidFill>
            <a:schemeClr val="tx2"/>
          </a:solidFill>
          <a:prstDash val="lgDashDot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361950</xdr:colOff>
      <xdr:row>124</xdr:row>
      <xdr:rowOff>114300</xdr:rowOff>
    </xdr:from>
    <xdr:to>
      <xdr:col>4</xdr:col>
      <xdr:colOff>361950</xdr:colOff>
      <xdr:row>129</xdr:row>
      <xdr:rowOff>104775</xdr:rowOff>
    </xdr:to>
    <xdr:cxnSp macro="">
      <xdr:nvCxnSpPr>
        <xdr:cNvPr id="282" name="Straight Connector 281"/>
        <xdr:cNvCxnSpPr/>
      </xdr:nvCxnSpPr>
      <xdr:spPr>
        <a:xfrm>
          <a:off x="2419350" y="15468600"/>
          <a:ext cx="0" cy="942975"/>
        </a:xfrm>
        <a:prstGeom prst="line">
          <a:avLst/>
        </a:prstGeom>
        <a:ln w="9525">
          <a:solidFill>
            <a:schemeClr val="tx2"/>
          </a:solidFill>
          <a:prstDash val="lgDashDot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124</xdr:row>
      <xdr:rowOff>114300</xdr:rowOff>
    </xdr:from>
    <xdr:to>
      <xdr:col>4</xdr:col>
      <xdr:colOff>0</xdr:colOff>
      <xdr:row>129</xdr:row>
      <xdr:rowOff>104775</xdr:rowOff>
    </xdr:to>
    <xdr:cxnSp macro="">
      <xdr:nvCxnSpPr>
        <xdr:cNvPr id="283" name="Straight Connector 282"/>
        <xdr:cNvCxnSpPr/>
      </xdr:nvCxnSpPr>
      <xdr:spPr>
        <a:xfrm>
          <a:off x="2057400" y="15468600"/>
          <a:ext cx="0" cy="942975"/>
        </a:xfrm>
        <a:prstGeom prst="line">
          <a:avLst/>
        </a:prstGeom>
        <a:ln w="9525">
          <a:solidFill>
            <a:schemeClr val="tx2"/>
          </a:solidFill>
          <a:prstDash val="lgDashDot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381000</xdr:colOff>
      <xdr:row>124</xdr:row>
      <xdr:rowOff>114300</xdr:rowOff>
    </xdr:from>
    <xdr:to>
      <xdr:col>2</xdr:col>
      <xdr:colOff>381000</xdr:colOff>
      <xdr:row>134</xdr:row>
      <xdr:rowOff>47625</xdr:rowOff>
    </xdr:to>
    <xdr:cxnSp macro="">
      <xdr:nvCxnSpPr>
        <xdr:cNvPr id="285" name="Straight Connector 284"/>
        <xdr:cNvCxnSpPr/>
      </xdr:nvCxnSpPr>
      <xdr:spPr>
        <a:xfrm>
          <a:off x="1409700" y="15468600"/>
          <a:ext cx="0" cy="183832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400050</xdr:colOff>
      <xdr:row>132</xdr:row>
      <xdr:rowOff>0</xdr:rowOff>
    </xdr:from>
    <xdr:to>
      <xdr:col>3</xdr:col>
      <xdr:colOff>245700</xdr:colOff>
      <xdr:row>132</xdr:row>
      <xdr:rowOff>0</xdr:rowOff>
    </xdr:to>
    <xdr:cxnSp macro="">
      <xdr:nvCxnSpPr>
        <xdr:cNvPr id="286" name="Straight Connector 285"/>
        <xdr:cNvCxnSpPr/>
      </xdr:nvCxnSpPr>
      <xdr:spPr>
        <a:xfrm>
          <a:off x="1428750" y="16878300"/>
          <a:ext cx="3600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142875</xdr:colOff>
      <xdr:row>124</xdr:row>
      <xdr:rowOff>123825</xdr:rowOff>
    </xdr:from>
    <xdr:to>
      <xdr:col>5</xdr:col>
      <xdr:colOff>142875</xdr:colOff>
      <xdr:row>134</xdr:row>
      <xdr:rowOff>152400</xdr:rowOff>
    </xdr:to>
    <xdr:cxnSp macro="">
      <xdr:nvCxnSpPr>
        <xdr:cNvPr id="287" name="Straight Connector 286"/>
        <xdr:cNvCxnSpPr/>
      </xdr:nvCxnSpPr>
      <xdr:spPr>
        <a:xfrm>
          <a:off x="2714625" y="15478125"/>
          <a:ext cx="0" cy="193357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485775</xdr:colOff>
      <xdr:row>139</xdr:row>
      <xdr:rowOff>85725</xdr:rowOff>
    </xdr:from>
    <xdr:to>
      <xdr:col>4</xdr:col>
      <xdr:colOff>104775</xdr:colOff>
      <xdr:row>140</xdr:row>
      <xdr:rowOff>76200</xdr:rowOff>
    </xdr:to>
    <xdr:sp macro="" textlink="">
      <xdr:nvSpPr>
        <xdr:cNvPr id="288" name="TextBox 287"/>
        <xdr:cNvSpPr txBox="1"/>
      </xdr:nvSpPr>
      <xdr:spPr>
        <a:xfrm>
          <a:off x="2028825" y="18297525"/>
          <a:ext cx="133350"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3</a:t>
          </a:r>
        </a:p>
      </xdr:txBody>
    </xdr:sp>
    <xdr:clientData/>
  </xdr:twoCellAnchor>
  <xdr:twoCellAnchor>
    <xdr:from>
      <xdr:col>7</xdr:col>
      <xdr:colOff>0</xdr:colOff>
      <xdr:row>144</xdr:row>
      <xdr:rowOff>28576</xdr:rowOff>
    </xdr:from>
    <xdr:to>
      <xdr:col>7</xdr:col>
      <xdr:colOff>0</xdr:colOff>
      <xdr:row>146</xdr:row>
      <xdr:rowOff>171450</xdr:rowOff>
    </xdr:to>
    <xdr:cxnSp macro="">
      <xdr:nvCxnSpPr>
        <xdr:cNvPr id="289" name="Straight Connector 288"/>
        <xdr:cNvCxnSpPr/>
      </xdr:nvCxnSpPr>
      <xdr:spPr>
        <a:xfrm flipV="1">
          <a:off x="3600450" y="28032076"/>
          <a:ext cx="0" cy="523874"/>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504825</xdr:colOff>
      <xdr:row>144</xdr:row>
      <xdr:rowOff>9525</xdr:rowOff>
    </xdr:from>
    <xdr:to>
      <xdr:col>7</xdr:col>
      <xdr:colOff>104775</xdr:colOff>
      <xdr:row>144</xdr:row>
      <xdr:rowOff>9525</xdr:rowOff>
    </xdr:to>
    <xdr:cxnSp macro="">
      <xdr:nvCxnSpPr>
        <xdr:cNvPr id="290" name="Straight Connector 289"/>
        <xdr:cNvCxnSpPr/>
      </xdr:nvCxnSpPr>
      <xdr:spPr>
        <a:xfrm>
          <a:off x="3076575" y="28013025"/>
          <a:ext cx="62865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147</xdr:row>
      <xdr:rowOff>0</xdr:rowOff>
    </xdr:from>
    <xdr:to>
      <xdr:col>7</xdr:col>
      <xdr:colOff>123825</xdr:colOff>
      <xdr:row>147</xdr:row>
      <xdr:rowOff>0</xdr:rowOff>
    </xdr:to>
    <xdr:cxnSp macro="">
      <xdr:nvCxnSpPr>
        <xdr:cNvPr id="293" name="Straight Connector 292"/>
        <xdr:cNvCxnSpPr/>
      </xdr:nvCxnSpPr>
      <xdr:spPr>
        <a:xfrm>
          <a:off x="3228975" y="19735800"/>
          <a:ext cx="49530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131</xdr:row>
      <xdr:rowOff>7041</xdr:rowOff>
    </xdr:from>
    <xdr:to>
      <xdr:col>7</xdr:col>
      <xdr:colOff>0</xdr:colOff>
      <xdr:row>143</xdr:row>
      <xdr:rowOff>169041</xdr:rowOff>
    </xdr:to>
    <xdr:cxnSp macro="">
      <xdr:nvCxnSpPr>
        <xdr:cNvPr id="294" name="Straight Connector 293"/>
        <xdr:cNvCxnSpPr/>
      </xdr:nvCxnSpPr>
      <xdr:spPr>
        <a:xfrm flipV="1">
          <a:off x="3594652" y="25931606"/>
          <a:ext cx="0" cy="244800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132</xdr:row>
      <xdr:rowOff>0</xdr:rowOff>
    </xdr:from>
    <xdr:to>
      <xdr:col>5</xdr:col>
      <xdr:colOff>133350</xdr:colOff>
      <xdr:row>132</xdr:row>
      <xdr:rowOff>0</xdr:rowOff>
    </xdr:to>
    <xdr:cxnSp macro="">
      <xdr:nvCxnSpPr>
        <xdr:cNvPr id="295" name="Straight Connector 294"/>
        <xdr:cNvCxnSpPr/>
      </xdr:nvCxnSpPr>
      <xdr:spPr>
        <a:xfrm>
          <a:off x="2333625" y="16878300"/>
          <a:ext cx="371475"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132</xdr:row>
      <xdr:rowOff>0</xdr:rowOff>
    </xdr:from>
    <xdr:to>
      <xdr:col>4</xdr:col>
      <xdr:colOff>256350</xdr:colOff>
      <xdr:row>132</xdr:row>
      <xdr:rowOff>0</xdr:rowOff>
    </xdr:to>
    <xdr:cxnSp macro="">
      <xdr:nvCxnSpPr>
        <xdr:cNvPr id="296" name="Straight Connector 295"/>
        <xdr:cNvCxnSpPr/>
      </xdr:nvCxnSpPr>
      <xdr:spPr>
        <a:xfrm>
          <a:off x="1809750" y="16878300"/>
          <a:ext cx="5040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381000</xdr:colOff>
      <xdr:row>134</xdr:row>
      <xdr:rowOff>0</xdr:rowOff>
    </xdr:from>
    <xdr:to>
      <xdr:col>5</xdr:col>
      <xdr:colOff>133350</xdr:colOff>
      <xdr:row>134</xdr:row>
      <xdr:rowOff>0</xdr:rowOff>
    </xdr:to>
    <xdr:cxnSp macro="">
      <xdr:nvCxnSpPr>
        <xdr:cNvPr id="297" name="Straight Connector 296"/>
        <xdr:cNvCxnSpPr/>
      </xdr:nvCxnSpPr>
      <xdr:spPr>
        <a:xfrm>
          <a:off x="1409700" y="17259300"/>
          <a:ext cx="12954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85725</xdr:colOff>
      <xdr:row>128</xdr:row>
      <xdr:rowOff>57150</xdr:rowOff>
    </xdr:from>
    <xdr:to>
      <xdr:col>4</xdr:col>
      <xdr:colOff>219075</xdr:colOff>
      <xdr:row>129</xdr:row>
      <xdr:rowOff>47625</xdr:rowOff>
    </xdr:to>
    <xdr:sp macro="" textlink="">
      <xdr:nvSpPr>
        <xdr:cNvPr id="298" name="TextBox 297"/>
        <xdr:cNvSpPr txBox="1"/>
      </xdr:nvSpPr>
      <xdr:spPr>
        <a:xfrm>
          <a:off x="2143125" y="16173450"/>
          <a:ext cx="133350"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1</a:t>
          </a:r>
        </a:p>
      </xdr:txBody>
    </xdr:sp>
    <xdr:clientData/>
  </xdr:twoCellAnchor>
  <xdr:twoCellAnchor>
    <xdr:from>
      <xdr:col>3</xdr:col>
      <xdr:colOff>323850</xdr:colOff>
      <xdr:row>129</xdr:row>
      <xdr:rowOff>142875</xdr:rowOff>
    </xdr:from>
    <xdr:to>
      <xdr:col>3</xdr:col>
      <xdr:colOff>457200</xdr:colOff>
      <xdr:row>130</xdr:row>
      <xdr:rowOff>133350</xdr:rowOff>
    </xdr:to>
    <xdr:sp macro="" textlink="">
      <xdr:nvSpPr>
        <xdr:cNvPr id="299" name="TextBox 298"/>
        <xdr:cNvSpPr txBox="1"/>
      </xdr:nvSpPr>
      <xdr:spPr>
        <a:xfrm>
          <a:off x="1866900" y="16449675"/>
          <a:ext cx="133350"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2</a:t>
          </a:r>
        </a:p>
      </xdr:txBody>
    </xdr:sp>
    <xdr:clientData/>
  </xdr:twoCellAnchor>
  <xdr:twoCellAnchor>
    <xdr:from>
      <xdr:col>2</xdr:col>
      <xdr:colOff>227907</xdr:colOff>
      <xdr:row>183</xdr:row>
      <xdr:rowOff>4253</xdr:rowOff>
    </xdr:from>
    <xdr:to>
      <xdr:col>2</xdr:col>
      <xdr:colOff>406793</xdr:colOff>
      <xdr:row>183</xdr:row>
      <xdr:rowOff>4253</xdr:rowOff>
    </xdr:to>
    <xdr:cxnSp macro="">
      <xdr:nvCxnSpPr>
        <xdr:cNvPr id="300" name="Straight Connector 299"/>
        <xdr:cNvCxnSpPr/>
      </xdr:nvCxnSpPr>
      <xdr:spPr>
        <a:xfrm>
          <a:off x="1256607" y="33341753"/>
          <a:ext cx="178886"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227907</xdr:colOff>
      <xdr:row>180</xdr:row>
      <xdr:rowOff>92091</xdr:rowOff>
    </xdr:from>
    <xdr:to>
      <xdr:col>2</xdr:col>
      <xdr:colOff>227907</xdr:colOff>
      <xdr:row>183</xdr:row>
      <xdr:rowOff>98467</xdr:rowOff>
    </xdr:to>
    <xdr:cxnSp macro="">
      <xdr:nvCxnSpPr>
        <xdr:cNvPr id="301" name="Straight Connector 300"/>
        <xdr:cNvCxnSpPr/>
      </xdr:nvCxnSpPr>
      <xdr:spPr>
        <a:xfrm>
          <a:off x="1256607" y="32858091"/>
          <a:ext cx="0" cy="57787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234619</xdr:colOff>
      <xdr:row>181</xdr:row>
      <xdr:rowOff>185785</xdr:rowOff>
    </xdr:from>
    <xdr:to>
      <xdr:col>7</xdr:col>
      <xdr:colOff>234478</xdr:colOff>
      <xdr:row>181</xdr:row>
      <xdr:rowOff>185785</xdr:rowOff>
    </xdr:to>
    <xdr:cxnSp macro="">
      <xdr:nvCxnSpPr>
        <xdr:cNvPr id="303" name="Straight Connector 302"/>
        <xdr:cNvCxnSpPr>
          <a:stCxn id="308" idx="2"/>
          <a:endCxn id="344" idx="2"/>
        </xdr:cNvCxnSpPr>
      </xdr:nvCxnSpPr>
      <xdr:spPr>
        <a:xfrm>
          <a:off x="1263319" y="33142285"/>
          <a:ext cx="2571609" cy="0"/>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190502</xdr:colOff>
      <xdr:row>178</xdr:row>
      <xdr:rowOff>188886</xdr:rowOff>
    </xdr:from>
    <xdr:to>
      <xdr:col>9</xdr:col>
      <xdr:colOff>282605</xdr:colOff>
      <xdr:row>178</xdr:row>
      <xdr:rowOff>188889</xdr:rowOff>
    </xdr:to>
    <xdr:cxnSp macro="">
      <xdr:nvCxnSpPr>
        <xdr:cNvPr id="304" name="Straight Connector 303"/>
        <xdr:cNvCxnSpPr>
          <a:stCxn id="308" idx="0"/>
        </xdr:cNvCxnSpPr>
      </xdr:nvCxnSpPr>
      <xdr:spPr>
        <a:xfrm>
          <a:off x="190502" y="32573886"/>
          <a:ext cx="4721253" cy="3"/>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214587</xdr:colOff>
      <xdr:row>177</xdr:row>
      <xdr:rowOff>189922</xdr:rowOff>
    </xdr:from>
    <xdr:to>
      <xdr:col>9</xdr:col>
      <xdr:colOff>270560</xdr:colOff>
      <xdr:row>177</xdr:row>
      <xdr:rowOff>189922</xdr:rowOff>
    </xdr:to>
    <xdr:cxnSp macro="">
      <xdr:nvCxnSpPr>
        <xdr:cNvPr id="305" name="Straight Connector 304"/>
        <xdr:cNvCxnSpPr/>
      </xdr:nvCxnSpPr>
      <xdr:spPr>
        <a:xfrm>
          <a:off x="214587" y="32384422"/>
          <a:ext cx="4685123"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177</xdr:row>
      <xdr:rowOff>85716</xdr:rowOff>
    </xdr:from>
    <xdr:to>
      <xdr:col>0</xdr:col>
      <xdr:colOff>190500</xdr:colOff>
      <xdr:row>185</xdr:row>
      <xdr:rowOff>77455</xdr:rowOff>
    </xdr:to>
    <xdr:cxnSp macro="">
      <xdr:nvCxnSpPr>
        <xdr:cNvPr id="306" name="Straight Connector 305"/>
        <xdr:cNvCxnSpPr/>
      </xdr:nvCxnSpPr>
      <xdr:spPr>
        <a:xfrm>
          <a:off x="190500" y="32280216"/>
          <a:ext cx="0" cy="1515739"/>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282605</xdr:colOff>
      <xdr:row>177</xdr:row>
      <xdr:rowOff>104662</xdr:rowOff>
    </xdr:from>
    <xdr:to>
      <xdr:col>9</xdr:col>
      <xdr:colOff>282605</xdr:colOff>
      <xdr:row>179</xdr:row>
      <xdr:rowOff>83650</xdr:rowOff>
    </xdr:to>
    <xdr:cxnSp macro="">
      <xdr:nvCxnSpPr>
        <xdr:cNvPr id="307" name="Straight Connector 306"/>
        <xdr:cNvCxnSpPr/>
      </xdr:nvCxnSpPr>
      <xdr:spPr>
        <a:xfrm>
          <a:off x="4911755" y="32299162"/>
          <a:ext cx="0" cy="35998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190502</xdr:colOff>
      <xdr:row>178</xdr:row>
      <xdr:rowOff>188886</xdr:rowOff>
    </xdr:from>
    <xdr:to>
      <xdr:col>2</xdr:col>
      <xdr:colOff>234619</xdr:colOff>
      <xdr:row>181</xdr:row>
      <xdr:rowOff>185785</xdr:rowOff>
    </xdr:to>
    <xdr:sp macro="" textlink="">
      <xdr:nvSpPr>
        <xdr:cNvPr id="308" name="Freeform 307"/>
        <xdr:cNvSpPr/>
      </xdr:nvSpPr>
      <xdr:spPr>
        <a:xfrm flipV="1">
          <a:off x="190502" y="32573886"/>
          <a:ext cx="1072817" cy="568399"/>
        </a:xfrm>
        <a:custGeom>
          <a:avLst/>
          <a:gdLst>
            <a:gd name="connsiteX0" fmla="*/ 0 w 981075"/>
            <a:gd name="connsiteY0" fmla="*/ 390525 h 390525"/>
            <a:gd name="connsiteX1" fmla="*/ 0 w 981075"/>
            <a:gd name="connsiteY1" fmla="*/ 161925 h 390525"/>
            <a:gd name="connsiteX2" fmla="*/ 981075 w 981075"/>
            <a:gd name="connsiteY2" fmla="*/ 0 h 390525"/>
            <a:gd name="connsiteX0" fmla="*/ 0 w 981075"/>
            <a:gd name="connsiteY0" fmla="*/ 390525 h 390525"/>
            <a:gd name="connsiteX1" fmla="*/ 0 w 981075"/>
            <a:gd name="connsiteY1" fmla="*/ 227013 h 390525"/>
            <a:gd name="connsiteX2" fmla="*/ 981075 w 981075"/>
            <a:gd name="connsiteY2" fmla="*/ 0 h 390525"/>
            <a:gd name="connsiteX0" fmla="*/ 0 w 981075"/>
            <a:gd name="connsiteY0" fmla="*/ 390525 h 390525"/>
            <a:gd name="connsiteX1" fmla="*/ 6629 w 981075"/>
            <a:gd name="connsiteY1" fmla="*/ 200978 h 390525"/>
            <a:gd name="connsiteX2" fmla="*/ 981075 w 981075"/>
            <a:gd name="connsiteY2" fmla="*/ 0 h 390525"/>
            <a:gd name="connsiteX0" fmla="*/ 0 w 981075"/>
            <a:gd name="connsiteY0" fmla="*/ 390525 h 390525"/>
            <a:gd name="connsiteX1" fmla="*/ 6629 w 981075"/>
            <a:gd name="connsiteY1" fmla="*/ 200978 h 390525"/>
            <a:gd name="connsiteX2" fmla="*/ 981075 w 981075"/>
            <a:gd name="connsiteY2" fmla="*/ 0 h 390525"/>
            <a:gd name="connsiteX0" fmla="*/ 6629 w 987704"/>
            <a:gd name="connsiteY0" fmla="*/ 390525 h 390525"/>
            <a:gd name="connsiteX1" fmla="*/ 0 w 987704"/>
            <a:gd name="connsiteY1" fmla="*/ 200978 h 390525"/>
            <a:gd name="connsiteX2" fmla="*/ 987704 w 987704"/>
            <a:gd name="connsiteY2" fmla="*/ 0 h 390525"/>
            <a:gd name="connsiteX0" fmla="*/ 0 w 981075"/>
            <a:gd name="connsiteY0" fmla="*/ 390525 h 390525"/>
            <a:gd name="connsiteX1" fmla="*/ 0 w 981075"/>
            <a:gd name="connsiteY1" fmla="*/ 200978 h 390525"/>
            <a:gd name="connsiteX2" fmla="*/ 981075 w 981075"/>
            <a:gd name="connsiteY2" fmla="*/ 0 h 390525"/>
          </a:gdLst>
          <a:ahLst/>
          <a:cxnLst>
            <a:cxn ang="0">
              <a:pos x="connsiteX0" y="connsiteY0"/>
            </a:cxn>
            <a:cxn ang="0">
              <a:pos x="connsiteX1" y="connsiteY1"/>
            </a:cxn>
            <a:cxn ang="0">
              <a:pos x="connsiteX2" y="connsiteY2"/>
            </a:cxn>
          </a:cxnLst>
          <a:rect l="l" t="t" r="r" b="b"/>
          <a:pathLst>
            <a:path w="981075" h="390525">
              <a:moveTo>
                <a:pt x="0" y="390525"/>
              </a:moveTo>
              <a:lnTo>
                <a:pt x="0" y="200978"/>
              </a:lnTo>
              <a:lnTo>
                <a:pt x="981075" y="0"/>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0</xdr:col>
      <xdr:colOff>206700</xdr:colOff>
      <xdr:row>185</xdr:row>
      <xdr:rowOff>2184</xdr:rowOff>
    </xdr:from>
    <xdr:to>
      <xdr:col>2</xdr:col>
      <xdr:colOff>408164</xdr:colOff>
      <xdr:row>185</xdr:row>
      <xdr:rowOff>2184</xdr:rowOff>
    </xdr:to>
    <xdr:cxnSp macro="">
      <xdr:nvCxnSpPr>
        <xdr:cNvPr id="309" name="Straight Connector 308"/>
        <xdr:cNvCxnSpPr/>
      </xdr:nvCxnSpPr>
      <xdr:spPr>
        <a:xfrm>
          <a:off x="206700" y="33720684"/>
          <a:ext cx="1230164"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57724</xdr:colOff>
      <xdr:row>181</xdr:row>
      <xdr:rowOff>185813</xdr:rowOff>
    </xdr:from>
    <xdr:to>
      <xdr:col>10</xdr:col>
      <xdr:colOff>127095</xdr:colOff>
      <xdr:row>181</xdr:row>
      <xdr:rowOff>185813</xdr:rowOff>
    </xdr:to>
    <xdr:cxnSp macro="">
      <xdr:nvCxnSpPr>
        <xdr:cNvPr id="310" name="Straight Connector 309"/>
        <xdr:cNvCxnSpPr/>
      </xdr:nvCxnSpPr>
      <xdr:spPr>
        <a:xfrm>
          <a:off x="4686874" y="33142313"/>
          <a:ext cx="583721"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1250</xdr:colOff>
      <xdr:row>179</xdr:row>
      <xdr:rowOff>7861</xdr:rowOff>
    </xdr:from>
    <xdr:to>
      <xdr:col>10</xdr:col>
      <xdr:colOff>1250</xdr:colOff>
      <xdr:row>180</xdr:row>
      <xdr:rowOff>82615</xdr:rowOff>
    </xdr:to>
    <xdr:cxnSp macro="">
      <xdr:nvCxnSpPr>
        <xdr:cNvPr id="311" name="Straight Connector 310"/>
        <xdr:cNvCxnSpPr/>
      </xdr:nvCxnSpPr>
      <xdr:spPr>
        <a:xfrm flipV="1">
          <a:off x="5144750" y="32583361"/>
          <a:ext cx="0" cy="265254"/>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227721</xdr:colOff>
      <xdr:row>178</xdr:row>
      <xdr:rowOff>188886</xdr:rowOff>
    </xdr:from>
    <xdr:to>
      <xdr:col>10</xdr:col>
      <xdr:colOff>127110</xdr:colOff>
      <xdr:row>178</xdr:row>
      <xdr:rowOff>188886</xdr:rowOff>
    </xdr:to>
    <xdr:cxnSp macro="">
      <xdr:nvCxnSpPr>
        <xdr:cNvPr id="312" name="Straight Connector 311"/>
        <xdr:cNvCxnSpPr/>
      </xdr:nvCxnSpPr>
      <xdr:spPr>
        <a:xfrm>
          <a:off x="4856871" y="32573886"/>
          <a:ext cx="413739"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191588</xdr:colOff>
      <xdr:row>180</xdr:row>
      <xdr:rowOff>82614</xdr:rowOff>
    </xdr:from>
    <xdr:to>
      <xdr:col>10</xdr:col>
      <xdr:colOff>142875</xdr:colOff>
      <xdr:row>180</xdr:row>
      <xdr:rowOff>82614</xdr:rowOff>
    </xdr:to>
    <xdr:cxnSp macro="">
      <xdr:nvCxnSpPr>
        <xdr:cNvPr id="313" name="Straight Connector 312"/>
        <xdr:cNvCxnSpPr/>
      </xdr:nvCxnSpPr>
      <xdr:spPr>
        <a:xfrm>
          <a:off x="4820738" y="32848614"/>
          <a:ext cx="465637"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1250</xdr:colOff>
      <xdr:row>180</xdr:row>
      <xdr:rowOff>101561</xdr:rowOff>
    </xdr:from>
    <xdr:to>
      <xdr:col>10</xdr:col>
      <xdr:colOff>1250</xdr:colOff>
      <xdr:row>181</xdr:row>
      <xdr:rowOff>176315</xdr:rowOff>
    </xdr:to>
    <xdr:cxnSp macro="">
      <xdr:nvCxnSpPr>
        <xdr:cNvPr id="314" name="Straight Connector 313"/>
        <xdr:cNvCxnSpPr/>
      </xdr:nvCxnSpPr>
      <xdr:spPr>
        <a:xfrm flipV="1">
          <a:off x="5144750" y="32867561"/>
          <a:ext cx="0" cy="265254"/>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205024</xdr:colOff>
      <xdr:row>183</xdr:row>
      <xdr:rowOff>4231</xdr:rowOff>
    </xdr:from>
    <xdr:to>
      <xdr:col>2</xdr:col>
      <xdr:colOff>218842</xdr:colOff>
      <xdr:row>183</xdr:row>
      <xdr:rowOff>4231</xdr:rowOff>
    </xdr:to>
    <xdr:cxnSp macro="">
      <xdr:nvCxnSpPr>
        <xdr:cNvPr id="320" name="Straight Connector 319"/>
        <xdr:cNvCxnSpPr/>
      </xdr:nvCxnSpPr>
      <xdr:spPr>
        <a:xfrm>
          <a:off x="205024" y="33341731"/>
          <a:ext cx="1042518"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506489</xdr:colOff>
      <xdr:row>179</xdr:row>
      <xdr:rowOff>54615</xdr:rowOff>
    </xdr:from>
    <xdr:to>
      <xdr:col>5</xdr:col>
      <xdr:colOff>267272</xdr:colOff>
      <xdr:row>180</xdr:row>
      <xdr:rowOff>11943</xdr:rowOff>
    </xdr:to>
    <xdr:sp macro="" textlink="">
      <xdr:nvSpPr>
        <xdr:cNvPr id="323" name="TextBox 322"/>
        <xdr:cNvSpPr txBox="1"/>
      </xdr:nvSpPr>
      <xdr:spPr>
        <a:xfrm>
          <a:off x="2563889" y="32630115"/>
          <a:ext cx="275133" cy="1478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1</a:t>
          </a:r>
        </a:p>
      </xdr:txBody>
    </xdr:sp>
    <xdr:clientData/>
  </xdr:twoCellAnchor>
  <xdr:twoCellAnchor>
    <xdr:from>
      <xdr:col>0</xdr:col>
      <xdr:colOff>190502</xdr:colOff>
      <xdr:row>180</xdr:row>
      <xdr:rowOff>83767</xdr:rowOff>
    </xdr:from>
    <xdr:to>
      <xdr:col>9</xdr:col>
      <xdr:colOff>282605</xdr:colOff>
      <xdr:row>180</xdr:row>
      <xdr:rowOff>83770</xdr:rowOff>
    </xdr:to>
    <xdr:cxnSp macro="">
      <xdr:nvCxnSpPr>
        <xdr:cNvPr id="326" name="Straight Connector 325"/>
        <xdr:cNvCxnSpPr>
          <a:stCxn id="308" idx="1"/>
        </xdr:cNvCxnSpPr>
      </xdr:nvCxnSpPr>
      <xdr:spPr>
        <a:xfrm>
          <a:off x="190502" y="32849767"/>
          <a:ext cx="4721253" cy="3"/>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243124</xdr:colOff>
      <xdr:row>180</xdr:row>
      <xdr:rowOff>92027</xdr:rowOff>
    </xdr:from>
    <xdr:to>
      <xdr:col>7</xdr:col>
      <xdr:colOff>243124</xdr:colOff>
      <xdr:row>181</xdr:row>
      <xdr:rowOff>187966</xdr:rowOff>
    </xdr:to>
    <xdr:cxnSp macro="">
      <xdr:nvCxnSpPr>
        <xdr:cNvPr id="329" name="Straight Connector 328"/>
        <xdr:cNvCxnSpPr/>
      </xdr:nvCxnSpPr>
      <xdr:spPr>
        <a:xfrm>
          <a:off x="3843574" y="36668027"/>
          <a:ext cx="0" cy="286439"/>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412868</xdr:colOff>
      <xdr:row>180</xdr:row>
      <xdr:rowOff>173066</xdr:rowOff>
    </xdr:from>
    <xdr:to>
      <xdr:col>5</xdr:col>
      <xdr:colOff>85725</xdr:colOff>
      <xdr:row>181</xdr:row>
      <xdr:rowOff>133350</xdr:rowOff>
    </xdr:to>
    <xdr:sp macro="" textlink="">
      <xdr:nvSpPr>
        <xdr:cNvPr id="333" name="TextBox 332"/>
        <xdr:cNvSpPr txBox="1"/>
      </xdr:nvSpPr>
      <xdr:spPr>
        <a:xfrm>
          <a:off x="2470268" y="36749066"/>
          <a:ext cx="187207" cy="1507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IN" sz="1100"/>
            <a:t>2a</a:t>
          </a:r>
        </a:p>
      </xdr:txBody>
    </xdr:sp>
    <xdr:clientData/>
  </xdr:twoCellAnchor>
  <xdr:twoCellAnchor>
    <xdr:from>
      <xdr:col>2</xdr:col>
      <xdr:colOff>416053</xdr:colOff>
      <xdr:row>182</xdr:row>
      <xdr:rowOff>2109</xdr:rowOff>
    </xdr:from>
    <xdr:to>
      <xdr:col>7</xdr:col>
      <xdr:colOff>100377</xdr:colOff>
      <xdr:row>185</xdr:row>
      <xdr:rowOff>152390</xdr:rowOff>
    </xdr:to>
    <xdr:sp macro="" textlink="">
      <xdr:nvSpPr>
        <xdr:cNvPr id="334" name="Freeform 333"/>
        <xdr:cNvSpPr/>
      </xdr:nvSpPr>
      <xdr:spPr>
        <a:xfrm>
          <a:off x="1444753" y="33149109"/>
          <a:ext cx="2256074" cy="721781"/>
        </a:xfrm>
        <a:custGeom>
          <a:avLst/>
          <a:gdLst>
            <a:gd name="connsiteX0" fmla="*/ 0 w 381000"/>
            <a:gd name="connsiteY0" fmla="*/ 733425 h 733425"/>
            <a:gd name="connsiteX1" fmla="*/ 0 w 381000"/>
            <a:gd name="connsiteY1" fmla="*/ 0 h 733425"/>
            <a:gd name="connsiteX2" fmla="*/ 381000 w 381000"/>
            <a:gd name="connsiteY2" fmla="*/ 0 h 733425"/>
            <a:gd name="connsiteX3" fmla="*/ 381000 w 381000"/>
            <a:gd name="connsiteY3" fmla="*/ 733425 h 733425"/>
          </a:gdLst>
          <a:ahLst/>
          <a:cxnLst>
            <a:cxn ang="0">
              <a:pos x="connsiteX0" y="connsiteY0"/>
            </a:cxn>
            <a:cxn ang="0">
              <a:pos x="connsiteX1" y="connsiteY1"/>
            </a:cxn>
            <a:cxn ang="0">
              <a:pos x="connsiteX2" y="connsiteY2"/>
            </a:cxn>
            <a:cxn ang="0">
              <a:pos x="connsiteX3" y="connsiteY3"/>
            </a:cxn>
          </a:cxnLst>
          <a:rect l="l" t="t" r="r" b="b"/>
          <a:pathLst>
            <a:path w="381000" h="733425">
              <a:moveTo>
                <a:pt x="0" y="733425"/>
              </a:moveTo>
              <a:lnTo>
                <a:pt x="0" y="0"/>
              </a:lnTo>
              <a:lnTo>
                <a:pt x="381000" y="0"/>
              </a:lnTo>
              <a:lnTo>
                <a:pt x="381000" y="733425"/>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322455</xdr:colOff>
      <xdr:row>180</xdr:row>
      <xdr:rowOff>115776</xdr:rowOff>
    </xdr:from>
    <xdr:to>
      <xdr:col>2</xdr:col>
      <xdr:colOff>28949</xdr:colOff>
      <xdr:row>181</xdr:row>
      <xdr:rowOff>111862</xdr:rowOff>
    </xdr:to>
    <xdr:sp macro="" textlink="">
      <xdr:nvSpPr>
        <xdr:cNvPr id="339" name="TextBox 338"/>
        <xdr:cNvSpPr txBox="1"/>
      </xdr:nvSpPr>
      <xdr:spPr>
        <a:xfrm>
          <a:off x="836805" y="36691776"/>
          <a:ext cx="220844" cy="186586"/>
        </a:xfrm>
        <a:prstGeom prst="rect">
          <a:avLst/>
        </a:prstGeom>
        <a:solidFill>
          <a:schemeClr val="lt1">
            <a:alpha val="12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oAutofit/>
        </a:bodyPr>
        <a:lstStyle/>
        <a:p>
          <a:pPr marL="0" indent="0" algn="ctr"/>
          <a:r>
            <a:rPr lang="en-IN" sz="1100">
              <a:solidFill>
                <a:schemeClr val="dk1"/>
              </a:solidFill>
              <a:latin typeface="+mn-lt"/>
              <a:ea typeface="+mn-ea"/>
              <a:cs typeface="+mn-cs"/>
            </a:rPr>
            <a:t>2b</a:t>
          </a:r>
        </a:p>
      </xdr:txBody>
    </xdr:sp>
    <xdr:clientData/>
  </xdr:twoCellAnchor>
  <xdr:twoCellAnchor>
    <xdr:from>
      <xdr:col>7</xdr:col>
      <xdr:colOff>391376</xdr:colOff>
      <xdr:row>180</xdr:row>
      <xdr:rowOff>115775</xdr:rowOff>
    </xdr:from>
    <xdr:to>
      <xdr:col>8</xdr:col>
      <xdr:colOff>47715</xdr:colOff>
      <xdr:row>181</xdr:row>
      <xdr:rowOff>92764</xdr:rowOff>
    </xdr:to>
    <xdr:sp macro="" textlink="">
      <xdr:nvSpPr>
        <xdr:cNvPr id="343" name="TextBox 342"/>
        <xdr:cNvSpPr txBox="1"/>
      </xdr:nvSpPr>
      <xdr:spPr>
        <a:xfrm>
          <a:off x="3991826" y="36691775"/>
          <a:ext cx="170689" cy="1674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oAutofit/>
        </a:bodyPr>
        <a:lstStyle/>
        <a:p>
          <a:pPr algn="ctr"/>
          <a:r>
            <a:rPr lang="en-IN" sz="1100"/>
            <a:t>2c</a:t>
          </a:r>
        </a:p>
      </xdr:txBody>
    </xdr:sp>
    <xdr:clientData/>
  </xdr:twoCellAnchor>
  <xdr:twoCellAnchor>
    <xdr:from>
      <xdr:col>7</xdr:col>
      <xdr:colOff>234479</xdr:colOff>
      <xdr:row>178</xdr:row>
      <xdr:rowOff>188886</xdr:rowOff>
    </xdr:from>
    <xdr:to>
      <xdr:col>9</xdr:col>
      <xdr:colOff>288503</xdr:colOff>
      <xdr:row>181</xdr:row>
      <xdr:rowOff>185785</xdr:rowOff>
    </xdr:to>
    <xdr:sp macro="" textlink="">
      <xdr:nvSpPr>
        <xdr:cNvPr id="344" name="Freeform 343"/>
        <xdr:cNvSpPr/>
      </xdr:nvSpPr>
      <xdr:spPr>
        <a:xfrm flipH="1" flipV="1">
          <a:off x="3834929" y="32573886"/>
          <a:ext cx="1082724" cy="568399"/>
        </a:xfrm>
        <a:custGeom>
          <a:avLst/>
          <a:gdLst>
            <a:gd name="connsiteX0" fmla="*/ 0 w 981075"/>
            <a:gd name="connsiteY0" fmla="*/ 390525 h 390525"/>
            <a:gd name="connsiteX1" fmla="*/ 0 w 981075"/>
            <a:gd name="connsiteY1" fmla="*/ 161925 h 390525"/>
            <a:gd name="connsiteX2" fmla="*/ 981075 w 981075"/>
            <a:gd name="connsiteY2" fmla="*/ 0 h 390525"/>
            <a:gd name="connsiteX0" fmla="*/ 0 w 981075"/>
            <a:gd name="connsiteY0" fmla="*/ 390525 h 390525"/>
            <a:gd name="connsiteX1" fmla="*/ 0 w 981075"/>
            <a:gd name="connsiteY1" fmla="*/ 227013 h 390525"/>
            <a:gd name="connsiteX2" fmla="*/ 981075 w 981075"/>
            <a:gd name="connsiteY2" fmla="*/ 0 h 390525"/>
            <a:gd name="connsiteX0" fmla="*/ 0 w 981075"/>
            <a:gd name="connsiteY0" fmla="*/ 390525 h 390525"/>
            <a:gd name="connsiteX1" fmla="*/ 6629 w 981075"/>
            <a:gd name="connsiteY1" fmla="*/ 200978 h 390525"/>
            <a:gd name="connsiteX2" fmla="*/ 981075 w 981075"/>
            <a:gd name="connsiteY2" fmla="*/ 0 h 390525"/>
            <a:gd name="connsiteX0" fmla="*/ 0 w 981075"/>
            <a:gd name="connsiteY0" fmla="*/ 390525 h 390525"/>
            <a:gd name="connsiteX1" fmla="*/ 6629 w 981075"/>
            <a:gd name="connsiteY1" fmla="*/ 200978 h 390525"/>
            <a:gd name="connsiteX2" fmla="*/ 981075 w 981075"/>
            <a:gd name="connsiteY2" fmla="*/ 0 h 390525"/>
            <a:gd name="connsiteX0" fmla="*/ 6629 w 987704"/>
            <a:gd name="connsiteY0" fmla="*/ 390525 h 390525"/>
            <a:gd name="connsiteX1" fmla="*/ 0 w 987704"/>
            <a:gd name="connsiteY1" fmla="*/ 200978 h 390525"/>
            <a:gd name="connsiteX2" fmla="*/ 987704 w 987704"/>
            <a:gd name="connsiteY2" fmla="*/ 0 h 390525"/>
            <a:gd name="connsiteX0" fmla="*/ 0 w 981075"/>
            <a:gd name="connsiteY0" fmla="*/ 390525 h 390525"/>
            <a:gd name="connsiteX1" fmla="*/ 0 w 981075"/>
            <a:gd name="connsiteY1" fmla="*/ 200978 h 390525"/>
            <a:gd name="connsiteX2" fmla="*/ 981075 w 981075"/>
            <a:gd name="connsiteY2" fmla="*/ 0 h 390525"/>
          </a:gdLst>
          <a:ahLst/>
          <a:cxnLst>
            <a:cxn ang="0">
              <a:pos x="connsiteX0" y="connsiteY0"/>
            </a:cxn>
            <a:cxn ang="0">
              <a:pos x="connsiteX1" y="connsiteY1"/>
            </a:cxn>
            <a:cxn ang="0">
              <a:pos x="connsiteX2" y="connsiteY2"/>
            </a:cxn>
          </a:cxnLst>
          <a:rect l="l" t="t" r="r" b="b"/>
          <a:pathLst>
            <a:path w="981075" h="390525">
              <a:moveTo>
                <a:pt x="0" y="390525"/>
              </a:moveTo>
              <a:lnTo>
                <a:pt x="0" y="200978"/>
              </a:lnTo>
              <a:lnTo>
                <a:pt x="981075" y="0"/>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400050</xdr:colOff>
      <xdr:row>125</xdr:row>
      <xdr:rowOff>0</xdr:rowOff>
    </xdr:from>
    <xdr:to>
      <xdr:col>3</xdr:col>
      <xdr:colOff>101700</xdr:colOff>
      <xdr:row>125</xdr:row>
      <xdr:rowOff>0</xdr:rowOff>
    </xdr:to>
    <xdr:cxnSp macro="">
      <xdr:nvCxnSpPr>
        <xdr:cNvPr id="346" name="Straight Connector 345"/>
        <xdr:cNvCxnSpPr/>
      </xdr:nvCxnSpPr>
      <xdr:spPr>
        <a:xfrm>
          <a:off x="1428750" y="15544800"/>
          <a:ext cx="2160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125</xdr:row>
      <xdr:rowOff>0</xdr:rowOff>
    </xdr:from>
    <xdr:to>
      <xdr:col>5</xdr:col>
      <xdr:colOff>128175</xdr:colOff>
      <xdr:row>125</xdr:row>
      <xdr:rowOff>0</xdr:rowOff>
    </xdr:to>
    <xdr:cxnSp macro="">
      <xdr:nvCxnSpPr>
        <xdr:cNvPr id="347" name="Straight Connector 346"/>
        <xdr:cNvCxnSpPr/>
      </xdr:nvCxnSpPr>
      <xdr:spPr>
        <a:xfrm>
          <a:off x="2447925" y="20459700"/>
          <a:ext cx="2520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144</xdr:row>
      <xdr:rowOff>9525</xdr:rowOff>
    </xdr:from>
    <xdr:to>
      <xdr:col>6</xdr:col>
      <xdr:colOff>276225</xdr:colOff>
      <xdr:row>147</xdr:row>
      <xdr:rowOff>1</xdr:rowOff>
    </xdr:to>
    <xdr:sp macro="" textlink="">
      <xdr:nvSpPr>
        <xdr:cNvPr id="4" name="Rectangle 3"/>
        <xdr:cNvSpPr/>
      </xdr:nvSpPr>
      <xdr:spPr>
        <a:xfrm>
          <a:off x="771525" y="28013025"/>
          <a:ext cx="2590800" cy="561976"/>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38100</xdr:colOff>
      <xdr:row>147</xdr:row>
      <xdr:rowOff>0</xdr:rowOff>
    </xdr:from>
    <xdr:to>
      <xdr:col>2</xdr:col>
      <xdr:colOff>457200</xdr:colOff>
      <xdr:row>151</xdr:row>
      <xdr:rowOff>0</xdr:rowOff>
    </xdr:to>
    <xdr:sp macro="" textlink="">
      <xdr:nvSpPr>
        <xdr:cNvPr id="349" name="Freeform 348"/>
        <xdr:cNvSpPr/>
      </xdr:nvSpPr>
      <xdr:spPr>
        <a:xfrm>
          <a:off x="1066800" y="28575000"/>
          <a:ext cx="419100" cy="1143000"/>
        </a:xfrm>
        <a:custGeom>
          <a:avLst/>
          <a:gdLst>
            <a:gd name="connsiteX0" fmla="*/ 0 w 361950"/>
            <a:gd name="connsiteY0" fmla="*/ 790575 h 790575"/>
            <a:gd name="connsiteX1" fmla="*/ 0 w 361950"/>
            <a:gd name="connsiteY1" fmla="*/ 0 h 790575"/>
            <a:gd name="connsiteX2" fmla="*/ 361950 w 361950"/>
            <a:gd name="connsiteY2" fmla="*/ 0 h 790575"/>
            <a:gd name="connsiteX3" fmla="*/ 361950 w 361950"/>
            <a:gd name="connsiteY3" fmla="*/ 790575 h 790575"/>
          </a:gdLst>
          <a:ahLst/>
          <a:cxnLst>
            <a:cxn ang="0">
              <a:pos x="connsiteX0" y="connsiteY0"/>
            </a:cxn>
            <a:cxn ang="0">
              <a:pos x="connsiteX1" y="connsiteY1"/>
            </a:cxn>
            <a:cxn ang="0">
              <a:pos x="connsiteX2" y="connsiteY2"/>
            </a:cxn>
            <a:cxn ang="0">
              <a:pos x="connsiteX3" y="connsiteY3"/>
            </a:cxn>
          </a:cxnLst>
          <a:rect l="l" t="t" r="r" b="b"/>
          <a:pathLst>
            <a:path w="361950" h="790575">
              <a:moveTo>
                <a:pt x="0" y="790575"/>
              </a:moveTo>
              <a:lnTo>
                <a:pt x="0" y="0"/>
              </a:lnTo>
              <a:lnTo>
                <a:pt x="361950" y="0"/>
              </a:lnTo>
              <a:lnTo>
                <a:pt x="361950" y="790575"/>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19050</xdr:colOff>
      <xdr:row>147</xdr:row>
      <xdr:rowOff>0</xdr:rowOff>
    </xdr:from>
    <xdr:to>
      <xdr:col>5</xdr:col>
      <xdr:colOff>438150</xdr:colOff>
      <xdr:row>151</xdr:row>
      <xdr:rowOff>0</xdr:rowOff>
    </xdr:to>
    <xdr:sp macro="" textlink="">
      <xdr:nvSpPr>
        <xdr:cNvPr id="351" name="Freeform 350"/>
        <xdr:cNvSpPr/>
      </xdr:nvSpPr>
      <xdr:spPr>
        <a:xfrm>
          <a:off x="2590800" y="28575000"/>
          <a:ext cx="419100" cy="1143000"/>
        </a:xfrm>
        <a:custGeom>
          <a:avLst/>
          <a:gdLst>
            <a:gd name="connsiteX0" fmla="*/ 0 w 361950"/>
            <a:gd name="connsiteY0" fmla="*/ 790575 h 790575"/>
            <a:gd name="connsiteX1" fmla="*/ 0 w 361950"/>
            <a:gd name="connsiteY1" fmla="*/ 0 h 790575"/>
            <a:gd name="connsiteX2" fmla="*/ 361950 w 361950"/>
            <a:gd name="connsiteY2" fmla="*/ 0 h 790575"/>
            <a:gd name="connsiteX3" fmla="*/ 361950 w 361950"/>
            <a:gd name="connsiteY3" fmla="*/ 790575 h 790575"/>
          </a:gdLst>
          <a:ahLst/>
          <a:cxnLst>
            <a:cxn ang="0">
              <a:pos x="connsiteX0" y="connsiteY0"/>
            </a:cxn>
            <a:cxn ang="0">
              <a:pos x="connsiteX1" y="connsiteY1"/>
            </a:cxn>
            <a:cxn ang="0">
              <a:pos x="connsiteX2" y="connsiteY2"/>
            </a:cxn>
            <a:cxn ang="0">
              <a:pos x="connsiteX3" y="connsiteY3"/>
            </a:cxn>
          </a:cxnLst>
          <a:rect l="l" t="t" r="r" b="b"/>
          <a:pathLst>
            <a:path w="361950" h="790575">
              <a:moveTo>
                <a:pt x="0" y="790575"/>
              </a:moveTo>
              <a:lnTo>
                <a:pt x="0" y="0"/>
              </a:lnTo>
              <a:lnTo>
                <a:pt x="361950" y="0"/>
              </a:lnTo>
              <a:lnTo>
                <a:pt x="361950" y="790575"/>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425775</xdr:colOff>
      <xdr:row>185</xdr:row>
      <xdr:rowOff>2184</xdr:rowOff>
    </xdr:from>
    <xdr:to>
      <xdr:col>7</xdr:col>
      <xdr:colOff>95250</xdr:colOff>
      <xdr:row>185</xdr:row>
      <xdr:rowOff>2184</xdr:rowOff>
    </xdr:to>
    <xdr:cxnSp macro="">
      <xdr:nvCxnSpPr>
        <xdr:cNvPr id="377" name="Straight Connector 376"/>
        <xdr:cNvCxnSpPr/>
      </xdr:nvCxnSpPr>
      <xdr:spPr>
        <a:xfrm>
          <a:off x="1454475" y="33720684"/>
          <a:ext cx="2241225"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143</xdr:row>
      <xdr:rowOff>0</xdr:rowOff>
    </xdr:from>
    <xdr:to>
      <xdr:col>6</xdr:col>
      <xdr:colOff>276225</xdr:colOff>
      <xdr:row>143</xdr:row>
      <xdr:rowOff>0</xdr:rowOff>
    </xdr:to>
    <xdr:cxnSp macro="">
      <xdr:nvCxnSpPr>
        <xdr:cNvPr id="393" name="Straight Connector 392"/>
        <xdr:cNvCxnSpPr/>
      </xdr:nvCxnSpPr>
      <xdr:spPr>
        <a:xfrm>
          <a:off x="2333625" y="27813000"/>
          <a:ext cx="10287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143</xdr:row>
      <xdr:rowOff>0</xdr:rowOff>
    </xdr:from>
    <xdr:to>
      <xdr:col>3</xdr:col>
      <xdr:colOff>257175</xdr:colOff>
      <xdr:row>143</xdr:row>
      <xdr:rowOff>0</xdr:rowOff>
    </xdr:to>
    <xdr:cxnSp macro="">
      <xdr:nvCxnSpPr>
        <xdr:cNvPr id="409" name="Straight Connector 408"/>
        <xdr:cNvCxnSpPr/>
      </xdr:nvCxnSpPr>
      <xdr:spPr>
        <a:xfrm>
          <a:off x="771525" y="27813000"/>
          <a:ext cx="10287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155</xdr:row>
      <xdr:rowOff>0</xdr:rowOff>
    </xdr:from>
    <xdr:to>
      <xdr:col>7</xdr:col>
      <xdr:colOff>0</xdr:colOff>
      <xdr:row>171</xdr:row>
      <xdr:rowOff>0</xdr:rowOff>
    </xdr:to>
    <xdr:sp macro="" textlink="">
      <xdr:nvSpPr>
        <xdr:cNvPr id="8" name="Rectangle 7"/>
        <xdr:cNvSpPr/>
      </xdr:nvSpPr>
      <xdr:spPr>
        <a:xfrm>
          <a:off x="2057400" y="35623500"/>
          <a:ext cx="1543050" cy="323850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276225</xdr:colOff>
      <xdr:row>153</xdr:row>
      <xdr:rowOff>84439</xdr:rowOff>
    </xdr:from>
    <xdr:to>
      <xdr:col>5</xdr:col>
      <xdr:colOff>276225</xdr:colOff>
      <xdr:row>172</xdr:row>
      <xdr:rowOff>171450</xdr:rowOff>
    </xdr:to>
    <xdr:cxnSp macro="">
      <xdr:nvCxnSpPr>
        <xdr:cNvPr id="16" name="Straight Connector 15"/>
        <xdr:cNvCxnSpPr/>
      </xdr:nvCxnSpPr>
      <xdr:spPr>
        <a:xfrm>
          <a:off x="2847975" y="35326939"/>
          <a:ext cx="0" cy="4087511"/>
        </a:xfrm>
        <a:prstGeom prst="line">
          <a:avLst/>
        </a:prstGeom>
        <a:ln w="9525">
          <a:solidFill>
            <a:schemeClr val="tx2"/>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153</xdr:row>
      <xdr:rowOff>84439</xdr:rowOff>
    </xdr:from>
    <xdr:to>
      <xdr:col>4</xdr:col>
      <xdr:colOff>352425</xdr:colOff>
      <xdr:row>172</xdr:row>
      <xdr:rowOff>133993</xdr:rowOff>
    </xdr:to>
    <xdr:cxnSp macro="">
      <xdr:nvCxnSpPr>
        <xdr:cNvPr id="231" name="Straight Connector 230"/>
        <xdr:cNvCxnSpPr/>
      </xdr:nvCxnSpPr>
      <xdr:spPr>
        <a:xfrm>
          <a:off x="2409825" y="35326939"/>
          <a:ext cx="0" cy="4050054"/>
        </a:xfrm>
        <a:prstGeom prst="line">
          <a:avLst/>
        </a:prstGeom>
        <a:ln w="9525">
          <a:solidFill>
            <a:schemeClr val="tx2"/>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153</xdr:row>
      <xdr:rowOff>66676</xdr:rowOff>
    </xdr:from>
    <xdr:to>
      <xdr:col>6</xdr:col>
      <xdr:colOff>190500</xdr:colOff>
      <xdr:row>172</xdr:row>
      <xdr:rowOff>142875</xdr:rowOff>
    </xdr:to>
    <xdr:cxnSp macro="">
      <xdr:nvCxnSpPr>
        <xdr:cNvPr id="238" name="Straight Connector 237"/>
        <xdr:cNvCxnSpPr/>
      </xdr:nvCxnSpPr>
      <xdr:spPr>
        <a:xfrm>
          <a:off x="3276600" y="35309176"/>
          <a:ext cx="0" cy="4076699"/>
        </a:xfrm>
        <a:prstGeom prst="line">
          <a:avLst/>
        </a:prstGeom>
        <a:ln w="9525">
          <a:solidFill>
            <a:schemeClr val="tx2"/>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171</xdr:row>
      <xdr:rowOff>0</xdr:rowOff>
    </xdr:from>
    <xdr:to>
      <xdr:col>4</xdr:col>
      <xdr:colOff>0</xdr:colOff>
      <xdr:row>174</xdr:row>
      <xdr:rowOff>133350</xdr:rowOff>
    </xdr:to>
    <xdr:cxnSp macro="">
      <xdr:nvCxnSpPr>
        <xdr:cNvPr id="31" name="Straight Connector 30"/>
        <xdr:cNvCxnSpPr/>
      </xdr:nvCxnSpPr>
      <xdr:spPr>
        <a:xfrm>
          <a:off x="2057400" y="38928675"/>
          <a:ext cx="0" cy="63817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171</xdr:row>
      <xdr:rowOff>0</xdr:rowOff>
    </xdr:from>
    <xdr:to>
      <xdr:col>7</xdr:col>
      <xdr:colOff>0</xdr:colOff>
      <xdr:row>174</xdr:row>
      <xdr:rowOff>133350</xdr:rowOff>
    </xdr:to>
    <xdr:cxnSp macro="">
      <xdr:nvCxnSpPr>
        <xdr:cNvPr id="256" name="Straight Connector 255"/>
        <xdr:cNvCxnSpPr/>
      </xdr:nvCxnSpPr>
      <xdr:spPr>
        <a:xfrm>
          <a:off x="3600450" y="38928675"/>
          <a:ext cx="0" cy="63817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174</xdr:row>
      <xdr:rowOff>0</xdr:rowOff>
    </xdr:from>
    <xdr:to>
      <xdr:col>6</xdr:col>
      <xdr:colOff>504825</xdr:colOff>
      <xdr:row>174</xdr:row>
      <xdr:rowOff>0</xdr:rowOff>
    </xdr:to>
    <xdr:cxnSp macro="">
      <xdr:nvCxnSpPr>
        <xdr:cNvPr id="36" name="Straight Connector 35"/>
        <xdr:cNvCxnSpPr/>
      </xdr:nvCxnSpPr>
      <xdr:spPr>
        <a:xfrm>
          <a:off x="2057400" y="39433500"/>
          <a:ext cx="153352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361950</xdr:colOff>
      <xdr:row>172</xdr:row>
      <xdr:rowOff>0</xdr:rowOff>
    </xdr:from>
    <xdr:to>
      <xdr:col>5</xdr:col>
      <xdr:colOff>257175</xdr:colOff>
      <xdr:row>172</xdr:row>
      <xdr:rowOff>0</xdr:rowOff>
    </xdr:to>
    <xdr:cxnSp macro="">
      <xdr:nvCxnSpPr>
        <xdr:cNvPr id="260" name="Straight Connector 259"/>
        <xdr:cNvCxnSpPr/>
      </xdr:nvCxnSpPr>
      <xdr:spPr>
        <a:xfrm>
          <a:off x="2419350" y="39243000"/>
          <a:ext cx="40957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172</xdr:row>
      <xdr:rowOff>0</xdr:rowOff>
    </xdr:from>
    <xdr:to>
      <xdr:col>6</xdr:col>
      <xdr:colOff>190500</xdr:colOff>
      <xdr:row>172</xdr:row>
      <xdr:rowOff>0</xdr:rowOff>
    </xdr:to>
    <xdr:cxnSp macro="">
      <xdr:nvCxnSpPr>
        <xdr:cNvPr id="267" name="Straight Connector 266"/>
        <xdr:cNvCxnSpPr/>
      </xdr:nvCxnSpPr>
      <xdr:spPr>
        <a:xfrm>
          <a:off x="2867025" y="39243000"/>
          <a:ext cx="40957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155</xdr:row>
      <xdr:rowOff>0</xdr:rowOff>
    </xdr:from>
    <xdr:to>
      <xdr:col>9</xdr:col>
      <xdr:colOff>0</xdr:colOff>
      <xdr:row>171</xdr:row>
      <xdr:rowOff>0</xdr:rowOff>
    </xdr:to>
    <xdr:cxnSp macro="">
      <xdr:nvCxnSpPr>
        <xdr:cNvPr id="273" name="Straight Connector 272"/>
        <xdr:cNvCxnSpPr/>
      </xdr:nvCxnSpPr>
      <xdr:spPr>
        <a:xfrm>
          <a:off x="4629150" y="35633025"/>
          <a:ext cx="0" cy="3419475"/>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360479</xdr:colOff>
      <xdr:row>155</xdr:row>
      <xdr:rowOff>0</xdr:rowOff>
    </xdr:from>
    <xdr:to>
      <xdr:col>9</xdr:col>
      <xdr:colOff>133350</xdr:colOff>
      <xdr:row>155</xdr:row>
      <xdr:rowOff>0</xdr:rowOff>
    </xdr:to>
    <xdr:cxnSp macro="">
      <xdr:nvCxnSpPr>
        <xdr:cNvPr id="274" name="Straight Connector 273"/>
        <xdr:cNvCxnSpPr/>
      </xdr:nvCxnSpPr>
      <xdr:spPr>
        <a:xfrm>
          <a:off x="3446579" y="35623500"/>
          <a:ext cx="1315921"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408104</xdr:colOff>
      <xdr:row>171</xdr:row>
      <xdr:rowOff>0</xdr:rowOff>
    </xdr:from>
    <xdr:to>
      <xdr:col>9</xdr:col>
      <xdr:colOff>180975</xdr:colOff>
      <xdr:row>171</xdr:row>
      <xdr:rowOff>0</xdr:rowOff>
    </xdr:to>
    <xdr:cxnSp macro="">
      <xdr:nvCxnSpPr>
        <xdr:cNvPr id="276" name="Straight Connector 275"/>
        <xdr:cNvCxnSpPr/>
      </xdr:nvCxnSpPr>
      <xdr:spPr>
        <a:xfrm>
          <a:off x="3494204" y="39052500"/>
          <a:ext cx="1315921"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451951</xdr:colOff>
      <xdr:row>190</xdr:row>
      <xdr:rowOff>103011</xdr:rowOff>
    </xdr:from>
    <xdr:to>
      <xdr:col>5</xdr:col>
      <xdr:colOff>343435</xdr:colOff>
      <xdr:row>198</xdr:row>
      <xdr:rowOff>53846</xdr:rowOff>
    </xdr:to>
    <xdr:sp macro="" textlink="">
      <xdr:nvSpPr>
        <xdr:cNvPr id="292" name="Rounded Rectangle 291"/>
        <xdr:cNvSpPr/>
      </xdr:nvSpPr>
      <xdr:spPr>
        <a:xfrm rot="4363">
          <a:off x="2509351" y="49061511"/>
          <a:ext cx="405834" cy="1474835"/>
        </a:xfrm>
        <a:prstGeom prst="roundRect">
          <a:avLst>
            <a:gd name="adj"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410861</xdr:colOff>
      <xdr:row>188</xdr:row>
      <xdr:rowOff>127456</xdr:rowOff>
    </xdr:from>
    <xdr:to>
      <xdr:col>6</xdr:col>
      <xdr:colOff>344186</xdr:colOff>
      <xdr:row>200</xdr:row>
      <xdr:rowOff>79831</xdr:rowOff>
    </xdr:to>
    <xdr:sp macro="" textlink="">
      <xdr:nvSpPr>
        <xdr:cNvPr id="315" name="Rectangle 314"/>
        <xdr:cNvSpPr/>
      </xdr:nvSpPr>
      <xdr:spPr>
        <a:xfrm>
          <a:off x="1953911" y="48704956"/>
          <a:ext cx="1476375" cy="2809875"/>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509555</xdr:colOff>
      <xdr:row>198</xdr:row>
      <xdr:rowOff>20765</xdr:rowOff>
    </xdr:from>
    <xdr:to>
      <xdr:col>4</xdr:col>
      <xdr:colOff>288830</xdr:colOff>
      <xdr:row>199</xdr:row>
      <xdr:rowOff>123890</xdr:rowOff>
    </xdr:to>
    <xdr:sp macro="" textlink="">
      <xdr:nvSpPr>
        <xdr:cNvPr id="360" name="Oval 359"/>
        <xdr:cNvSpPr>
          <a:spLocks noChangeAspect="1"/>
        </xdr:cNvSpPr>
      </xdr:nvSpPr>
      <xdr:spPr>
        <a:xfrm rot="1804363">
          <a:off x="2052605" y="38158865"/>
          <a:ext cx="293625" cy="293625"/>
        </a:xfrm>
        <a:prstGeom prst="ellipse">
          <a:avLst/>
        </a:prstGeom>
        <a:solidFill>
          <a:schemeClr val="accent1">
            <a:alpha val="17000"/>
          </a:schemeClr>
        </a:solidFill>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366799</xdr:colOff>
      <xdr:row>198</xdr:row>
      <xdr:rowOff>32977</xdr:rowOff>
    </xdr:from>
    <xdr:to>
      <xdr:col>6</xdr:col>
      <xdr:colOff>146074</xdr:colOff>
      <xdr:row>199</xdr:row>
      <xdr:rowOff>136102</xdr:rowOff>
    </xdr:to>
    <xdr:sp macro="" textlink="">
      <xdr:nvSpPr>
        <xdr:cNvPr id="362" name="Oval 361"/>
        <xdr:cNvSpPr>
          <a:spLocks noChangeAspect="1"/>
        </xdr:cNvSpPr>
      </xdr:nvSpPr>
      <xdr:spPr>
        <a:xfrm rot="1804363">
          <a:off x="2938549" y="38171077"/>
          <a:ext cx="293625" cy="293625"/>
        </a:xfrm>
        <a:prstGeom prst="ellipse">
          <a:avLst/>
        </a:prstGeom>
        <a:solidFill>
          <a:schemeClr val="accent1">
            <a:alpha val="17000"/>
          </a:schemeClr>
        </a:solidFill>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508292</xdr:colOff>
      <xdr:row>189</xdr:row>
      <xdr:rowOff>126655</xdr:rowOff>
    </xdr:from>
    <xdr:to>
      <xdr:col>4</xdr:col>
      <xdr:colOff>287567</xdr:colOff>
      <xdr:row>191</xdr:row>
      <xdr:rowOff>39280</xdr:rowOff>
    </xdr:to>
    <xdr:sp macro="" textlink="">
      <xdr:nvSpPr>
        <xdr:cNvPr id="365" name="Oval 364"/>
        <xdr:cNvSpPr>
          <a:spLocks noChangeAspect="1"/>
        </xdr:cNvSpPr>
      </xdr:nvSpPr>
      <xdr:spPr>
        <a:xfrm rot="1804363">
          <a:off x="2051342" y="48894655"/>
          <a:ext cx="293625" cy="293625"/>
        </a:xfrm>
        <a:prstGeom prst="ellipse">
          <a:avLst/>
        </a:prstGeom>
        <a:solidFill>
          <a:schemeClr val="accent1">
            <a:alpha val="17000"/>
          </a:schemeClr>
        </a:solidFill>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422686</xdr:colOff>
      <xdr:row>189</xdr:row>
      <xdr:rowOff>138867</xdr:rowOff>
    </xdr:from>
    <xdr:to>
      <xdr:col>6</xdr:col>
      <xdr:colOff>201961</xdr:colOff>
      <xdr:row>191</xdr:row>
      <xdr:rowOff>51492</xdr:rowOff>
    </xdr:to>
    <xdr:sp macro="" textlink="">
      <xdr:nvSpPr>
        <xdr:cNvPr id="366" name="Oval 365"/>
        <xdr:cNvSpPr>
          <a:spLocks noChangeAspect="1"/>
        </xdr:cNvSpPr>
      </xdr:nvSpPr>
      <xdr:spPr>
        <a:xfrm rot="1804363">
          <a:off x="2994436" y="47954367"/>
          <a:ext cx="293625" cy="293625"/>
        </a:xfrm>
        <a:prstGeom prst="ellipse">
          <a:avLst/>
        </a:prstGeom>
        <a:solidFill>
          <a:schemeClr val="accent1">
            <a:alpha val="17000"/>
          </a:schemeClr>
        </a:solidFill>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6</xdr:col>
      <xdr:colOff>194168</xdr:colOff>
      <xdr:row>188</xdr:row>
      <xdr:rowOff>123825</xdr:rowOff>
    </xdr:from>
    <xdr:to>
      <xdr:col>8</xdr:col>
      <xdr:colOff>142875</xdr:colOff>
      <xdr:row>188</xdr:row>
      <xdr:rowOff>123825</xdr:rowOff>
    </xdr:to>
    <xdr:cxnSp macro="">
      <xdr:nvCxnSpPr>
        <xdr:cNvPr id="371" name="Straight Connector 370"/>
        <xdr:cNvCxnSpPr/>
      </xdr:nvCxnSpPr>
      <xdr:spPr>
        <a:xfrm>
          <a:off x="3280268" y="48701325"/>
          <a:ext cx="977407"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150980</xdr:colOff>
      <xdr:row>190</xdr:row>
      <xdr:rowOff>95250</xdr:rowOff>
    </xdr:from>
    <xdr:to>
      <xdr:col>7</xdr:col>
      <xdr:colOff>361950</xdr:colOff>
      <xdr:row>190</xdr:row>
      <xdr:rowOff>95250</xdr:rowOff>
    </xdr:to>
    <xdr:cxnSp macro="">
      <xdr:nvCxnSpPr>
        <xdr:cNvPr id="78" name="Straight Connector 77"/>
        <xdr:cNvCxnSpPr/>
      </xdr:nvCxnSpPr>
      <xdr:spPr>
        <a:xfrm>
          <a:off x="2722730" y="48101250"/>
          <a:ext cx="1239670"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131930</xdr:colOff>
      <xdr:row>198</xdr:row>
      <xdr:rowOff>66675</xdr:rowOff>
    </xdr:from>
    <xdr:to>
      <xdr:col>7</xdr:col>
      <xdr:colOff>409575</xdr:colOff>
      <xdr:row>198</xdr:row>
      <xdr:rowOff>66675</xdr:rowOff>
    </xdr:to>
    <xdr:cxnSp macro="">
      <xdr:nvCxnSpPr>
        <xdr:cNvPr id="385" name="Straight Connector 384"/>
        <xdr:cNvCxnSpPr/>
      </xdr:nvCxnSpPr>
      <xdr:spPr>
        <a:xfrm>
          <a:off x="2703680" y="49596675"/>
          <a:ext cx="130634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257175</xdr:colOff>
      <xdr:row>190</xdr:row>
      <xdr:rowOff>104775</xdr:rowOff>
    </xdr:from>
    <xdr:to>
      <xdr:col>7</xdr:col>
      <xdr:colOff>257175</xdr:colOff>
      <xdr:row>198</xdr:row>
      <xdr:rowOff>38100</xdr:rowOff>
    </xdr:to>
    <xdr:cxnSp macro="">
      <xdr:nvCxnSpPr>
        <xdr:cNvPr id="88" name="Straight Connector 87"/>
        <xdr:cNvCxnSpPr/>
      </xdr:nvCxnSpPr>
      <xdr:spPr>
        <a:xfrm>
          <a:off x="3857625" y="48110775"/>
          <a:ext cx="0" cy="1457325"/>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188</xdr:row>
      <xdr:rowOff>123825</xdr:rowOff>
    </xdr:from>
    <xdr:to>
      <xdr:col>8</xdr:col>
      <xdr:colOff>0</xdr:colOff>
      <xdr:row>200</xdr:row>
      <xdr:rowOff>69825</xdr:rowOff>
    </xdr:to>
    <xdr:cxnSp macro="">
      <xdr:nvCxnSpPr>
        <xdr:cNvPr id="386" name="Straight Connector 385"/>
        <xdr:cNvCxnSpPr/>
      </xdr:nvCxnSpPr>
      <xdr:spPr>
        <a:xfrm>
          <a:off x="4114800" y="47748825"/>
          <a:ext cx="0" cy="223200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150980</xdr:colOff>
      <xdr:row>200</xdr:row>
      <xdr:rowOff>76200</xdr:rowOff>
    </xdr:from>
    <xdr:to>
      <xdr:col>8</xdr:col>
      <xdr:colOff>133350</xdr:colOff>
      <xdr:row>200</xdr:row>
      <xdr:rowOff>76200</xdr:rowOff>
    </xdr:to>
    <xdr:cxnSp macro="">
      <xdr:nvCxnSpPr>
        <xdr:cNvPr id="387" name="Straight Connector 386"/>
        <xdr:cNvCxnSpPr/>
      </xdr:nvCxnSpPr>
      <xdr:spPr>
        <a:xfrm>
          <a:off x="3237080" y="51511200"/>
          <a:ext cx="1011070"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142875</xdr:colOff>
      <xdr:row>187</xdr:row>
      <xdr:rowOff>142875</xdr:rowOff>
    </xdr:from>
    <xdr:to>
      <xdr:col>5</xdr:col>
      <xdr:colOff>142875</xdr:colOff>
      <xdr:row>201</xdr:row>
      <xdr:rowOff>28575</xdr:rowOff>
    </xdr:to>
    <xdr:cxnSp macro="">
      <xdr:nvCxnSpPr>
        <xdr:cNvPr id="95" name="Straight Connector 94"/>
        <xdr:cNvCxnSpPr/>
      </xdr:nvCxnSpPr>
      <xdr:spPr>
        <a:xfrm>
          <a:off x="2714625" y="47577375"/>
          <a:ext cx="0" cy="2552700"/>
        </a:xfrm>
        <a:prstGeom prst="line">
          <a:avLst/>
        </a:prstGeom>
        <a:ln w="9525">
          <a:solidFill>
            <a:schemeClr val="tx2"/>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199</xdr:row>
      <xdr:rowOff>76201</xdr:rowOff>
    </xdr:from>
    <xdr:to>
      <xdr:col>3</xdr:col>
      <xdr:colOff>409575</xdr:colOff>
      <xdr:row>203</xdr:row>
      <xdr:rowOff>95250</xdr:rowOff>
    </xdr:to>
    <xdr:cxnSp macro="">
      <xdr:nvCxnSpPr>
        <xdr:cNvPr id="413" name="Straight Connector 412"/>
        <xdr:cNvCxnSpPr/>
      </xdr:nvCxnSpPr>
      <xdr:spPr>
        <a:xfrm flipV="1">
          <a:off x="1952625" y="50749201"/>
          <a:ext cx="0" cy="590549"/>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342900</xdr:colOff>
      <xdr:row>199</xdr:row>
      <xdr:rowOff>123826</xdr:rowOff>
    </xdr:from>
    <xdr:to>
      <xdr:col>6</xdr:col>
      <xdr:colOff>342900</xdr:colOff>
      <xdr:row>203</xdr:row>
      <xdr:rowOff>142875</xdr:rowOff>
    </xdr:to>
    <xdr:cxnSp macro="">
      <xdr:nvCxnSpPr>
        <xdr:cNvPr id="414" name="Straight Connector 413"/>
        <xdr:cNvCxnSpPr/>
      </xdr:nvCxnSpPr>
      <xdr:spPr>
        <a:xfrm flipV="1">
          <a:off x="3429000" y="50796826"/>
          <a:ext cx="0" cy="590549"/>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203</xdr:row>
      <xdr:rowOff>0</xdr:rowOff>
    </xdr:from>
    <xdr:to>
      <xdr:col>6</xdr:col>
      <xdr:colOff>325575</xdr:colOff>
      <xdr:row>203</xdr:row>
      <xdr:rowOff>0</xdr:rowOff>
    </xdr:to>
    <xdr:cxnSp macro="">
      <xdr:nvCxnSpPr>
        <xdr:cNvPr id="416" name="Straight Connector 415"/>
        <xdr:cNvCxnSpPr/>
      </xdr:nvCxnSpPr>
      <xdr:spPr>
        <a:xfrm>
          <a:off x="1971675" y="51244500"/>
          <a:ext cx="144000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255755</xdr:colOff>
      <xdr:row>191</xdr:row>
      <xdr:rowOff>104775</xdr:rowOff>
    </xdr:from>
    <xdr:to>
      <xdr:col>7</xdr:col>
      <xdr:colOff>95250</xdr:colOff>
      <xdr:row>191</xdr:row>
      <xdr:rowOff>104775</xdr:rowOff>
    </xdr:to>
    <xdr:cxnSp macro="">
      <xdr:nvCxnSpPr>
        <xdr:cNvPr id="418" name="Straight Connector 417"/>
        <xdr:cNvCxnSpPr/>
      </xdr:nvCxnSpPr>
      <xdr:spPr>
        <a:xfrm>
          <a:off x="2827505" y="48301275"/>
          <a:ext cx="86819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191</xdr:row>
      <xdr:rowOff>133350</xdr:rowOff>
    </xdr:from>
    <xdr:to>
      <xdr:col>7</xdr:col>
      <xdr:colOff>0</xdr:colOff>
      <xdr:row>197</xdr:row>
      <xdr:rowOff>34350</xdr:rowOff>
    </xdr:to>
    <xdr:cxnSp macro="">
      <xdr:nvCxnSpPr>
        <xdr:cNvPr id="419" name="Straight Connector 418"/>
        <xdr:cNvCxnSpPr/>
      </xdr:nvCxnSpPr>
      <xdr:spPr>
        <a:xfrm>
          <a:off x="3600450" y="48329850"/>
          <a:ext cx="0" cy="104400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265280</xdr:colOff>
      <xdr:row>197</xdr:row>
      <xdr:rowOff>47625</xdr:rowOff>
    </xdr:from>
    <xdr:to>
      <xdr:col>7</xdr:col>
      <xdr:colOff>104775</xdr:colOff>
      <xdr:row>197</xdr:row>
      <xdr:rowOff>47625</xdr:rowOff>
    </xdr:to>
    <xdr:cxnSp macro="">
      <xdr:nvCxnSpPr>
        <xdr:cNvPr id="420" name="Straight Connector 419"/>
        <xdr:cNvCxnSpPr/>
      </xdr:nvCxnSpPr>
      <xdr:spPr>
        <a:xfrm>
          <a:off x="2837030" y="49387125"/>
          <a:ext cx="86819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419100</xdr:colOff>
      <xdr:row>202</xdr:row>
      <xdr:rowOff>0</xdr:rowOff>
    </xdr:from>
    <xdr:to>
      <xdr:col>4</xdr:col>
      <xdr:colOff>428625</xdr:colOff>
      <xdr:row>202</xdr:row>
      <xdr:rowOff>0</xdr:rowOff>
    </xdr:to>
    <xdr:cxnSp macro="">
      <xdr:nvCxnSpPr>
        <xdr:cNvPr id="422" name="Straight Connector 421"/>
        <xdr:cNvCxnSpPr/>
      </xdr:nvCxnSpPr>
      <xdr:spPr>
        <a:xfrm>
          <a:off x="1962150" y="50292000"/>
          <a:ext cx="52387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447675</xdr:colOff>
      <xdr:row>196</xdr:row>
      <xdr:rowOff>104775</xdr:rowOff>
    </xdr:from>
    <xdr:to>
      <xdr:col>4</xdr:col>
      <xdr:colOff>447675</xdr:colOff>
      <xdr:row>202</xdr:row>
      <xdr:rowOff>95250</xdr:rowOff>
    </xdr:to>
    <xdr:cxnSp macro="">
      <xdr:nvCxnSpPr>
        <xdr:cNvPr id="423" name="Straight Connector 422"/>
        <xdr:cNvCxnSpPr/>
      </xdr:nvCxnSpPr>
      <xdr:spPr>
        <a:xfrm flipV="1">
          <a:off x="2505075" y="49253775"/>
          <a:ext cx="0" cy="113347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196</xdr:row>
      <xdr:rowOff>114300</xdr:rowOff>
    </xdr:from>
    <xdr:to>
      <xdr:col>5</xdr:col>
      <xdr:colOff>342900</xdr:colOff>
      <xdr:row>202</xdr:row>
      <xdr:rowOff>104775</xdr:rowOff>
    </xdr:to>
    <xdr:cxnSp macro="">
      <xdr:nvCxnSpPr>
        <xdr:cNvPr id="424" name="Straight Connector 423"/>
        <xdr:cNvCxnSpPr/>
      </xdr:nvCxnSpPr>
      <xdr:spPr>
        <a:xfrm flipV="1">
          <a:off x="2914650" y="49263300"/>
          <a:ext cx="0" cy="113347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352425</xdr:colOff>
      <xdr:row>202</xdr:row>
      <xdr:rowOff>0</xdr:rowOff>
    </xdr:from>
    <xdr:to>
      <xdr:col>6</xdr:col>
      <xdr:colOff>306075</xdr:colOff>
      <xdr:row>202</xdr:row>
      <xdr:rowOff>0</xdr:rowOff>
    </xdr:to>
    <xdr:cxnSp macro="">
      <xdr:nvCxnSpPr>
        <xdr:cNvPr id="425" name="Straight Connector 424"/>
        <xdr:cNvCxnSpPr/>
      </xdr:nvCxnSpPr>
      <xdr:spPr>
        <a:xfrm>
          <a:off x="2924175" y="50292000"/>
          <a:ext cx="46800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457200</xdr:colOff>
      <xdr:row>202</xdr:row>
      <xdr:rowOff>0</xdr:rowOff>
    </xdr:from>
    <xdr:to>
      <xdr:col>5</xdr:col>
      <xdr:colOff>323850</xdr:colOff>
      <xdr:row>202</xdr:row>
      <xdr:rowOff>0</xdr:rowOff>
    </xdr:to>
    <xdr:cxnSp macro="">
      <xdr:nvCxnSpPr>
        <xdr:cNvPr id="426" name="Straight Connector 425"/>
        <xdr:cNvCxnSpPr/>
      </xdr:nvCxnSpPr>
      <xdr:spPr>
        <a:xfrm>
          <a:off x="2514600" y="50292000"/>
          <a:ext cx="38100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114</xdr:row>
      <xdr:rowOff>142875</xdr:rowOff>
    </xdr:from>
    <xdr:to>
      <xdr:col>4</xdr:col>
      <xdr:colOff>361950</xdr:colOff>
      <xdr:row>116</xdr:row>
      <xdr:rowOff>9225</xdr:rowOff>
    </xdr:to>
    <xdr:grpSp>
      <xdr:nvGrpSpPr>
        <xdr:cNvPr id="194" name="Group 193"/>
        <xdr:cNvGrpSpPr/>
      </xdr:nvGrpSpPr>
      <xdr:grpSpPr>
        <a:xfrm>
          <a:off x="2057400" y="19850100"/>
          <a:ext cx="361950" cy="0"/>
          <a:chOff x="3733800" y="4305300"/>
          <a:chExt cx="361950" cy="209550"/>
        </a:xfrm>
      </xdr:grpSpPr>
      <xdr:sp macro="" textlink="">
        <xdr:nvSpPr>
          <xdr:cNvPr id="195" name="Rectangle 194"/>
          <xdr:cNvSpPr/>
        </xdr:nvSpPr>
        <xdr:spPr>
          <a:xfrm>
            <a:off x="3810000" y="4305300"/>
            <a:ext cx="209550" cy="76200"/>
          </a:xfrm>
          <a:prstGeom prst="rect">
            <a:avLst/>
          </a:pr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tx1"/>
              </a:solidFill>
              <a:latin typeface="+mn-lt"/>
              <a:ea typeface="+mn-ea"/>
              <a:cs typeface="+mn-cs"/>
            </a:endParaRPr>
          </a:p>
        </xdr:txBody>
      </xdr:sp>
      <xdr:sp macro="" textlink="">
        <xdr:nvSpPr>
          <xdr:cNvPr id="196" name="Rectangle 195"/>
          <xdr:cNvSpPr/>
        </xdr:nvSpPr>
        <xdr:spPr>
          <a:xfrm>
            <a:off x="3733800" y="4381499"/>
            <a:ext cx="361950" cy="133351"/>
          </a:xfrm>
          <a:prstGeom prst="rect">
            <a:avLst/>
          </a:pr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tx1"/>
              </a:solidFill>
              <a:latin typeface="+mn-lt"/>
              <a:ea typeface="+mn-ea"/>
              <a:cs typeface="+mn-cs"/>
            </a:endParaRPr>
          </a:p>
        </xdr:txBody>
      </xdr:sp>
    </xdr:grpSp>
    <xdr:clientData/>
  </xdr:twoCellAnchor>
  <xdr:twoCellAnchor>
    <xdr:from>
      <xdr:col>1</xdr:col>
      <xdr:colOff>314325</xdr:colOff>
      <xdr:row>114</xdr:row>
      <xdr:rowOff>180974</xdr:rowOff>
    </xdr:from>
    <xdr:to>
      <xdr:col>2</xdr:col>
      <xdr:colOff>161925</xdr:colOff>
      <xdr:row>115</xdr:row>
      <xdr:rowOff>190199</xdr:rowOff>
    </xdr:to>
    <xdr:grpSp>
      <xdr:nvGrpSpPr>
        <xdr:cNvPr id="197" name="Group 196"/>
        <xdr:cNvGrpSpPr/>
      </xdr:nvGrpSpPr>
      <xdr:grpSpPr>
        <a:xfrm>
          <a:off x="828675" y="19850100"/>
          <a:ext cx="361950" cy="0"/>
          <a:chOff x="3733800" y="4305300"/>
          <a:chExt cx="361950" cy="209550"/>
        </a:xfrm>
      </xdr:grpSpPr>
      <xdr:sp macro="" textlink="">
        <xdr:nvSpPr>
          <xdr:cNvPr id="198" name="Rectangle 197"/>
          <xdr:cNvSpPr/>
        </xdr:nvSpPr>
        <xdr:spPr>
          <a:xfrm>
            <a:off x="3810000" y="4305300"/>
            <a:ext cx="209550" cy="76200"/>
          </a:xfrm>
          <a:prstGeom prst="rect">
            <a:avLst/>
          </a:pr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tx1"/>
              </a:solidFill>
              <a:latin typeface="+mn-lt"/>
              <a:ea typeface="+mn-ea"/>
              <a:cs typeface="+mn-cs"/>
            </a:endParaRPr>
          </a:p>
        </xdr:txBody>
      </xdr:sp>
      <xdr:sp macro="" textlink="">
        <xdr:nvSpPr>
          <xdr:cNvPr id="199" name="Rectangle 198"/>
          <xdr:cNvSpPr/>
        </xdr:nvSpPr>
        <xdr:spPr>
          <a:xfrm>
            <a:off x="3733800" y="4381499"/>
            <a:ext cx="361950" cy="133351"/>
          </a:xfrm>
          <a:prstGeom prst="rect">
            <a:avLst/>
          </a:pr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tx1"/>
              </a:solidFill>
              <a:latin typeface="+mn-lt"/>
              <a:ea typeface="+mn-ea"/>
              <a:cs typeface="+mn-cs"/>
            </a:endParaRPr>
          </a:p>
        </xdr:txBody>
      </xdr:sp>
    </xdr:grpSp>
    <xdr:clientData/>
  </xdr:twoCellAnchor>
  <xdr:twoCellAnchor>
    <xdr:from>
      <xdr:col>1</xdr:col>
      <xdr:colOff>500062</xdr:colOff>
      <xdr:row>112</xdr:row>
      <xdr:rowOff>133350</xdr:rowOff>
    </xdr:from>
    <xdr:to>
      <xdr:col>1</xdr:col>
      <xdr:colOff>500062</xdr:colOff>
      <xdr:row>117</xdr:row>
      <xdr:rowOff>171450</xdr:rowOff>
    </xdr:to>
    <xdr:cxnSp macro="">
      <xdr:nvCxnSpPr>
        <xdr:cNvPr id="209" name="Straight Connector 208"/>
        <xdr:cNvCxnSpPr/>
      </xdr:nvCxnSpPr>
      <xdr:spPr>
        <a:xfrm>
          <a:off x="1014412" y="22269450"/>
          <a:ext cx="0" cy="990600"/>
        </a:xfrm>
        <a:prstGeom prst="line">
          <a:avLst/>
        </a:prstGeom>
        <a:ln w="9525">
          <a:solidFill>
            <a:schemeClr val="tx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209550</xdr:colOff>
      <xdr:row>109</xdr:row>
      <xdr:rowOff>171450</xdr:rowOff>
    </xdr:from>
    <xdr:to>
      <xdr:col>2</xdr:col>
      <xdr:colOff>247650</xdr:colOff>
      <xdr:row>114</xdr:row>
      <xdr:rowOff>180975</xdr:rowOff>
    </xdr:to>
    <xdr:grpSp>
      <xdr:nvGrpSpPr>
        <xdr:cNvPr id="215" name="Group 214"/>
        <xdr:cNvGrpSpPr/>
      </xdr:nvGrpSpPr>
      <xdr:grpSpPr>
        <a:xfrm>
          <a:off x="723900" y="19850100"/>
          <a:ext cx="552450" cy="0"/>
          <a:chOff x="1000124" y="6667500"/>
          <a:chExt cx="1076326" cy="1714500"/>
        </a:xfrm>
      </xdr:grpSpPr>
      <xdr:sp macro="" textlink="">
        <xdr:nvSpPr>
          <xdr:cNvPr id="216" name="Freeform 215"/>
          <xdr:cNvSpPr/>
        </xdr:nvSpPr>
        <xdr:spPr>
          <a:xfrm>
            <a:off x="1000124"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7" name="Freeform 216"/>
          <xdr:cNvSpPr/>
        </xdr:nvSpPr>
        <xdr:spPr>
          <a:xfrm flipH="1">
            <a:off x="1524000"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10</xdr:col>
      <xdr:colOff>285750</xdr:colOff>
      <xdr:row>114</xdr:row>
      <xdr:rowOff>171450</xdr:rowOff>
    </xdr:from>
    <xdr:to>
      <xdr:col>11</xdr:col>
      <xdr:colOff>361950</xdr:colOff>
      <xdr:row>114</xdr:row>
      <xdr:rowOff>171450</xdr:rowOff>
    </xdr:to>
    <xdr:cxnSp macro="">
      <xdr:nvCxnSpPr>
        <xdr:cNvPr id="225" name="Straight Connector 224"/>
        <xdr:cNvCxnSpPr/>
      </xdr:nvCxnSpPr>
      <xdr:spPr>
        <a:xfrm>
          <a:off x="5429250" y="22688550"/>
          <a:ext cx="59055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19050</xdr:colOff>
      <xdr:row>114</xdr:row>
      <xdr:rowOff>152400</xdr:rowOff>
    </xdr:from>
    <xdr:to>
      <xdr:col>10</xdr:col>
      <xdr:colOff>95250</xdr:colOff>
      <xdr:row>114</xdr:row>
      <xdr:rowOff>152400</xdr:rowOff>
    </xdr:to>
    <xdr:cxnSp macro="">
      <xdr:nvCxnSpPr>
        <xdr:cNvPr id="226" name="Straight Connector 225"/>
        <xdr:cNvCxnSpPr/>
      </xdr:nvCxnSpPr>
      <xdr:spPr>
        <a:xfrm>
          <a:off x="4648200" y="22669500"/>
          <a:ext cx="59055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144982</xdr:colOff>
      <xdr:row>114</xdr:row>
      <xdr:rowOff>50853</xdr:rowOff>
    </xdr:from>
    <xdr:to>
      <xdr:col>4</xdr:col>
      <xdr:colOff>16943</xdr:colOff>
      <xdr:row>114</xdr:row>
      <xdr:rowOff>79428</xdr:rowOff>
    </xdr:to>
    <xdr:cxnSp macro="">
      <xdr:nvCxnSpPr>
        <xdr:cNvPr id="6" name="Straight Connector 5"/>
        <xdr:cNvCxnSpPr>
          <a:stCxn id="217" idx="5"/>
          <a:endCxn id="248" idx="5"/>
        </xdr:cNvCxnSpPr>
      </xdr:nvCxnSpPr>
      <xdr:spPr>
        <a:xfrm flipV="1">
          <a:off x="1173682" y="22567953"/>
          <a:ext cx="900661" cy="28575"/>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364057</xdr:colOff>
      <xdr:row>114</xdr:row>
      <xdr:rowOff>31803</xdr:rowOff>
    </xdr:from>
    <xdr:to>
      <xdr:col>6</xdr:col>
      <xdr:colOff>93143</xdr:colOff>
      <xdr:row>114</xdr:row>
      <xdr:rowOff>50853</xdr:rowOff>
    </xdr:to>
    <xdr:cxnSp macro="">
      <xdr:nvCxnSpPr>
        <xdr:cNvPr id="246" name="Straight Connector 245"/>
        <xdr:cNvCxnSpPr>
          <a:stCxn id="250" idx="5"/>
          <a:endCxn id="187" idx="5"/>
        </xdr:cNvCxnSpPr>
      </xdr:nvCxnSpPr>
      <xdr:spPr>
        <a:xfrm flipV="1">
          <a:off x="2421457" y="22548903"/>
          <a:ext cx="757786" cy="19050"/>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109</xdr:row>
      <xdr:rowOff>142875</xdr:rowOff>
    </xdr:from>
    <xdr:to>
      <xdr:col>4</xdr:col>
      <xdr:colOff>466725</xdr:colOff>
      <xdr:row>114</xdr:row>
      <xdr:rowOff>152400</xdr:rowOff>
    </xdr:to>
    <xdr:grpSp>
      <xdr:nvGrpSpPr>
        <xdr:cNvPr id="247" name="Group 246"/>
        <xdr:cNvGrpSpPr/>
      </xdr:nvGrpSpPr>
      <xdr:grpSpPr>
        <a:xfrm>
          <a:off x="1971675" y="19850100"/>
          <a:ext cx="552450" cy="0"/>
          <a:chOff x="1000124" y="6667500"/>
          <a:chExt cx="1076326" cy="1714500"/>
        </a:xfrm>
      </xdr:grpSpPr>
      <xdr:sp macro="" textlink="">
        <xdr:nvSpPr>
          <xdr:cNvPr id="248" name="Freeform 247"/>
          <xdr:cNvSpPr/>
        </xdr:nvSpPr>
        <xdr:spPr>
          <a:xfrm>
            <a:off x="1000124"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0" name="Freeform 249"/>
          <xdr:cNvSpPr/>
        </xdr:nvSpPr>
        <xdr:spPr>
          <a:xfrm flipH="1">
            <a:off x="1524000"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409575</xdr:colOff>
      <xdr:row>109</xdr:row>
      <xdr:rowOff>152400</xdr:rowOff>
    </xdr:from>
    <xdr:to>
      <xdr:col>10</xdr:col>
      <xdr:colOff>447675</xdr:colOff>
      <xdr:row>114</xdr:row>
      <xdr:rowOff>161925</xdr:rowOff>
    </xdr:to>
    <xdr:grpSp>
      <xdr:nvGrpSpPr>
        <xdr:cNvPr id="251" name="Group 250"/>
        <xdr:cNvGrpSpPr/>
      </xdr:nvGrpSpPr>
      <xdr:grpSpPr>
        <a:xfrm>
          <a:off x="5038725" y="19850100"/>
          <a:ext cx="552450" cy="0"/>
          <a:chOff x="1000124" y="6667500"/>
          <a:chExt cx="1076326" cy="1714500"/>
        </a:xfrm>
      </xdr:grpSpPr>
      <xdr:sp macro="" textlink="">
        <xdr:nvSpPr>
          <xdr:cNvPr id="252" name="Freeform 251"/>
          <xdr:cNvSpPr/>
        </xdr:nvSpPr>
        <xdr:spPr>
          <a:xfrm>
            <a:off x="1000124"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3" name="Freeform 252"/>
          <xdr:cNvSpPr/>
        </xdr:nvSpPr>
        <xdr:spPr>
          <a:xfrm flipH="1">
            <a:off x="1524000"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504825</xdr:colOff>
      <xdr:row>109</xdr:row>
      <xdr:rowOff>123825</xdr:rowOff>
    </xdr:from>
    <xdr:to>
      <xdr:col>7</xdr:col>
      <xdr:colOff>28575</xdr:colOff>
      <xdr:row>114</xdr:row>
      <xdr:rowOff>133350</xdr:rowOff>
    </xdr:to>
    <xdr:grpSp>
      <xdr:nvGrpSpPr>
        <xdr:cNvPr id="186" name="Group 185"/>
        <xdr:cNvGrpSpPr/>
      </xdr:nvGrpSpPr>
      <xdr:grpSpPr>
        <a:xfrm>
          <a:off x="3076575" y="19850100"/>
          <a:ext cx="552450" cy="0"/>
          <a:chOff x="1000124" y="6667500"/>
          <a:chExt cx="1076326" cy="1714500"/>
        </a:xfrm>
      </xdr:grpSpPr>
      <xdr:sp macro="" textlink="">
        <xdr:nvSpPr>
          <xdr:cNvPr id="187" name="Freeform 186"/>
          <xdr:cNvSpPr/>
        </xdr:nvSpPr>
        <xdr:spPr>
          <a:xfrm>
            <a:off x="1000124"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8" name="Freeform 187"/>
          <xdr:cNvSpPr/>
        </xdr:nvSpPr>
        <xdr:spPr>
          <a:xfrm flipH="1">
            <a:off x="1524000"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447675</xdr:colOff>
      <xdr:row>109</xdr:row>
      <xdr:rowOff>133350</xdr:rowOff>
    </xdr:from>
    <xdr:to>
      <xdr:col>8</xdr:col>
      <xdr:colOff>485775</xdr:colOff>
      <xdr:row>114</xdr:row>
      <xdr:rowOff>142875</xdr:rowOff>
    </xdr:to>
    <xdr:grpSp>
      <xdr:nvGrpSpPr>
        <xdr:cNvPr id="189" name="Group 188"/>
        <xdr:cNvGrpSpPr/>
      </xdr:nvGrpSpPr>
      <xdr:grpSpPr>
        <a:xfrm>
          <a:off x="4048125" y="19850100"/>
          <a:ext cx="552450" cy="0"/>
          <a:chOff x="1000124" y="6667500"/>
          <a:chExt cx="1076326" cy="1714500"/>
        </a:xfrm>
      </xdr:grpSpPr>
      <xdr:sp macro="" textlink="">
        <xdr:nvSpPr>
          <xdr:cNvPr id="190" name="Freeform 189"/>
          <xdr:cNvSpPr/>
        </xdr:nvSpPr>
        <xdr:spPr>
          <a:xfrm>
            <a:off x="1000124"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1" name="Freeform 190"/>
          <xdr:cNvSpPr/>
        </xdr:nvSpPr>
        <xdr:spPr>
          <a:xfrm flipH="1">
            <a:off x="1524000"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28575</xdr:colOff>
      <xdr:row>109</xdr:row>
      <xdr:rowOff>123825</xdr:rowOff>
    </xdr:from>
    <xdr:to>
      <xdr:col>7</xdr:col>
      <xdr:colOff>447675</xdr:colOff>
      <xdr:row>109</xdr:row>
      <xdr:rowOff>133350</xdr:rowOff>
    </xdr:to>
    <xdr:cxnSp macro="">
      <xdr:nvCxnSpPr>
        <xdr:cNvPr id="204" name="Straight Connector 203"/>
        <xdr:cNvCxnSpPr>
          <a:stCxn id="190" idx="1"/>
          <a:endCxn id="188" idx="1"/>
        </xdr:cNvCxnSpPr>
      </xdr:nvCxnSpPr>
      <xdr:spPr>
        <a:xfrm flipH="1" flipV="1">
          <a:off x="3629025" y="21688425"/>
          <a:ext cx="419100" cy="9525"/>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266700</xdr:colOff>
      <xdr:row>106</xdr:row>
      <xdr:rowOff>180975</xdr:rowOff>
    </xdr:from>
    <xdr:to>
      <xdr:col>6</xdr:col>
      <xdr:colOff>266700</xdr:colOff>
      <xdr:row>116</xdr:row>
      <xdr:rowOff>72887</xdr:rowOff>
    </xdr:to>
    <xdr:cxnSp macro="">
      <xdr:nvCxnSpPr>
        <xdr:cNvPr id="208" name="Straight Connector 207"/>
        <xdr:cNvCxnSpPr/>
      </xdr:nvCxnSpPr>
      <xdr:spPr>
        <a:xfrm>
          <a:off x="3352800" y="21174075"/>
          <a:ext cx="0" cy="1796912"/>
        </a:xfrm>
        <a:prstGeom prst="line">
          <a:avLst/>
        </a:prstGeom>
        <a:ln w="9525">
          <a:solidFill>
            <a:schemeClr val="tx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440257</xdr:colOff>
      <xdr:row>114</xdr:row>
      <xdr:rowOff>31803</xdr:rowOff>
    </xdr:from>
    <xdr:to>
      <xdr:col>8</xdr:col>
      <xdr:colOff>35993</xdr:colOff>
      <xdr:row>114</xdr:row>
      <xdr:rowOff>41328</xdr:rowOff>
    </xdr:to>
    <xdr:cxnSp macro="">
      <xdr:nvCxnSpPr>
        <xdr:cNvPr id="213" name="Straight Connector 212"/>
        <xdr:cNvCxnSpPr>
          <a:stCxn id="188" idx="5"/>
          <a:endCxn id="190" idx="5"/>
        </xdr:cNvCxnSpPr>
      </xdr:nvCxnSpPr>
      <xdr:spPr>
        <a:xfrm>
          <a:off x="3526357" y="22548903"/>
          <a:ext cx="624436" cy="9525"/>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383107</xdr:colOff>
      <xdr:row>114</xdr:row>
      <xdr:rowOff>41328</xdr:rowOff>
    </xdr:from>
    <xdr:to>
      <xdr:col>9</xdr:col>
      <xdr:colOff>512243</xdr:colOff>
      <xdr:row>114</xdr:row>
      <xdr:rowOff>60378</xdr:rowOff>
    </xdr:to>
    <xdr:cxnSp macro="">
      <xdr:nvCxnSpPr>
        <xdr:cNvPr id="214" name="Straight Connector 213"/>
        <xdr:cNvCxnSpPr>
          <a:stCxn id="191" idx="5"/>
          <a:endCxn id="252" idx="5"/>
        </xdr:cNvCxnSpPr>
      </xdr:nvCxnSpPr>
      <xdr:spPr>
        <a:xfrm>
          <a:off x="4497907" y="22558428"/>
          <a:ext cx="643486" cy="19050"/>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114</xdr:row>
      <xdr:rowOff>142874</xdr:rowOff>
    </xdr:from>
    <xdr:to>
      <xdr:col>8</xdr:col>
      <xdr:colOff>390525</xdr:colOff>
      <xdr:row>116</xdr:row>
      <xdr:rowOff>9525</xdr:rowOff>
    </xdr:to>
    <xdr:grpSp>
      <xdr:nvGrpSpPr>
        <xdr:cNvPr id="218" name="Group 217"/>
        <xdr:cNvGrpSpPr/>
      </xdr:nvGrpSpPr>
      <xdr:grpSpPr>
        <a:xfrm>
          <a:off x="4143375" y="19850100"/>
          <a:ext cx="361950" cy="0"/>
          <a:chOff x="3733800" y="4305300"/>
          <a:chExt cx="361950" cy="209550"/>
        </a:xfrm>
      </xdr:grpSpPr>
      <xdr:sp macro="" textlink="">
        <xdr:nvSpPr>
          <xdr:cNvPr id="219" name="Rectangle 218"/>
          <xdr:cNvSpPr/>
        </xdr:nvSpPr>
        <xdr:spPr>
          <a:xfrm>
            <a:off x="3810000" y="4305300"/>
            <a:ext cx="209550" cy="76200"/>
          </a:xfrm>
          <a:prstGeom prst="rect">
            <a:avLst/>
          </a:pr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tx1"/>
              </a:solidFill>
              <a:latin typeface="+mn-lt"/>
              <a:ea typeface="+mn-ea"/>
              <a:cs typeface="+mn-cs"/>
            </a:endParaRPr>
          </a:p>
        </xdr:txBody>
      </xdr:sp>
      <xdr:sp macro="" textlink="">
        <xdr:nvSpPr>
          <xdr:cNvPr id="221" name="Rectangle 220"/>
          <xdr:cNvSpPr/>
        </xdr:nvSpPr>
        <xdr:spPr>
          <a:xfrm>
            <a:off x="3733800" y="4381499"/>
            <a:ext cx="361950" cy="133351"/>
          </a:xfrm>
          <a:prstGeom prst="rect">
            <a:avLst/>
          </a:pr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tx1"/>
              </a:solidFill>
              <a:latin typeface="+mn-lt"/>
              <a:ea typeface="+mn-ea"/>
              <a:cs typeface="+mn-cs"/>
            </a:endParaRPr>
          </a:p>
        </xdr:txBody>
      </xdr:sp>
    </xdr:grpSp>
    <xdr:clientData/>
  </xdr:twoCellAnchor>
  <xdr:twoCellAnchor>
    <xdr:from>
      <xdr:col>6</xdr:col>
      <xdr:colOff>85725</xdr:colOff>
      <xdr:row>114</xdr:row>
      <xdr:rowOff>133349</xdr:rowOff>
    </xdr:from>
    <xdr:to>
      <xdr:col>6</xdr:col>
      <xdr:colOff>447675</xdr:colOff>
      <xdr:row>116</xdr:row>
      <xdr:rowOff>9525</xdr:rowOff>
    </xdr:to>
    <xdr:grpSp>
      <xdr:nvGrpSpPr>
        <xdr:cNvPr id="222" name="Group 221"/>
        <xdr:cNvGrpSpPr/>
      </xdr:nvGrpSpPr>
      <xdr:grpSpPr>
        <a:xfrm>
          <a:off x="3171825" y="19850100"/>
          <a:ext cx="361950" cy="0"/>
          <a:chOff x="3733800" y="4305300"/>
          <a:chExt cx="361950" cy="209550"/>
        </a:xfrm>
      </xdr:grpSpPr>
      <xdr:sp macro="" textlink="">
        <xdr:nvSpPr>
          <xdr:cNvPr id="223" name="Rectangle 222"/>
          <xdr:cNvSpPr/>
        </xdr:nvSpPr>
        <xdr:spPr>
          <a:xfrm>
            <a:off x="3810000" y="4305300"/>
            <a:ext cx="209550" cy="76200"/>
          </a:xfrm>
          <a:prstGeom prst="rect">
            <a:avLst/>
          </a:pr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tx1"/>
              </a:solidFill>
              <a:latin typeface="+mn-lt"/>
              <a:ea typeface="+mn-ea"/>
              <a:cs typeface="+mn-cs"/>
            </a:endParaRPr>
          </a:p>
        </xdr:txBody>
      </xdr:sp>
      <xdr:sp macro="" textlink="">
        <xdr:nvSpPr>
          <xdr:cNvPr id="224" name="Rectangle 223"/>
          <xdr:cNvSpPr/>
        </xdr:nvSpPr>
        <xdr:spPr>
          <a:xfrm>
            <a:off x="3733800" y="4381499"/>
            <a:ext cx="361950" cy="133351"/>
          </a:xfrm>
          <a:prstGeom prst="rect">
            <a:avLst/>
          </a:pr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tx1"/>
              </a:solidFill>
              <a:latin typeface="+mn-lt"/>
              <a:ea typeface="+mn-ea"/>
              <a:cs typeface="+mn-cs"/>
            </a:endParaRPr>
          </a:p>
        </xdr:txBody>
      </xdr:sp>
    </xdr:grpSp>
    <xdr:clientData/>
  </xdr:twoCellAnchor>
  <xdr:twoCellAnchor>
    <xdr:from>
      <xdr:col>2</xdr:col>
      <xdr:colOff>100593</xdr:colOff>
      <xdr:row>105</xdr:row>
      <xdr:rowOff>123825</xdr:rowOff>
    </xdr:from>
    <xdr:to>
      <xdr:col>2</xdr:col>
      <xdr:colOff>310143</xdr:colOff>
      <xdr:row>108</xdr:row>
      <xdr:rowOff>180975</xdr:rowOff>
    </xdr:to>
    <xdr:sp macro="" textlink="">
      <xdr:nvSpPr>
        <xdr:cNvPr id="254" name="Freeform 253"/>
        <xdr:cNvSpPr/>
      </xdr:nvSpPr>
      <xdr:spPr>
        <a:xfrm>
          <a:off x="1129293" y="21116925"/>
          <a:ext cx="209550" cy="628650"/>
        </a:xfrm>
        <a:custGeom>
          <a:avLst/>
          <a:gdLst>
            <a:gd name="connsiteX0" fmla="*/ 0 w 390525"/>
            <a:gd name="connsiteY0" fmla="*/ 628650 h 704850"/>
            <a:gd name="connsiteX1" fmla="*/ 0 w 390525"/>
            <a:gd name="connsiteY1" fmla="*/ 0 h 704850"/>
            <a:gd name="connsiteX2" fmla="*/ 209550 w 390525"/>
            <a:gd name="connsiteY2" fmla="*/ 0 h 704850"/>
            <a:gd name="connsiteX3" fmla="*/ 209550 w 390525"/>
            <a:gd name="connsiteY3" fmla="*/ 304800 h 704850"/>
            <a:gd name="connsiteX4" fmla="*/ 390525 w 390525"/>
            <a:gd name="connsiteY4" fmla="*/ 485775 h 704850"/>
            <a:gd name="connsiteX5" fmla="*/ 390525 w 390525"/>
            <a:gd name="connsiteY5" fmla="*/ 704850 h 704850"/>
            <a:gd name="connsiteX0" fmla="*/ 0 w 400050"/>
            <a:gd name="connsiteY0" fmla="*/ 742950 h 742950"/>
            <a:gd name="connsiteX1" fmla="*/ 9525 w 400050"/>
            <a:gd name="connsiteY1" fmla="*/ 0 h 742950"/>
            <a:gd name="connsiteX2" fmla="*/ 219075 w 400050"/>
            <a:gd name="connsiteY2" fmla="*/ 0 h 742950"/>
            <a:gd name="connsiteX3" fmla="*/ 219075 w 400050"/>
            <a:gd name="connsiteY3" fmla="*/ 304800 h 742950"/>
            <a:gd name="connsiteX4" fmla="*/ 400050 w 400050"/>
            <a:gd name="connsiteY4" fmla="*/ 485775 h 742950"/>
            <a:gd name="connsiteX5" fmla="*/ 400050 w 400050"/>
            <a:gd name="connsiteY5" fmla="*/ 704850 h 7429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00050" h="742950">
              <a:moveTo>
                <a:pt x="0" y="742950"/>
              </a:moveTo>
              <a:lnTo>
                <a:pt x="9525" y="0"/>
              </a:lnTo>
              <a:lnTo>
                <a:pt x="219075" y="0"/>
              </a:lnTo>
              <a:lnTo>
                <a:pt x="219075" y="304800"/>
              </a:lnTo>
              <a:lnTo>
                <a:pt x="400050" y="485775"/>
              </a:lnTo>
              <a:lnTo>
                <a:pt x="400050" y="704850"/>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0</xdr:col>
      <xdr:colOff>392326</xdr:colOff>
      <xdr:row>108</xdr:row>
      <xdr:rowOff>54435</xdr:rowOff>
    </xdr:from>
    <xdr:to>
      <xdr:col>1</xdr:col>
      <xdr:colOff>181688</xdr:colOff>
      <xdr:row>108</xdr:row>
      <xdr:rowOff>173295</xdr:rowOff>
    </xdr:to>
    <xdr:sp macro="" textlink="">
      <xdr:nvSpPr>
        <xdr:cNvPr id="255" name="Freeform 254"/>
        <xdr:cNvSpPr/>
      </xdr:nvSpPr>
      <xdr:spPr>
        <a:xfrm rot="360000" flipH="1">
          <a:off x="392326" y="21634275"/>
          <a:ext cx="303712" cy="118860"/>
        </a:xfrm>
        <a:custGeom>
          <a:avLst/>
          <a:gdLst>
            <a:gd name="connsiteX0" fmla="*/ 0 w 504825"/>
            <a:gd name="connsiteY0" fmla="*/ 114300 h 114300"/>
            <a:gd name="connsiteX1" fmla="*/ 47625 w 504825"/>
            <a:gd name="connsiteY1" fmla="*/ 0 h 114300"/>
            <a:gd name="connsiteX2" fmla="*/ 504825 w 504825"/>
            <a:gd name="connsiteY2" fmla="*/ 28575 h 114300"/>
            <a:gd name="connsiteX0" fmla="*/ 0 w 476250"/>
            <a:gd name="connsiteY0" fmla="*/ 114300 h 114300"/>
            <a:gd name="connsiteX1" fmla="*/ 47625 w 476250"/>
            <a:gd name="connsiteY1" fmla="*/ 0 h 114300"/>
            <a:gd name="connsiteX2" fmla="*/ 476250 w 476250"/>
            <a:gd name="connsiteY2" fmla="*/ 28575 h 114300"/>
            <a:gd name="connsiteX0" fmla="*/ 0 w 485775"/>
            <a:gd name="connsiteY0" fmla="*/ 114300 h 114300"/>
            <a:gd name="connsiteX1" fmla="*/ 47625 w 485775"/>
            <a:gd name="connsiteY1" fmla="*/ 0 h 114300"/>
            <a:gd name="connsiteX2" fmla="*/ 485775 w 485775"/>
            <a:gd name="connsiteY2" fmla="*/ 47625 h 114300"/>
            <a:gd name="connsiteX0" fmla="*/ 0 w 485775"/>
            <a:gd name="connsiteY0" fmla="*/ 104775 h 104775"/>
            <a:gd name="connsiteX1" fmla="*/ 47625 w 485775"/>
            <a:gd name="connsiteY1" fmla="*/ 0 h 104775"/>
            <a:gd name="connsiteX2" fmla="*/ 485775 w 485775"/>
            <a:gd name="connsiteY2" fmla="*/ 38100 h 104775"/>
            <a:gd name="connsiteX0" fmla="*/ 0 w 485775"/>
            <a:gd name="connsiteY0" fmla="*/ 85725 h 85725"/>
            <a:gd name="connsiteX1" fmla="*/ 57150 w 485775"/>
            <a:gd name="connsiteY1" fmla="*/ 0 h 85725"/>
            <a:gd name="connsiteX2" fmla="*/ 485775 w 485775"/>
            <a:gd name="connsiteY2" fmla="*/ 19050 h 85725"/>
          </a:gdLst>
          <a:ahLst/>
          <a:cxnLst>
            <a:cxn ang="0">
              <a:pos x="connsiteX0" y="connsiteY0"/>
            </a:cxn>
            <a:cxn ang="0">
              <a:pos x="connsiteX1" y="connsiteY1"/>
            </a:cxn>
            <a:cxn ang="0">
              <a:pos x="connsiteX2" y="connsiteY2"/>
            </a:cxn>
          </a:cxnLst>
          <a:rect l="l" t="t" r="r" b="b"/>
          <a:pathLst>
            <a:path w="485775" h="85725">
              <a:moveTo>
                <a:pt x="0" y="85725"/>
              </a:moveTo>
              <a:lnTo>
                <a:pt x="57150" y="0"/>
              </a:lnTo>
              <a:lnTo>
                <a:pt x="485775" y="19050"/>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0</xdr:col>
      <xdr:colOff>390525</xdr:colOff>
      <xdr:row>106</xdr:row>
      <xdr:rowOff>30480</xdr:rowOff>
    </xdr:from>
    <xdr:to>
      <xdr:col>1</xdr:col>
      <xdr:colOff>17145</xdr:colOff>
      <xdr:row>109</xdr:row>
      <xdr:rowOff>1905</xdr:rowOff>
    </xdr:to>
    <xdr:sp macro="" textlink="">
      <xdr:nvSpPr>
        <xdr:cNvPr id="39" name="Rectangle 38"/>
        <xdr:cNvSpPr/>
      </xdr:nvSpPr>
      <xdr:spPr>
        <a:xfrm>
          <a:off x="390525" y="21229320"/>
          <a:ext cx="140970" cy="542925"/>
        </a:xfrm>
        <a:custGeom>
          <a:avLst/>
          <a:gdLst>
            <a:gd name="connsiteX0" fmla="*/ 0 w 495300"/>
            <a:gd name="connsiteY0" fmla="*/ 0 h 542925"/>
            <a:gd name="connsiteX1" fmla="*/ 495300 w 495300"/>
            <a:gd name="connsiteY1" fmla="*/ 0 h 542925"/>
            <a:gd name="connsiteX2" fmla="*/ 495300 w 495300"/>
            <a:gd name="connsiteY2" fmla="*/ 542925 h 542925"/>
            <a:gd name="connsiteX3" fmla="*/ 0 w 495300"/>
            <a:gd name="connsiteY3" fmla="*/ 542925 h 542925"/>
            <a:gd name="connsiteX4" fmla="*/ 0 w 495300"/>
            <a:gd name="connsiteY4" fmla="*/ 0 h 542925"/>
            <a:gd name="connsiteX0" fmla="*/ 0 w 495300"/>
            <a:gd name="connsiteY0" fmla="*/ 0 h 542925"/>
            <a:gd name="connsiteX1" fmla="*/ 495300 w 495300"/>
            <a:gd name="connsiteY1" fmla="*/ 0 h 542925"/>
            <a:gd name="connsiteX2" fmla="*/ 495300 w 495300"/>
            <a:gd name="connsiteY2" fmla="*/ 542925 h 542925"/>
            <a:gd name="connsiteX3" fmla="*/ 247650 w 495300"/>
            <a:gd name="connsiteY3" fmla="*/ 533400 h 542925"/>
            <a:gd name="connsiteX4" fmla="*/ 0 w 495300"/>
            <a:gd name="connsiteY4" fmla="*/ 542925 h 542925"/>
            <a:gd name="connsiteX5" fmla="*/ 0 w 495300"/>
            <a:gd name="connsiteY5" fmla="*/ 0 h 542925"/>
            <a:gd name="connsiteX0" fmla="*/ 247650 w 495300"/>
            <a:gd name="connsiteY0" fmla="*/ 533400 h 624840"/>
            <a:gd name="connsiteX1" fmla="*/ 0 w 495300"/>
            <a:gd name="connsiteY1" fmla="*/ 542925 h 624840"/>
            <a:gd name="connsiteX2" fmla="*/ 0 w 495300"/>
            <a:gd name="connsiteY2" fmla="*/ 0 h 624840"/>
            <a:gd name="connsiteX3" fmla="*/ 495300 w 495300"/>
            <a:gd name="connsiteY3" fmla="*/ 0 h 624840"/>
            <a:gd name="connsiteX4" fmla="*/ 495300 w 495300"/>
            <a:gd name="connsiteY4" fmla="*/ 542925 h 624840"/>
            <a:gd name="connsiteX5" fmla="*/ 339090 w 495300"/>
            <a:gd name="connsiteY5" fmla="*/ 624840 h 624840"/>
            <a:gd name="connsiteX0" fmla="*/ 247650 w 495300"/>
            <a:gd name="connsiteY0" fmla="*/ 533400 h 542925"/>
            <a:gd name="connsiteX1" fmla="*/ 0 w 495300"/>
            <a:gd name="connsiteY1" fmla="*/ 542925 h 542925"/>
            <a:gd name="connsiteX2" fmla="*/ 0 w 495300"/>
            <a:gd name="connsiteY2" fmla="*/ 0 h 542925"/>
            <a:gd name="connsiteX3" fmla="*/ 495300 w 495300"/>
            <a:gd name="connsiteY3" fmla="*/ 0 h 542925"/>
            <a:gd name="connsiteX4" fmla="*/ 495300 w 495300"/>
            <a:gd name="connsiteY4" fmla="*/ 542925 h 542925"/>
            <a:gd name="connsiteX0" fmla="*/ 0 w 495300"/>
            <a:gd name="connsiteY0" fmla="*/ 542925 h 542925"/>
            <a:gd name="connsiteX1" fmla="*/ 0 w 495300"/>
            <a:gd name="connsiteY1" fmla="*/ 0 h 542925"/>
            <a:gd name="connsiteX2" fmla="*/ 495300 w 495300"/>
            <a:gd name="connsiteY2" fmla="*/ 0 h 542925"/>
            <a:gd name="connsiteX3" fmla="*/ 495300 w 495300"/>
            <a:gd name="connsiteY3" fmla="*/ 542925 h 542925"/>
            <a:gd name="connsiteX0" fmla="*/ 0 w 509451"/>
            <a:gd name="connsiteY0" fmla="*/ 542925 h 542925"/>
            <a:gd name="connsiteX1" fmla="*/ 0 w 509451"/>
            <a:gd name="connsiteY1" fmla="*/ 0 h 542925"/>
            <a:gd name="connsiteX2" fmla="*/ 495300 w 509451"/>
            <a:gd name="connsiteY2" fmla="*/ 0 h 542925"/>
            <a:gd name="connsiteX3" fmla="*/ 509451 w 509451"/>
            <a:gd name="connsiteY3" fmla="*/ 424815 h 542925"/>
            <a:gd name="connsiteX0" fmla="*/ 0 w 537754"/>
            <a:gd name="connsiteY0" fmla="*/ 542925 h 542925"/>
            <a:gd name="connsiteX1" fmla="*/ 0 w 537754"/>
            <a:gd name="connsiteY1" fmla="*/ 0 h 542925"/>
            <a:gd name="connsiteX2" fmla="*/ 495300 w 537754"/>
            <a:gd name="connsiteY2" fmla="*/ 0 h 542925"/>
            <a:gd name="connsiteX3" fmla="*/ 537754 w 537754"/>
            <a:gd name="connsiteY3" fmla="*/ 413385 h 542925"/>
            <a:gd name="connsiteX0" fmla="*/ 0 w 523603"/>
            <a:gd name="connsiteY0" fmla="*/ 542925 h 542925"/>
            <a:gd name="connsiteX1" fmla="*/ 0 w 523603"/>
            <a:gd name="connsiteY1" fmla="*/ 0 h 542925"/>
            <a:gd name="connsiteX2" fmla="*/ 495300 w 523603"/>
            <a:gd name="connsiteY2" fmla="*/ 0 h 542925"/>
            <a:gd name="connsiteX3" fmla="*/ 523603 w 523603"/>
            <a:gd name="connsiteY3" fmla="*/ 405765 h 542925"/>
          </a:gdLst>
          <a:ahLst/>
          <a:cxnLst>
            <a:cxn ang="0">
              <a:pos x="connsiteX0" y="connsiteY0"/>
            </a:cxn>
            <a:cxn ang="0">
              <a:pos x="connsiteX1" y="connsiteY1"/>
            </a:cxn>
            <a:cxn ang="0">
              <a:pos x="connsiteX2" y="connsiteY2"/>
            </a:cxn>
            <a:cxn ang="0">
              <a:pos x="connsiteX3" y="connsiteY3"/>
            </a:cxn>
          </a:cxnLst>
          <a:rect l="l" t="t" r="r" b="b"/>
          <a:pathLst>
            <a:path w="523603" h="542925">
              <a:moveTo>
                <a:pt x="0" y="542925"/>
              </a:moveTo>
              <a:lnTo>
                <a:pt x="0" y="0"/>
              </a:lnTo>
              <a:lnTo>
                <a:pt x="495300" y="0"/>
              </a:lnTo>
              <a:lnTo>
                <a:pt x="523603" y="405765"/>
              </a:lnTo>
            </a:path>
          </a:pathLst>
        </a:cu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9</xdr:col>
      <xdr:colOff>318971</xdr:colOff>
      <xdr:row>105</xdr:row>
      <xdr:rowOff>128704</xdr:rowOff>
    </xdr:from>
    <xdr:to>
      <xdr:col>10</xdr:col>
      <xdr:colOff>14171</xdr:colOff>
      <xdr:row>108</xdr:row>
      <xdr:rowOff>185854</xdr:rowOff>
    </xdr:to>
    <xdr:sp macro="" textlink="">
      <xdr:nvSpPr>
        <xdr:cNvPr id="257" name="Freeform 256"/>
        <xdr:cNvSpPr/>
      </xdr:nvSpPr>
      <xdr:spPr>
        <a:xfrm flipH="1">
          <a:off x="4948121" y="21121804"/>
          <a:ext cx="209550" cy="628650"/>
        </a:xfrm>
        <a:custGeom>
          <a:avLst/>
          <a:gdLst>
            <a:gd name="connsiteX0" fmla="*/ 0 w 390525"/>
            <a:gd name="connsiteY0" fmla="*/ 628650 h 704850"/>
            <a:gd name="connsiteX1" fmla="*/ 0 w 390525"/>
            <a:gd name="connsiteY1" fmla="*/ 0 h 704850"/>
            <a:gd name="connsiteX2" fmla="*/ 209550 w 390525"/>
            <a:gd name="connsiteY2" fmla="*/ 0 h 704850"/>
            <a:gd name="connsiteX3" fmla="*/ 209550 w 390525"/>
            <a:gd name="connsiteY3" fmla="*/ 304800 h 704850"/>
            <a:gd name="connsiteX4" fmla="*/ 390525 w 390525"/>
            <a:gd name="connsiteY4" fmla="*/ 485775 h 704850"/>
            <a:gd name="connsiteX5" fmla="*/ 390525 w 390525"/>
            <a:gd name="connsiteY5" fmla="*/ 704850 h 704850"/>
            <a:gd name="connsiteX0" fmla="*/ 0 w 400050"/>
            <a:gd name="connsiteY0" fmla="*/ 742950 h 742950"/>
            <a:gd name="connsiteX1" fmla="*/ 9525 w 400050"/>
            <a:gd name="connsiteY1" fmla="*/ 0 h 742950"/>
            <a:gd name="connsiteX2" fmla="*/ 219075 w 400050"/>
            <a:gd name="connsiteY2" fmla="*/ 0 h 742950"/>
            <a:gd name="connsiteX3" fmla="*/ 219075 w 400050"/>
            <a:gd name="connsiteY3" fmla="*/ 304800 h 742950"/>
            <a:gd name="connsiteX4" fmla="*/ 400050 w 400050"/>
            <a:gd name="connsiteY4" fmla="*/ 485775 h 742950"/>
            <a:gd name="connsiteX5" fmla="*/ 400050 w 400050"/>
            <a:gd name="connsiteY5" fmla="*/ 704850 h 7429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00050" h="742950">
              <a:moveTo>
                <a:pt x="0" y="742950"/>
              </a:moveTo>
              <a:lnTo>
                <a:pt x="9525" y="0"/>
              </a:lnTo>
              <a:lnTo>
                <a:pt x="219075" y="0"/>
              </a:lnTo>
              <a:lnTo>
                <a:pt x="219075" y="304800"/>
              </a:lnTo>
              <a:lnTo>
                <a:pt x="400050" y="485775"/>
              </a:lnTo>
              <a:lnTo>
                <a:pt x="400050" y="704850"/>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11</xdr:col>
      <xdr:colOff>19046</xdr:colOff>
      <xdr:row>106</xdr:row>
      <xdr:rowOff>40005</xdr:rowOff>
    </xdr:from>
    <xdr:to>
      <xdr:col>11</xdr:col>
      <xdr:colOff>324559</xdr:colOff>
      <xdr:row>109</xdr:row>
      <xdr:rowOff>11430</xdr:rowOff>
    </xdr:to>
    <xdr:grpSp>
      <xdr:nvGrpSpPr>
        <xdr:cNvPr id="61" name="Group 60"/>
        <xdr:cNvGrpSpPr/>
      </xdr:nvGrpSpPr>
      <xdr:grpSpPr>
        <a:xfrm flipH="1">
          <a:off x="5676896" y="19850100"/>
          <a:ext cx="305513" cy="0"/>
          <a:chOff x="6153149" y="20985480"/>
          <a:chExt cx="305513" cy="542925"/>
        </a:xfrm>
      </xdr:grpSpPr>
      <xdr:sp macro="" textlink="">
        <xdr:nvSpPr>
          <xdr:cNvPr id="258" name="Freeform 257"/>
          <xdr:cNvSpPr/>
        </xdr:nvSpPr>
        <xdr:spPr>
          <a:xfrm rot="360000" flipH="1">
            <a:off x="6154950" y="21390435"/>
            <a:ext cx="303712" cy="118860"/>
          </a:xfrm>
          <a:custGeom>
            <a:avLst/>
            <a:gdLst>
              <a:gd name="connsiteX0" fmla="*/ 0 w 504825"/>
              <a:gd name="connsiteY0" fmla="*/ 114300 h 114300"/>
              <a:gd name="connsiteX1" fmla="*/ 47625 w 504825"/>
              <a:gd name="connsiteY1" fmla="*/ 0 h 114300"/>
              <a:gd name="connsiteX2" fmla="*/ 504825 w 504825"/>
              <a:gd name="connsiteY2" fmla="*/ 28575 h 114300"/>
              <a:gd name="connsiteX0" fmla="*/ 0 w 476250"/>
              <a:gd name="connsiteY0" fmla="*/ 114300 h 114300"/>
              <a:gd name="connsiteX1" fmla="*/ 47625 w 476250"/>
              <a:gd name="connsiteY1" fmla="*/ 0 h 114300"/>
              <a:gd name="connsiteX2" fmla="*/ 476250 w 476250"/>
              <a:gd name="connsiteY2" fmla="*/ 28575 h 114300"/>
              <a:gd name="connsiteX0" fmla="*/ 0 w 485775"/>
              <a:gd name="connsiteY0" fmla="*/ 114300 h 114300"/>
              <a:gd name="connsiteX1" fmla="*/ 47625 w 485775"/>
              <a:gd name="connsiteY1" fmla="*/ 0 h 114300"/>
              <a:gd name="connsiteX2" fmla="*/ 485775 w 485775"/>
              <a:gd name="connsiteY2" fmla="*/ 47625 h 114300"/>
              <a:gd name="connsiteX0" fmla="*/ 0 w 485775"/>
              <a:gd name="connsiteY0" fmla="*/ 104775 h 104775"/>
              <a:gd name="connsiteX1" fmla="*/ 47625 w 485775"/>
              <a:gd name="connsiteY1" fmla="*/ 0 h 104775"/>
              <a:gd name="connsiteX2" fmla="*/ 485775 w 485775"/>
              <a:gd name="connsiteY2" fmla="*/ 38100 h 104775"/>
              <a:gd name="connsiteX0" fmla="*/ 0 w 485775"/>
              <a:gd name="connsiteY0" fmla="*/ 85725 h 85725"/>
              <a:gd name="connsiteX1" fmla="*/ 57150 w 485775"/>
              <a:gd name="connsiteY1" fmla="*/ 0 h 85725"/>
              <a:gd name="connsiteX2" fmla="*/ 485775 w 485775"/>
              <a:gd name="connsiteY2" fmla="*/ 19050 h 85725"/>
            </a:gdLst>
            <a:ahLst/>
            <a:cxnLst>
              <a:cxn ang="0">
                <a:pos x="connsiteX0" y="connsiteY0"/>
              </a:cxn>
              <a:cxn ang="0">
                <a:pos x="connsiteX1" y="connsiteY1"/>
              </a:cxn>
              <a:cxn ang="0">
                <a:pos x="connsiteX2" y="connsiteY2"/>
              </a:cxn>
            </a:cxnLst>
            <a:rect l="l" t="t" r="r" b="b"/>
            <a:pathLst>
              <a:path w="485775" h="85725">
                <a:moveTo>
                  <a:pt x="0" y="85725"/>
                </a:moveTo>
                <a:lnTo>
                  <a:pt x="57150" y="0"/>
                </a:lnTo>
                <a:lnTo>
                  <a:pt x="485775" y="19050"/>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sp macro="" textlink="">
        <xdr:nvSpPr>
          <xdr:cNvPr id="259" name="Rectangle 38"/>
          <xdr:cNvSpPr/>
        </xdr:nvSpPr>
        <xdr:spPr>
          <a:xfrm>
            <a:off x="6153149" y="20985480"/>
            <a:ext cx="140970" cy="542925"/>
          </a:xfrm>
          <a:custGeom>
            <a:avLst/>
            <a:gdLst>
              <a:gd name="connsiteX0" fmla="*/ 0 w 495300"/>
              <a:gd name="connsiteY0" fmla="*/ 0 h 542925"/>
              <a:gd name="connsiteX1" fmla="*/ 495300 w 495300"/>
              <a:gd name="connsiteY1" fmla="*/ 0 h 542925"/>
              <a:gd name="connsiteX2" fmla="*/ 495300 w 495300"/>
              <a:gd name="connsiteY2" fmla="*/ 542925 h 542925"/>
              <a:gd name="connsiteX3" fmla="*/ 0 w 495300"/>
              <a:gd name="connsiteY3" fmla="*/ 542925 h 542925"/>
              <a:gd name="connsiteX4" fmla="*/ 0 w 495300"/>
              <a:gd name="connsiteY4" fmla="*/ 0 h 542925"/>
              <a:gd name="connsiteX0" fmla="*/ 0 w 495300"/>
              <a:gd name="connsiteY0" fmla="*/ 0 h 542925"/>
              <a:gd name="connsiteX1" fmla="*/ 495300 w 495300"/>
              <a:gd name="connsiteY1" fmla="*/ 0 h 542925"/>
              <a:gd name="connsiteX2" fmla="*/ 495300 w 495300"/>
              <a:gd name="connsiteY2" fmla="*/ 542925 h 542925"/>
              <a:gd name="connsiteX3" fmla="*/ 247650 w 495300"/>
              <a:gd name="connsiteY3" fmla="*/ 533400 h 542925"/>
              <a:gd name="connsiteX4" fmla="*/ 0 w 495300"/>
              <a:gd name="connsiteY4" fmla="*/ 542925 h 542925"/>
              <a:gd name="connsiteX5" fmla="*/ 0 w 495300"/>
              <a:gd name="connsiteY5" fmla="*/ 0 h 542925"/>
              <a:gd name="connsiteX0" fmla="*/ 247650 w 495300"/>
              <a:gd name="connsiteY0" fmla="*/ 533400 h 624840"/>
              <a:gd name="connsiteX1" fmla="*/ 0 w 495300"/>
              <a:gd name="connsiteY1" fmla="*/ 542925 h 624840"/>
              <a:gd name="connsiteX2" fmla="*/ 0 w 495300"/>
              <a:gd name="connsiteY2" fmla="*/ 0 h 624840"/>
              <a:gd name="connsiteX3" fmla="*/ 495300 w 495300"/>
              <a:gd name="connsiteY3" fmla="*/ 0 h 624840"/>
              <a:gd name="connsiteX4" fmla="*/ 495300 w 495300"/>
              <a:gd name="connsiteY4" fmla="*/ 542925 h 624840"/>
              <a:gd name="connsiteX5" fmla="*/ 339090 w 495300"/>
              <a:gd name="connsiteY5" fmla="*/ 624840 h 624840"/>
              <a:gd name="connsiteX0" fmla="*/ 247650 w 495300"/>
              <a:gd name="connsiteY0" fmla="*/ 533400 h 542925"/>
              <a:gd name="connsiteX1" fmla="*/ 0 w 495300"/>
              <a:gd name="connsiteY1" fmla="*/ 542925 h 542925"/>
              <a:gd name="connsiteX2" fmla="*/ 0 w 495300"/>
              <a:gd name="connsiteY2" fmla="*/ 0 h 542925"/>
              <a:gd name="connsiteX3" fmla="*/ 495300 w 495300"/>
              <a:gd name="connsiteY3" fmla="*/ 0 h 542925"/>
              <a:gd name="connsiteX4" fmla="*/ 495300 w 495300"/>
              <a:gd name="connsiteY4" fmla="*/ 542925 h 542925"/>
              <a:gd name="connsiteX0" fmla="*/ 0 w 495300"/>
              <a:gd name="connsiteY0" fmla="*/ 542925 h 542925"/>
              <a:gd name="connsiteX1" fmla="*/ 0 w 495300"/>
              <a:gd name="connsiteY1" fmla="*/ 0 h 542925"/>
              <a:gd name="connsiteX2" fmla="*/ 495300 w 495300"/>
              <a:gd name="connsiteY2" fmla="*/ 0 h 542925"/>
              <a:gd name="connsiteX3" fmla="*/ 495300 w 495300"/>
              <a:gd name="connsiteY3" fmla="*/ 542925 h 542925"/>
              <a:gd name="connsiteX0" fmla="*/ 0 w 509451"/>
              <a:gd name="connsiteY0" fmla="*/ 542925 h 542925"/>
              <a:gd name="connsiteX1" fmla="*/ 0 w 509451"/>
              <a:gd name="connsiteY1" fmla="*/ 0 h 542925"/>
              <a:gd name="connsiteX2" fmla="*/ 495300 w 509451"/>
              <a:gd name="connsiteY2" fmla="*/ 0 h 542925"/>
              <a:gd name="connsiteX3" fmla="*/ 509451 w 509451"/>
              <a:gd name="connsiteY3" fmla="*/ 424815 h 542925"/>
              <a:gd name="connsiteX0" fmla="*/ 0 w 537754"/>
              <a:gd name="connsiteY0" fmla="*/ 542925 h 542925"/>
              <a:gd name="connsiteX1" fmla="*/ 0 w 537754"/>
              <a:gd name="connsiteY1" fmla="*/ 0 h 542925"/>
              <a:gd name="connsiteX2" fmla="*/ 495300 w 537754"/>
              <a:gd name="connsiteY2" fmla="*/ 0 h 542925"/>
              <a:gd name="connsiteX3" fmla="*/ 537754 w 537754"/>
              <a:gd name="connsiteY3" fmla="*/ 413385 h 542925"/>
              <a:gd name="connsiteX0" fmla="*/ 0 w 523603"/>
              <a:gd name="connsiteY0" fmla="*/ 542925 h 542925"/>
              <a:gd name="connsiteX1" fmla="*/ 0 w 523603"/>
              <a:gd name="connsiteY1" fmla="*/ 0 h 542925"/>
              <a:gd name="connsiteX2" fmla="*/ 495300 w 523603"/>
              <a:gd name="connsiteY2" fmla="*/ 0 h 542925"/>
              <a:gd name="connsiteX3" fmla="*/ 523603 w 523603"/>
              <a:gd name="connsiteY3" fmla="*/ 405765 h 542925"/>
            </a:gdLst>
            <a:ahLst/>
            <a:cxnLst>
              <a:cxn ang="0">
                <a:pos x="connsiteX0" y="connsiteY0"/>
              </a:cxn>
              <a:cxn ang="0">
                <a:pos x="connsiteX1" y="connsiteY1"/>
              </a:cxn>
              <a:cxn ang="0">
                <a:pos x="connsiteX2" y="connsiteY2"/>
              </a:cxn>
              <a:cxn ang="0">
                <a:pos x="connsiteX3" y="connsiteY3"/>
              </a:cxn>
            </a:cxnLst>
            <a:rect l="l" t="t" r="r" b="b"/>
            <a:pathLst>
              <a:path w="523603" h="542925">
                <a:moveTo>
                  <a:pt x="0" y="542925"/>
                </a:moveTo>
                <a:lnTo>
                  <a:pt x="0" y="0"/>
                </a:lnTo>
                <a:lnTo>
                  <a:pt x="495300" y="0"/>
                </a:lnTo>
                <a:lnTo>
                  <a:pt x="523603" y="405765"/>
                </a:lnTo>
              </a:path>
            </a:pathLst>
          </a:cu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grpSp>
    <xdr:clientData/>
  </xdr:twoCellAnchor>
  <xdr:twoCellAnchor>
    <xdr:from>
      <xdr:col>2</xdr:col>
      <xdr:colOff>327421</xdr:colOff>
      <xdr:row>104</xdr:row>
      <xdr:rowOff>95250</xdr:rowOff>
    </xdr:from>
    <xdr:to>
      <xdr:col>2</xdr:col>
      <xdr:colOff>327421</xdr:colOff>
      <xdr:row>108</xdr:row>
      <xdr:rowOff>9525</xdr:rowOff>
    </xdr:to>
    <xdr:cxnSp macro="">
      <xdr:nvCxnSpPr>
        <xdr:cNvPr id="271" name="Straight Connector 270"/>
        <xdr:cNvCxnSpPr/>
      </xdr:nvCxnSpPr>
      <xdr:spPr>
        <a:xfrm flipV="1">
          <a:off x="1356121" y="20897850"/>
          <a:ext cx="0" cy="676275"/>
        </a:xfrm>
        <a:prstGeom prst="line">
          <a:avLst/>
        </a:prstGeom>
        <a:ln w="9525" cmpd="sng">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11586</xdr:colOff>
      <xdr:row>104</xdr:row>
      <xdr:rowOff>66675</xdr:rowOff>
    </xdr:from>
    <xdr:to>
      <xdr:col>10</xdr:col>
      <xdr:colOff>11586</xdr:colOff>
      <xdr:row>106</xdr:row>
      <xdr:rowOff>142875</xdr:rowOff>
    </xdr:to>
    <xdr:cxnSp macro="">
      <xdr:nvCxnSpPr>
        <xdr:cNvPr id="278" name="Straight Connector 277"/>
        <xdr:cNvCxnSpPr/>
      </xdr:nvCxnSpPr>
      <xdr:spPr>
        <a:xfrm flipV="1">
          <a:off x="5155086" y="20869275"/>
          <a:ext cx="0" cy="457200"/>
        </a:xfrm>
        <a:prstGeom prst="line">
          <a:avLst/>
        </a:prstGeom>
        <a:ln w="9525" cmpd="sng">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508292</xdr:colOff>
      <xdr:row>193</xdr:row>
      <xdr:rowOff>145705</xdr:rowOff>
    </xdr:from>
    <xdr:to>
      <xdr:col>4</xdr:col>
      <xdr:colOff>287567</xdr:colOff>
      <xdr:row>195</xdr:row>
      <xdr:rowOff>58330</xdr:rowOff>
    </xdr:to>
    <xdr:sp macro="" textlink="">
      <xdr:nvSpPr>
        <xdr:cNvPr id="210" name="Oval 209"/>
        <xdr:cNvSpPr>
          <a:spLocks noChangeAspect="1"/>
        </xdr:cNvSpPr>
      </xdr:nvSpPr>
      <xdr:spPr>
        <a:xfrm rot="1804363">
          <a:off x="2051342" y="37331305"/>
          <a:ext cx="293625" cy="293625"/>
        </a:xfrm>
        <a:prstGeom prst="ellipse">
          <a:avLst/>
        </a:prstGeom>
        <a:solidFill>
          <a:schemeClr val="accent1">
            <a:alpha val="17000"/>
          </a:schemeClr>
        </a:solidFill>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422686</xdr:colOff>
      <xdr:row>193</xdr:row>
      <xdr:rowOff>157917</xdr:rowOff>
    </xdr:from>
    <xdr:to>
      <xdr:col>6</xdr:col>
      <xdr:colOff>201961</xdr:colOff>
      <xdr:row>195</xdr:row>
      <xdr:rowOff>70542</xdr:rowOff>
    </xdr:to>
    <xdr:sp macro="" textlink="">
      <xdr:nvSpPr>
        <xdr:cNvPr id="261" name="Oval 260"/>
        <xdr:cNvSpPr>
          <a:spLocks noChangeAspect="1"/>
        </xdr:cNvSpPr>
      </xdr:nvSpPr>
      <xdr:spPr>
        <a:xfrm rot="1804363">
          <a:off x="2994436" y="37343517"/>
          <a:ext cx="293625" cy="293625"/>
        </a:xfrm>
        <a:prstGeom prst="ellipse">
          <a:avLst/>
        </a:prstGeom>
        <a:solidFill>
          <a:schemeClr val="accent1">
            <a:alpha val="17000"/>
          </a:schemeClr>
        </a:solidFill>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3</xdr:row>
      <xdr:rowOff>95250</xdr:rowOff>
    </xdr:from>
    <xdr:to>
      <xdr:col>2</xdr:col>
      <xdr:colOff>0</xdr:colOff>
      <xdr:row>20</xdr:row>
      <xdr:rowOff>123825</xdr:rowOff>
    </xdr:to>
    <xdr:sp macro="" textlink="">
      <xdr:nvSpPr>
        <xdr:cNvPr id="2" name="Line 1388"/>
        <xdr:cNvSpPr>
          <a:spLocks noChangeShapeType="1"/>
        </xdr:cNvSpPr>
      </xdr:nvSpPr>
      <xdr:spPr bwMode="auto">
        <a:xfrm>
          <a:off x="1219200" y="3476625"/>
          <a:ext cx="0" cy="3267075"/>
        </a:xfrm>
        <a:prstGeom prst="line">
          <a:avLst/>
        </a:prstGeom>
        <a:noFill/>
        <a:ln w="6350">
          <a:solidFill>
            <a:srgbClr val="000000"/>
          </a:solidFill>
          <a:round/>
          <a:headEnd/>
          <a:tailEnd/>
        </a:ln>
      </xdr:spPr>
    </xdr:sp>
    <xdr:clientData/>
  </xdr:twoCellAnchor>
  <xdr:twoCellAnchor>
    <xdr:from>
      <xdr:col>1</xdr:col>
      <xdr:colOff>123825</xdr:colOff>
      <xdr:row>20</xdr:row>
      <xdr:rowOff>0</xdr:rowOff>
    </xdr:from>
    <xdr:to>
      <xdr:col>2</xdr:col>
      <xdr:colOff>485775</xdr:colOff>
      <xdr:row>20</xdr:row>
      <xdr:rowOff>0</xdr:rowOff>
    </xdr:to>
    <xdr:sp macro="" textlink="">
      <xdr:nvSpPr>
        <xdr:cNvPr id="3" name="Line 1389"/>
        <xdr:cNvSpPr>
          <a:spLocks noChangeShapeType="1"/>
        </xdr:cNvSpPr>
      </xdr:nvSpPr>
      <xdr:spPr bwMode="auto">
        <a:xfrm>
          <a:off x="733425" y="6619875"/>
          <a:ext cx="971550" cy="0"/>
        </a:xfrm>
        <a:prstGeom prst="line">
          <a:avLst/>
        </a:prstGeom>
        <a:noFill/>
        <a:ln w="6350">
          <a:solidFill>
            <a:srgbClr val="000000"/>
          </a:solidFill>
          <a:prstDash val="sysDot"/>
          <a:round/>
          <a:headEnd/>
          <a:tailEnd/>
        </a:ln>
      </xdr:spPr>
    </xdr:sp>
    <xdr:clientData/>
  </xdr:twoCellAnchor>
  <xdr:twoCellAnchor>
    <xdr:from>
      <xdr:col>1</xdr:col>
      <xdr:colOff>95250</xdr:colOff>
      <xdr:row>17</xdr:row>
      <xdr:rowOff>0</xdr:rowOff>
    </xdr:from>
    <xdr:to>
      <xdr:col>2</xdr:col>
      <xdr:colOff>485775</xdr:colOff>
      <xdr:row>17</xdr:row>
      <xdr:rowOff>0</xdr:rowOff>
    </xdr:to>
    <xdr:sp macro="" textlink="">
      <xdr:nvSpPr>
        <xdr:cNvPr id="4" name="Line 1390"/>
        <xdr:cNvSpPr>
          <a:spLocks noChangeShapeType="1"/>
        </xdr:cNvSpPr>
      </xdr:nvSpPr>
      <xdr:spPr bwMode="auto">
        <a:xfrm>
          <a:off x="704850" y="6048375"/>
          <a:ext cx="1000125" cy="0"/>
        </a:xfrm>
        <a:prstGeom prst="line">
          <a:avLst/>
        </a:prstGeom>
        <a:noFill/>
        <a:ln w="6350">
          <a:solidFill>
            <a:srgbClr val="000000"/>
          </a:solidFill>
          <a:prstDash val="sysDot"/>
          <a:round/>
          <a:headEnd/>
          <a:tailEnd/>
        </a:ln>
      </xdr:spPr>
    </xdr:sp>
    <xdr:clientData/>
  </xdr:twoCellAnchor>
  <xdr:twoCellAnchor>
    <xdr:from>
      <xdr:col>1</xdr:col>
      <xdr:colOff>47625</xdr:colOff>
      <xdr:row>11</xdr:row>
      <xdr:rowOff>0</xdr:rowOff>
    </xdr:from>
    <xdr:to>
      <xdr:col>2</xdr:col>
      <xdr:colOff>476250</xdr:colOff>
      <xdr:row>11</xdr:row>
      <xdr:rowOff>0</xdr:rowOff>
    </xdr:to>
    <xdr:sp macro="" textlink="">
      <xdr:nvSpPr>
        <xdr:cNvPr id="5" name="Line 1391"/>
        <xdr:cNvSpPr>
          <a:spLocks noChangeShapeType="1"/>
        </xdr:cNvSpPr>
      </xdr:nvSpPr>
      <xdr:spPr bwMode="auto">
        <a:xfrm>
          <a:off x="657225" y="4905375"/>
          <a:ext cx="1038225" cy="0"/>
        </a:xfrm>
        <a:prstGeom prst="line">
          <a:avLst/>
        </a:prstGeom>
        <a:noFill/>
        <a:ln w="6350">
          <a:solidFill>
            <a:srgbClr val="000000"/>
          </a:solidFill>
          <a:prstDash val="sysDot"/>
          <a:round/>
          <a:headEnd/>
          <a:tailEnd/>
        </a:ln>
      </xdr:spPr>
    </xdr:sp>
    <xdr:clientData/>
  </xdr:twoCellAnchor>
  <xdr:twoCellAnchor>
    <xdr:from>
      <xdr:col>1</xdr:col>
      <xdr:colOff>47625</xdr:colOff>
      <xdr:row>5</xdr:row>
      <xdr:rowOff>0</xdr:rowOff>
    </xdr:from>
    <xdr:to>
      <xdr:col>3</xdr:col>
      <xdr:colOff>9525</xdr:colOff>
      <xdr:row>5</xdr:row>
      <xdr:rowOff>0</xdr:rowOff>
    </xdr:to>
    <xdr:sp macro="" textlink="">
      <xdr:nvSpPr>
        <xdr:cNvPr id="6" name="Line 1393"/>
        <xdr:cNvSpPr>
          <a:spLocks noChangeShapeType="1"/>
        </xdr:cNvSpPr>
      </xdr:nvSpPr>
      <xdr:spPr bwMode="auto">
        <a:xfrm>
          <a:off x="657225" y="3762375"/>
          <a:ext cx="1181100" cy="0"/>
        </a:xfrm>
        <a:prstGeom prst="line">
          <a:avLst/>
        </a:prstGeom>
        <a:noFill/>
        <a:ln w="6350">
          <a:solidFill>
            <a:srgbClr val="000000"/>
          </a:solidFill>
          <a:prstDash val="sysDot"/>
          <a:round/>
          <a:headEnd/>
          <a:tailEnd/>
        </a:ln>
      </xdr:spPr>
    </xdr:sp>
    <xdr:clientData/>
  </xdr:twoCellAnchor>
  <xdr:twoCellAnchor>
    <xdr:from>
      <xdr:col>1</xdr:col>
      <xdr:colOff>95250</xdr:colOff>
      <xdr:row>14</xdr:row>
      <xdr:rowOff>0</xdr:rowOff>
    </xdr:from>
    <xdr:to>
      <xdr:col>2</xdr:col>
      <xdr:colOff>485775</xdr:colOff>
      <xdr:row>14</xdr:row>
      <xdr:rowOff>0</xdr:rowOff>
    </xdr:to>
    <xdr:sp macro="" textlink="">
      <xdr:nvSpPr>
        <xdr:cNvPr id="8" name="Line 3909"/>
        <xdr:cNvSpPr>
          <a:spLocks noChangeShapeType="1"/>
        </xdr:cNvSpPr>
      </xdr:nvSpPr>
      <xdr:spPr bwMode="auto">
        <a:xfrm>
          <a:off x="704850" y="5476875"/>
          <a:ext cx="1000125" cy="0"/>
        </a:xfrm>
        <a:prstGeom prst="line">
          <a:avLst/>
        </a:prstGeom>
        <a:noFill/>
        <a:ln w="6350">
          <a:solidFill>
            <a:srgbClr val="000000"/>
          </a:solidFill>
          <a:prstDash val="sysDot"/>
          <a:round/>
          <a:headEnd/>
          <a:tailEnd/>
        </a:ln>
      </xdr:spPr>
    </xdr:sp>
    <xdr:clientData/>
  </xdr:twoCellAnchor>
  <xdr:twoCellAnchor>
    <xdr:from>
      <xdr:col>12</xdr:col>
      <xdr:colOff>47625</xdr:colOff>
      <xdr:row>4</xdr:row>
      <xdr:rowOff>180975</xdr:rowOff>
    </xdr:from>
    <xdr:to>
      <xdr:col>12</xdr:col>
      <xdr:colOff>47625</xdr:colOff>
      <xdr:row>17</xdr:row>
      <xdr:rowOff>19050</xdr:rowOff>
    </xdr:to>
    <xdr:cxnSp macro="">
      <xdr:nvCxnSpPr>
        <xdr:cNvPr id="13" name="Straight Connector 12"/>
        <xdr:cNvCxnSpPr/>
      </xdr:nvCxnSpPr>
      <xdr:spPr>
        <a:xfrm flipV="1">
          <a:off x="5534025" y="1323975"/>
          <a:ext cx="0" cy="2314575"/>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95250</xdr:colOff>
      <xdr:row>8</xdr:row>
      <xdr:rowOff>28575</xdr:rowOff>
    </xdr:from>
    <xdr:to>
      <xdr:col>13</xdr:col>
      <xdr:colOff>95250</xdr:colOff>
      <xdr:row>17</xdr:row>
      <xdr:rowOff>0</xdr:rowOff>
    </xdr:to>
    <xdr:cxnSp macro="">
      <xdr:nvCxnSpPr>
        <xdr:cNvPr id="16" name="Straight Connector 15"/>
        <xdr:cNvCxnSpPr/>
      </xdr:nvCxnSpPr>
      <xdr:spPr>
        <a:xfrm flipV="1">
          <a:off x="3143250" y="1933575"/>
          <a:ext cx="0" cy="1685925"/>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4</xdr:row>
      <xdr:rowOff>171449</xdr:rowOff>
    </xdr:from>
    <xdr:to>
      <xdr:col>13</xdr:col>
      <xdr:colOff>95249</xdr:colOff>
      <xdr:row>11</xdr:row>
      <xdr:rowOff>66674</xdr:rowOff>
    </xdr:to>
    <xdr:sp macro="" textlink="">
      <xdr:nvSpPr>
        <xdr:cNvPr id="17" name="Arc 16"/>
        <xdr:cNvSpPr/>
      </xdr:nvSpPr>
      <xdr:spPr>
        <a:xfrm>
          <a:off x="6705600" y="933449"/>
          <a:ext cx="1314449" cy="1228725"/>
        </a:xfrm>
        <a:prstGeom prst="arc">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504825</xdr:colOff>
      <xdr:row>8</xdr:row>
      <xdr:rowOff>0</xdr:rowOff>
    </xdr:from>
    <xdr:to>
      <xdr:col>5</xdr:col>
      <xdr:colOff>0</xdr:colOff>
      <xdr:row>21</xdr:row>
      <xdr:rowOff>0</xdr:rowOff>
    </xdr:to>
    <xdr:sp macro="" textlink="">
      <xdr:nvSpPr>
        <xdr:cNvPr id="3" name="Rectangle 2"/>
        <xdr:cNvSpPr/>
      </xdr:nvSpPr>
      <xdr:spPr>
        <a:xfrm>
          <a:off x="1533525" y="8905875"/>
          <a:ext cx="1552575" cy="247650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257175</xdr:colOff>
      <xdr:row>6</xdr:row>
      <xdr:rowOff>114300</xdr:rowOff>
    </xdr:from>
    <xdr:to>
      <xdr:col>3</xdr:col>
      <xdr:colOff>257175</xdr:colOff>
      <xdr:row>21</xdr:row>
      <xdr:rowOff>152400</xdr:rowOff>
    </xdr:to>
    <xdr:cxnSp macro="">
      <xdr:nvCxnSpPr>
        <xdr:cNvPr id="5" name="Straight Connector 4"/>
        <xdr:cNvCxnSpPr/>
      </xdr:nvCxnSpPr>
      <xdr:spPr>
        <a:xfrm>
          <a:off x="2314575" y="8639175"/>
          <a:ext cx="0" cy="2705100"/>
        </a:xfrm>
        <a:prstGeom prst="line">
          <a:avLst/>
        </a:prstGeom>
        <a:ln w="9525">
          <a:solidFill>
            <a:schemeClr val="tx2"/>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14</xdr:row>
      <xdr:rowOff>0</xdr:rowOff>
    </xdr:from>
    <xdr:to>
      <xdr:col>5</xdr:col>
      <xdr:colOff>419100</xdr:colOff>
      <xdr:row>14</xdr:row>
      <xdr:rowOff>0</xdr:rowOff>
    </xdr:to>
    <xdr:cxnSp macro="">
      <xdr:nvCxnSpPr>
        <xdr:cNvPr id="115" name="Straight Connector 114"/>
        <xdr:cNvCxnSpPr/>
      </xdr:nvCxnSpPr>
      <xdr:spPr>
        <a:xfrm>
          <a:off x="1323975" y="10048875"/>
          <a:ext cx="2181225" cy="0"/>
        </a:xfrm>
        <a:prstGeom prst="line">
          <a:avLst/>
        </a:prstGeom>
        <a:ln w="9525">
          <a:solidFill>
            <a:schemeClr val="tx2"/>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161926</xdr:colOff>
      <xdr:row>9</xdr:row>
      <xdr:rowOff>76199</xdr:rowOff>
    </xdr:from>
    <xdr:to>
      <xdr:col>2</xdr:col>
      <xdr:colOff>428626</xdr:colOff>
      <xdr:row>10</xdr:row>
      <xdr:rowOff>142874</xdr:rowOff>
    </xdr:to>
    <xdr:sp macro="" textlink="">
      <xdr:nvSpPr>
        <xdr:cNvPr id="9" name="Oval 8"/>
        <xdr:cNvSpPr/>
      </xdr:nvSpPr>
      <xdr:spPr>
        <a:xfrm>
          <a:off x="1190626" y="193357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85726</xdr:colOff>
      <xdr:row>9</xdr:row>
      <xdr:rowOff>57149</xdr:rowOff>
    </xdr:from>
    <xdr:to>
      <xdr:col>4</xdr:col>
      <xdr:colOff>352426</xdr:colOff>
      <xdr:row>10</xdr:row>
      <xdr:rowOff>123824</xdr:rowOff>
    </xdr:to>
    <xdr:sp macro="" textlink="">
      <xdr:nvSpPr>
        <xdr:cNvPr id="116" name="Oval 115"/>
        <xdr:cNvSpPr/>
      </xdr:nvSpPr>
      <xdr:spPr>
        <a:xfrm>
          <a:off x="2657476" y="915352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161926</xdr:colOff>
      <xdr:row>18</xdr:row>
      <xdr:rowOff>57149</xdr:rowOff>
    </xdr:from>
    <xdr:to>
      <xdr:col>2</xdr:col>
      <xdr:colOff>428626</xdr:colOff>
      <xdr:row>19</xdr:row>
      <xdr:rowOff>123824</xdr:rowOff>
    </xdr:to>
    <xdr:sp macro="" textlink="">
      <xdr:nvSpPr>
        <xdr:cNvPr id="119" name="Oval 118"/>
        <xdr:cNvSpPr/>
      </xdr:nvSpPr>
      <xdr:spPr>
        <a:xfrm>
          <a:off x="1704976" y="1067752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85726</xdr:colOff>
      <xdr:row>18</xdr:row>
      <xdr:rowOff>47624</xdr:rowOff>
    </xdr:from>
    <xdr:to>
      <xdr:col>4</xdr:col>
      <xdr:colOff>352426</xdr:colOff>
      <xdr:row>19</xdr:row>
      <xdr:rowOff>114299</xdr:rowOff>
    </xdr:to>
    <xdr:sp macro="" textlink="">
      <xdr:nvSpPr>
        <xdr:cNvPr id="120" name="Oval 119"/>
        <xdr:cNvSpPr/>
      </xdr:nvSpPr>
      <xdr:spPr>
        <a:xfrm>
          <a:off x="2657476" y="10667999"/>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504825</xdr:colOff>
      <xdr:row>6</xdr:row>
      <xdr:rowOff>66675</xdr:rowOff>
    </xdr:from>
    <xdr:to>
      <xdr:col>1</xdr:col>
      <xdr:colOff>504825</xdr:colOff>
      <xdr:row>9</xdr:row>
      <xdr:rowOff>19052</xdr:rowOff>
    </xdr:to>
    <xdr:cxnSp macro="">
      <xdr:nvCxnSpPr>
        <xdr:cNvPr id="15" name="Straight Connector 14"/>
        <xdr:cNvCxnSpPr/>
      </xdr:nvCxnSpPr>
      <xdr:spPr>
        <a:xfrm flipV="1">
          <a:off x="1533525" y="8591550"/>
          <a:ext cx="0" cy="523877"/>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504825</xdr:colOff>
      <xdr:row>20</xdr:row>
      <xdr:rowOff>66676</xdr:rowOff>
    </xdr:from>
    <xdr:to>
      <xdr:col>1</xdr:col>
      <xdr:colOff>504825</xdr:colOff>
      <xdr:row>22</xdr:row>
      <xdr:rowOff>104775</xdr:rowOff>
    </xdr:to>
    <xdr:cxnSp macro="">
      <xdr:nvCxnSpPr>
        <xdr:cNvPr id="121" name="Straight Connector 120"/>
        <xdr:cNvCxnSpPr/>
      </xdr:nvCxnSpPr>
      <xdr:spPr>
        <a:xfrm flipV="1">
          <a:off x="1533525" y="11068051"/>
          <a:ext cx="0" cy="419099"/>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7</xdr:row>
      <xdr:rowOff>0</xdr:rowOff>
    </xdr:from>
    <xdr:to>
      <xdr:col>4</xdr:col>
      <xdr:colOff>247650</xdr:colOff>
      <xdr:row>7</xdr:row>
      <xdr:rowOff>0</xdr:rowOff>
    </xdr:to>
    <xdr:cxnSp macro="">
      <xdr:nvCxnSpPr>
        <xdr:cNvPr id="17" name="Straight Connector 16"/>
        <xdr:cNvCxnSpPr/>
      </xdr:nvCxnSpPr>
      <xdr:spPr>
        <a:xfrm>
          <a:off x="1857375" y="8715375"/>
          <a:ext cx="96202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6</xdr:row>
      <xdr:rowOff>76200</xdr:rowOff>
    </xdr:from>
    <xdr:to>
      <xdr:col>2</xdr:col>
      <xdr:colOff>295275</xdr:colOff>
      <xdr:row>9</xdr:row>
      <xdr:rowOff>123825</xdr:rowOff>
    </xdr:to>
    <xdr:cxnSp macro="">
      <xdr:nvCxnSpPr>
        <xdr:cNvPr id="122" name="Straight Connector 121"/>
        <xdr:cNvCxnSpPr/>
      </xdr:nvCxnSpPr>
      <xdr:spPr>
        <a:xfrm flipV="1">
          <a:off x="1838325" y="8601075"/>
          <a:ext cx="0" cy="61912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6</xdr:row>
      <xdr:rowOff>104775</xdr:rowOff>
    </xdr:from>
    <xdr:to>
      <xdr:col>4</xdr:col>
      <xdr:colOff>247650</xdr:colOff>
      <xdr:row>9</xdr:row>
      <xdr:rowOff>152400</xdr:rowOff>
    </xdr:to>
    <xdr:cxnSp macro="">
      <xdr:nvCxnSpPr>
        <xdr:cNvPr id="123" name="Straight Connector 122"/>
        <xdr:cNvCxnSpPr/>
      </xdr:nvCxnSpPr>
      <xdr:spPr>
        <a:xfrm flipV="1">
          <a:off x="2819400" y="8629650"/>
          <a:ext cx="0" cy="61912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7</xdr:row>
      <xdr:rowOff>0</xdr:rowOff>
    </xdr:from>
    <xdr:to>
      <xdr:col>2</xdr:col>
      <xdr:colOff>304800</xdr:colOff>
      <xdr:row>7</xdr:row>
      <xdr:rowOff>0</xdr:rowOff>
    </xdr:to>
    <xdr:cxnSp macro="">
      <xdr:nvCxnSpPr>
        <xdr:cNvPr id="124" name="Straight Connector 123"/>
        <xdr:cNvCxnSpPr/>
      </xdr:nvCxnSpPr>
      <xdr:spPr>
        <a:xfrm>
          <a:off x="1543050" y="8715375"/>
          <a:ext cx="30480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210509</xdr:colOff>
      <xdr:row>9</xdr:row>
      <xdr:rowOff>190061</xdr:rowOff>
    </xdr:from>
    <xdr:to>
      <xdr:col>5</xdr:col>
      <xdr:colOff>438150</xdr:colOff>
      <xdr:row>9</xdr:row>
      <xdr:rowOff>190061</xdr:rowOff>
    </xdr:to>
    <xdr:cxnSp macro="">
      <xdr:nvCxnSpPr>
        <xdr:cNvPr id="125" name="Straight Connector 124"/>
        <xdr:cNvCxnSpPr/>
      </xdr:nvCxnSpPr>
      <xdr:spPr>
        <a:xfrm flipH="1">
          <a:off x="2782259" y="9286436"/>
          <a:ext cx="741991"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391486</xdr:colOff>
      <xdr:row>20</xdr:row>
      <xdr:rowOff>190061</xdr:rowOff>
    </xdr:from>
    <xdr:to>
      <xdr:col>6</xdr:col>
      <xdr:colOff>228600</xdr:colOff>
      <xdr:row>20</xdr:row>
      <xdr:rowOff>190061</xdr:rowOff>
    </xdr:to>
    <xdr:cxnSp macro="">
      <xdr:nvCxnSpPr>
        <xdr:cNvPr id="126" name="Straight Connector 125"/>
        <xdr:cNvCxnSpPr/>
      </xdr:nvCxnSpPr>
      <xdr:spPr>
        <a:xfrm flipH="1">
          <a:off x="2963236" y="11191436"/>
          <a:ext cx="865814"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14</xdr:row>
      <xdr:rowOff>38100</xdr:rowOff>
    </xdr:from>
    <xdr:to>
      <xdr:col>5</xdr:col>
      <xdr:colOff>190500</xdr:colOff>
      <xdr:row>19</xdr:row>
      <xdr:rowOff>1</xdr:rowOff>
    </xdr:to>
    <xdr:cxnSp macro="">
      <xdr:nvCxnSpPr>
        <xdr:cNvPr id="127" name="Straight Connector 126"/>
        <xdr:cNvCxnSpPr/>
      </xdr:nvCxnSpPr>
      <xdr:spPr>
        <a:xfrm flipV="1">
          <a:off x="2762250" y="2800350"/>
          <a:ext cx="0" cy="914401"/>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8</xdr:row>
      <xdr:rowOff>9525</xdr:rowOff>
    </xdr:from>
    <xdr:to>
      <xdr:col>5</xdr:col>
      <xdr:colOff>190500</xdr:colOff>
      <xdr:row>10</xdr:row>
      <xdr:rowOff>1</xdr:rowOff>
    </xdr:to>
    <xdr:cxnSp macro="">
      <xdr:nvCxnSpPr>
        <xdr:cNvPr id="128" name="Straight Connector 127"/>
        <xdr:cNvCxnSpPr/>
      </xdr:nvCxnSpPr>
      <xdr:spPr>
        <a:xfrm flipV="1">
          <a:off x="2762250" y="1628775"/>
          <a:ext cx="0" cy="371476"/>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381961</xdr:colOff>
      <xdr:row>7</xdr:row>
      <xdr:rowOff>237686</xdr:rowOff>
    </xdr:from>
    <xdr:to>
      <xdr:col>6</xdr:col>
      <xdr:colOff>238125</xdr:colOff>
      <xdr:row>7</xdr:row>
      <xdr:rowOff>237686</xdr:rowOff>
    </xdr:to>
    <xdr:cxnSp macro="">
      <xdr:nvCxnSpPr>
        <xdr:cNvPr id="129" name="Straight Connector 128"/>
        <xdr:cNvCxnSpPr/>
      </xdr:nvCxnSpPr>
      <xdr:spPr>
        <a:xfrm flipH="1" flipV="1">
          <a:off x="2439361" y="1618811"/>
          <a:ext cx="884864"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104775</xdr:colOff>
      <xdr:row>8</xdr:row>
      <xdr:rowOff>9525</xdr:rowOff>
    </xdr:from>
    <xdr:to>
      <xdr:col>6</xdr:col>
      <xdr:colOff>104775</xdr:colOff>
      <xdr:row>20</xdr:row>
      <xdr:rowOff>182025</xdr:rowOff>
    </xdr:to>
    <xdr:cxnSp macro="">
      <xdr:nvCxnSpPr>
        <xdr:cNvPr id="131" name="Straight Connector 130"/>
        <xdr:cNvCxnSpPr/>
      </xdr:nvCxnSpPr>
      <xdr:spPr>
        <a:xfrm flipV="1">
          <a:off x="3190875" y="1628775"/>
          <a:ext cx="0" cy="226800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20</xdr:row>
      <xdr:rowOff>57151</xdr:rowOff>
    </xdr:from>
    <xdr:to>
      <xdr:col>5</xdr:col>
      <xdr:colOff>0</xdr:colOff>
      <xdr:row>22</xdr:row>
      <xdr:rowOff>76200</xdr:rowOff>
    </xdr:to>
    <xdr:cxnSp macro="">
      <xdr:nvCxnSpPr>
        <xdr:cNvPr id="136" name="Straight Connector 135"/>
        <xdr:cNvCxnSpPr/>
      </xdr:nvCxnSpPr>
      <xdr:spPr>
        <a:xfrm flipV="1">
          <a:off x="3086100" y="11058526"/>
          <a:ext cx="0" cy="400049"/>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22</xdr:row>
      <xdr:rowOff>0</xdr:rowOff>
    </xdr:from>
    <xdr:to>
      <xdr:col>5</xdr:col>
      <xdr:colOff>0</xdr:colOff>
      <xdr:row>22</xdr:row>
      <xdr:rowOff>0</xdr:rowOff>
    </xdr:to>
    <xdr:cxnSp macro="">
      <xdr:nvCxnSpPr>
        <xdr:cNvPr id="139" name="Straight Connector 138"/>
        <xdr:cNvCxnSpPr/>
      </xdr:nvCxnSpPr>
      <xdr:spPr>
        <a:xfrm>
          <a:off x="1543050" y="11382375"/>
          <a:ext cx="154305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381000</xdr:colOff>
      <xdr:row>17</xdr:row>
      <xdr:rowOff>152401</xdr:rowOff>
    </xdr:from>
    <xdr:to>
      <xdr:col>3</xdr:col>
      <xdr:colOff>47625</xdr:colOff>
      <xdr:row>18</xdr:row>
      <xdr:rowOff>133351</xdr:rowOff>
    </xdr:to>
    <xdr:sp macro="" textlink="">
      <xdr:nvSpPr>
        <xdr:cNvPr id="108552" name="TextBox 108551"/>
        <xdr:cNvSpPr txBox="1"/>
      </xdr:nvSpPr>
      <xdr:spPr>
        <a:xfrm>
          <a:off x="1409700" y="3295651"/>
          <a:ext cx="180975" cy="171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1</a:t>
          </a:r>
        </a:p>
      </xdr:txBody>
    </xdr:sp>
    <xdr:clientData/>
  </xdr:twoCellAnchor>
  <xdr:twoCellAnchor>
    <xdr:from>
      <xdr:col>4</xdr:col>
      <xdr:colOff>295275</xdr:colOff>
      <xdr:row>17</xdr:row>
      <xdr:rowOff>142875</xdr:rowOff>
    </xdr:from>
    <xdr:to>
      <xdr:col>4</xdr:col>
      <xdr:colOff>438150</xdr:colOff>
      <xdr:row>18</xdr:row>
      <xdr:rowOff>124602</xdr:rowOff>
    </xdr:to>
    <xdr:sp macro="" textlink="">
      <xdr:nvSpPr>
        <xdr:cNvPr id="144" name="TextBox 143"/>
        <xdr:cNvSpPr txBox="1"/>
      </xdr:nvSpPr>
      <xdr:spPr>
        <a:xfrm>
          <a:off x="2867025" y="10572750"/>
          <a:ext cx="142875"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4</a:t>
          </a:r>
        </a:p>
      </xdr:txBody>
    </xdr:sp>
    <xdr:clientData/>
  </xdr:twoCellAnchor>
  <xdr:twoCellAnchor>
    <xdr:from>
      <xdr:col>4</xdr:col>
      <xdr:colOff>295275</xdr:colOff>
      <xdr:row>8</xdr:row>
      <xdr:rowOff>171450</xdr:rowOff>
    </xdr:from>
    <xdr:to>
      <xdr:col>4</xdr:col>
      <xdr:colOff>438150</xdr:colOff>
      <xdr:row>9</xdr:row>
      <xdr:rowOff>153177</xdr:rowOff>
    </xdr:to>
    <xdr:sp macro="" textlink="">
      <xdr:nvSpPr>
        <xdr:cNvPr id="146" name="TextBox 145"/>
        <xdr:cNvSpPr txBox="1"/>
      </xdr:nvSpPr>
      <xdr:spPr>
        <a:xfrm>
          <a:off x="2352675" y="1790700"/>
          <a:ext cx="142875"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6</a:t>
          </a:r>
        </a:p>
      </xdr:txBody>
    </xdr:sp>
    <xdr:clientData/>
  </xdr:twoCellAnchor>
  <xdr:twoCellAnchor>
    <xdr:from>
      <xdr:col>4</xdr:col>
      <xdr:colOff>277185</xdr:colOff>
      <xdr:row>19</xdr:row>
      <xdr:rowOff>0</xdr:rowOff>
    </xdr:from>
    <xdr:to>
      <xdr:col>5</xdr:col>
      <xdr:colOff>371475</xdr:colOff>
      <xdr:row>19</xdr:row>
      <xdr:rowOff>0</xdr:rowOff>
    </xdr:to>
    <xdr:cxnSp macro="">
      <xdr:nvCxnSpPr>
        <xdr:cNvPr id="33" name="Straight Connector 32"/>
        <xdr:cNvCxnSpPr/>
      </xdr:nvCxnSpPr>
      <xdr:spPr>
        <a:xfrm flipH="1">
          <a:off x="2334585" y="3571875"/>
          <a:ext cx="608640"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19</xdr:row>
      <xdr:rowOff>0</xdr:rowOff>
    </xdr:from>
    <xdr:to>
      <xdr:col>5</xdr:col>
      <xdr:colOff>180975</xdr:colOff>
      <xdr:row>21</xdr:row>
      <xdr:rowOff>2</xdr:rowOff>
    </xdr:to>
    <xdr:cxnSp macro="">
      <xdr:nvCxnSpPr>
        <xdr:cNvPr id="37" name="Straight Connector 36"/>
        <xdr:cNvCxnSpPr/>
      </xdr:nvCxnSpPr>
      <xdr:spPr>
        <a:xfrm flipV="1">
          <a:off x="2752725" y="3524250"/>
          <a:ext cx="0" cy="381002"/>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161926</xdr:colOff>
      <xdr:row>13</xdr:row>
      <xdr:rowOff>85724</xdr:rowOff>
    </xdr:from>
    <xdr:to>
      <xdr:col>2</xdr:col>
      <xdr:colOff>428626</xdr:colOff>
      <xdr:row>14</xdr:row>
      <xdr:rowOff>152399</xdr:rowOff>
    </xdr:to>
    <xdr:sp macro="" textlink="">
      <xdr:nvSpPr>
        <xdr:cNvPr id="32" name="Oval 31"/>
        <xdr:cNvSpPr/>
      </xdr:nvSpPr>
      <xdr:spPr>
        <a:xfrm>
          <a:off x="1190626" y="265747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85726</xdr:colOff>
      <xdr:row>13</xdr:row>
      <xdr:rowOff>76199</xdr:rowOff>
    </xdr:from>
    <xdr:to>
      <xdr:col>4</xdr:col>
      <xdr:colOff>352426</xdr:colOff>
      <xdr:row>14</xdr:row>
      <xdr:rowOff>142874</xdr:rowOff>
    </xdr:to>
    <xdr:sp macro="" textlink="">
      <xdr:nvSpPr>
        <xdr:cNvPr id="34" name="Oval 33"/>
        <xdr:cNvSpPr/>
      </xdr:nvSpPr>
      <xdr:spPr>
        <a:xfrm>
          <a:off x="2143126" y="2647949"/>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428625</xdr:colOff>
      <xdr:row>13</xdr:row>
      <xdr:rowOff>114300</xdr:rowOff>
    </xdr:from>
    <xdr:to>
      <xdr:col>3</xdr:col>
      <xdr:colOff>57150</xdr:colOff>
      <xdr:row>14</xdr:row>
      <xdr:rowOff>96027</xdr:rowOff>
    </xdr:to>
    <xdr:sp macro="" textlink="">
      <xdr:nvSpPr>
        <xdr:cNvPr id="35" name="TextBox 34"/>
        <xdr:cNvSpPr txBox="1"/>
      </xdr:nvSpPr>
      <xdr:spPr>
        <a:xfrm>
          <a:off x="1457325" y="2686050"/>
          <a:ext cx="142875"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2</a:t>
          </a:r>
        </a:p>
      </xdr:txBody>
    </xdr:sp>
    <xdr:clientData/>
  </xdr:twoCellAnchor>
  <xdr:twoCellAnchor>
    <xdr:from>
      <xdr:col>2</xdr:col>
      <xdr:colOff>438150</xdr:colOff>
      <xdr:row>8</xdr:row>
      <xdr:rowOff>180975</xdr:rowOff>
    </xdr:from>
    <xdr:to>
      <xdr:col>3</xdr:col>
      <xdr:colOff>66675</xdr:colOff>
      <xdr:row>9</xdr:row>
      <xdr:rowOff>162702</xdr:rowOff>
    </xdr:to>
    <xdr:sp macro="" textlink="">
      <xdr:nvSpPr>
        <xdr:cNvPr id="36" name="TextBox 35"/>
        <xdr:cNvSpPr txBox="1"/>
      </xdr:nvSpPr>
      <xdr:spPr>
        <a:xfrm>
          <a:off x="1466850" y="1800225"/>
          <a:ext cx="142875"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3</a:t>
          </a:r>
        </a:p>
      </xdr:txBody>
    </xdr:sp>
    <xdr:clientData/>
  </xdr:twoCellAnchor>
  <xdr:twoCellAnchor>
    <xdr:from>
      <xdr:col>4</xdr:col>
      <xdr:colOff>352425</xdr:colOff>
      <xdr:row>13</xdr:row>
      <xdr:rowOff>0</xdr:rowOff>
    </xdr:from>
    <xdr:to>
      <xdr:col>4</xdr:col>
      <xdr:colOff>495300</xdr:colOff>
      <xdr:row>13</xdr:row>
      <xdr:rowOff>172227</xdr:rowOff>
    </xdr:to>
    <xdr:sp macro="" textlink="">
      <xdr:nvSpPr>
        <xdr:cNvPr id="38" name="TextBox 37"/>
        <xdr:cNvSpPr txBox="1"/>
      </xdr:nvSpPr>
      <xdr:spPr>
        <a:xfrm>
          <a:off x="2409825" y="2571750"/>
          <a:ext cx="142875"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5</a:t>
          </a:r>
        </a:p>
      </xdr:txBody>
    </xdr:sp>
    <xdr:clientData/>
  </xdr:twoCellAnchor>
  <xdr:twoCellAnchor>
    <xdr:from>
      <xdr:col>5</xdr:col>
      <xdr:colOff>190500</xdr:colOff>
      <xdr:row>10</xdr:row>
      <xdr:rowOff>9526</xdr:rowOff>
    </xdr:from>
    <xdr:to>
      <xdr:col>5</xdr:col>
      <xdr:colOff>190500</xdr:colOff>
      <xdr:row>14</xdr:row>
      <xdr:rowOff>0</xdr:rowOff>
    </xdr:to>
    <xdr:cxnSp macro="">
      <xdr:nvCxnSpPr>
        <xdr:cNvPr id="39" name="Straight Connector 38"/>
        <xdr:cNvCxnSpPr/>
      </xdr:nvCxnSpPr>
      <xdr:spPr>
        <a:xfrm flipV="1">
          <a:off x="2762250" y="2009776"/>
          <a:ext cx="0" cy="752474"/>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156694</xdr:colOff>
      <xdr:row>5</xdr:row>
      <xdr:rowOff>144384</xdr:rowOff>
    </xdr:from>
    <xdr:to>
      <xdr:col>10</xdr:col>
      <xdr:colOff>116720</xdr:colOff>
      <xdr:row>6</xdr:row>
      <xdr:rowOff>47332</xdr:rowOff>
    </xdr:to>
    <xdr:sp macro="" textlink="">
      <xdr:nvSpPr>
        <xdr:cNvPr id="2" name="Rectangle 1723" descr="Light upward diagonal"/>
        <xdr:cNvSpPr>
          <a:spLocks noChangeArrowheads="1"/>
        </xdr:cNvSpPr>
      </xdr:nvSpPr>
      <xdr:spPr bwMode="auto">
        <a:xfrm>
          <a:off x="4785844" y="1211184"/>
          <a:ext cx="474376" cy="141073"/>
        </a:xfrm>
        <a:prstGeom prst="rect">
          <a:avLst/>
        </a:prstGeom>
        <a:pattFill prst="ltUpDiag">
          <a:fgClr>
            <a:srgbClr val="000000"/>
          </a:fgClr>
          <a:bgClr>
            <a:srgbClr val="FFFFFF"/>
          </a:bgClr>
        </a:pattFill>
        <a:ln w="9525">
          <a:noFill/>
          <a:miter lim="800000"/>
          <a:headEnd/>
          <a:tailEnd/>
        </a:ln>
      </xdr:spPr>
    </xdr:sp>
    <xdr:clientData/>
  </xdr:twoCellAnchor>
  <xdr:twoCellAnchor>
    <xdr:from>
      <xdr:col>8</xdr:col>
      <xdr:colOff>457200</xdr:colOff>
      <xdr:row>5</xdr:row>
      <xdr:rowOff>144384</xdr:rowOff>
    </xdr:from>
    <xdr:to>
      <xdr:col>10</xdr:col>
      <xdr:colOff>116720</xdr:colOff>
      <xdr:row>5</xdr:row>
      <xdr:rowOff>144384</xdr:rowOff>
    </xdr:to>
    <xdr:sp macro="" textlink="">
      <xdr:nvSpPr>
        <xdr:cNvPr id="3" name="Line 1724"/>
        <xdr:cNvSpPr>
          <a:spLocks noChangeShapeType="1"/>
        </xdr:cNvSpPr>
      </xdr:nvSpPr>
      <xdr:spPr bwMode="auto">
        <a:xfrm>
          <a:off x="4572000" y="1211184"/>
          <a:ext cx="688220" cy="0"/>
        </a:xfrm>
        <a:prstGeom prst="line">
          <a:avLst/>
        </a:prstGeom>
        <a:noFill/>
        <a:ln w="9525">
          <a:solidFill>
            <a:srgbClr val="000000"/>
          </a:solidFill>
          <a:round/>
          <a:headEnd/>
          <a:tailEnd/>
        </a:ln>
      </xdr:spPr>
    </xdr:sp>
    <xdr:clientData/>
  </xdr:twoCellAnchor>
  <xdr:twoCellAnchor>
    <xdr:from>
      <xdr:col>8</xdr:col>
      <xdr:colOff>314325</xdr:colOff>
      <xdr:row>2</xdr:row>
      <xdr:rowOff>0</xdr:rowOff>
    </xdr:from>
    <xdr:to>
      <xdr:col>9</xdr:col>
      <xdr:colOff>440492</xdr:colOff>
      <xdr:row>2</xdr:row>
      <xdr:rowOff>0</xdr:rowOff>
    </xdr:to>
    <xdr:sp macro="" textlink="">
      <xdr:nvSpPr>
        <xdr:cNvPr id="4" name="Line 1725"/>
        <xdr:cNvSpPr>
          <a:spLocks noChangeShapeType="1"/>
        </xdr:cNvSpPr>
      </xdr:nvSpPr>
      <xdr:spPr bwMode="auto">
        <a:xfrm>
          <a:off x="4495800" y="409575"/>
          <a:ext cx="640517" cy="0"/>
        </a:xfrm>
        <a:prstGeom prst="line">
          <a:avLst/>
        </a:prstGeom>
        <a:noFill/>
        <a:ln w="9525">
          <a:solidFill>
            <a:srgbClr val="000000"/>
          </a:solidFill>
          <a:round/>
          <a:headEnd/>
          <a:tailEnd type="triangle" w="med" len="med"/>
        </a:ln>
      </xdr:spPr>
    </xdr:sp>
    <xdr:clientData/>
  </xdr:twoCellAnchor>
  <xdr:twoCellAnchor>
    <xdr:from>
      <xdr:col>9</xdr:col>
      <xdr:colOff>38100</xdr:colOff>
      <xdr:row>2</xdr:row>
      <xdr:rowOff>0</xdr:rowOff>
    </xdr:from>
    <xdr:to>
      <xdr:col>9</xdr:col>
      <xdr:colOff>38100</xdr:colOff>
      <xdr:row>5</xdr:row>
      <xdr:rowOff>134859</xdr:rowOff>
    </xdr:to>
    <xdr:sp macro="" textlink="">
      <xdr:nvSpPr>
        <xdr:cNvPr id="5" name="Line 1726"/>
        <xdr:cNvSpPr>
          <a:spLocks noChangeShapeType="1"/>
        </xdr:cNvSpPr>
      </xdr:nvSpPr>
      <xdr:spPr bwMode="auto">
        <a:xfrm>
          <a:off x="4667250" y="381000"/>
          <a:ext cx="0" cy="820659"/>
        </a:xfrm>
        <a:prstGeom prst="line">
          <a:avLst/>
        </a:prstGeom>
        <a:noFill/>
        <a:ln w="9525">
          <a:solidFill>
            <a:srgbClr val="000000"/>
          </a:solidFill>
          <a:round/>
          <a:headEnd type="triangle" w="med" len="med"/>
          <a:tailEnd type="triangle" w="med" len="med"/>
        </a:ln>
      </xdr:spPr>
    </xdr:sp>
    <xdr:clientData/>
  </xdr:twoCellAnchor>
  <xdr:twoCellAnchor>
    <xdr:from>
      <xdr:col>9</xdr:col>
      <xdr:colOff>38100</xdr:colOff>
      <xdr:row>5</xdr:row>
      <xdr:rowOff>168355</xdr:rowOff>
    </xdr:from>
    <xdr:to>
      <xdr:col>9</xdr:col>
      <xdr:colOff>38100</xdr:colOff>
      <xdr:row>12</xdr:row>
      <xdr:rowOff>25827</xdr:rowOff>
    </xdr:to>
    <xdr:sp macro="" textlink="">
      <xdr:nvSpPr>
        <xdr:cNvPr id="6" name="Line 1727"/>
        <xdr:cNvSpPr>
          <a:spLocks noChangeShapeType="1"/>
        </xdr:cNvSpPr>
      </xdr:nvSpPr>
      <xdr:spPr bwMode="auto">
        <a:xfrm>
          <a:off x="4667250" y="1235155"/>
          <a:ext cx="0" cy="1400522"/>
        </a:xfrm>
        <a:prstGeom prst="line">
          <a:avLst/>
        </a:prstGeom>
        <a:noFill/>
        <a:ln w="9525">
          <a:solidFill>
            <a:srgbClr val="000000"/>
          </a:solidFill>
          <a:round/>
          <a:headEnd type="triangle" w="med" len="med"/>
          <a:tailEnd type="triangle" w="med" len="med"/>
        </a:ln>
      </xdr:spPr>
    </xdr:sp>
    <xdr:clientData/>
  </xdr:twoCellAnchor>
  <xdr:twoCellAnchor>
    <xdr:from>
      <xdr:col>10</xdr:col>
      <xdr:colOff>2342</xdr:colOff>
      <xdr:row>2</xdr:row>
      <xdr:rowOff>0</xdr:rowOff>
    </xdr:from>
    <xdr:to>
      <xdr:col>10</xdr:col>
      <xdr:colOff>2342</xdr:colOff>
      <xdr:row>12</xdr:row>
      <xdr:rowOff>38157</xdr:rowOff>
    </xdr:to>
    <xdr:sp macro="" textlink="">
      <xdr:nvSpPr>
        <xdr:cNvPr id="7" name="Line 1728"/>
        <xdr:cNvSpPr>
          <a:spLocks noChangeShapeType="1"/>
        </xdr:cNvSpPr>
      </xdr:nvSpPr>
      <xdr:spPr bwMode="auto">
        <a:xfrm>
          <a:off x="5212517" y="409575"/>
          <a:ext cx="0" cy="2267007"/>
        </a:xfrm>
        <a:prstGeom prst="line">
          <a:avLst/>
        </a:prstGeom>
        <a:noFill/>
        <a:ln w="9525">
          <a:solidFill>
            <a:srgbClr val="800000"/>
          </a:solidFill>
          <a:round/>
          <a:headEnd/>
          <a:tailEnd/>
        </a:ln>
      </xdr:spPr>
    </xdr:sp>
    <xdr:clientData/>
  </xdr:twoCellAnchor>
  <xdr:twoCellAnchor>
    <xdr:from>
      <xdr:col>10</xdr:col>
      <xdr:colOff>328925</xdr:colOff>
      <xdr:row>9</xdr:row>
      <xdr:rowOff>9058</xdr:rowOff>
    </xdr:from>
    <xdr:to>
      <xdr:col>11</xdr:col>
      <xdr:colOff>255067</xdr:colOff>
      <xdr:row>9</xdr:row>
      <xdr:rowOff>137790</xdr:rowOff>
    </xdr:to>
    <xdr:sp macro="" textlink="">
      <xdr:nvSpPr>
        <xdr:cNvPr id="8" name="Rectangle 1729" descr="Light upward diagonal"/>
        <xdr:cNvSpPr>
          <a:spLocks noChangeArrowheads="1"/>
        </xdr:cNvSpPr>
      </xdr:nvSpPr>
      <xdr:spPr bwMode="auto">
        <a:xfrm>
          <a:off x="5539100" y="1999783"/>
          <a:ext cx="440492" cy="128732"/>
        </a:xfrm>
        <a:prstGeom prst="rect">
          <a:avLst/>
        </a:prstGeom>
        <a:pattFill prst="ltUpDiag">
          <a:fgClr>
            <a:srgbClr val="000000"/>
          </a:fgClr>
          <a:bgClr>
            <a:srgbClr val="FFFFFF"/>
          </a:bgClr>
        </a:pattFill>
        <a:ln w="9525">
          <a:noFill/>
          <a:miter lim="800000"/>
          <a:headEnd/>
          <a:tailEnd/>
        </a:ln>
      </xdr:spPr>
    </xdr:sp>
    <xdr:clientData/>
  </xdr:twoCellAnchor>
  <xdr:twoCellAnchor>
    <xdr:from>
      <xdr:col>10</xdr:col>
      <xdr:colOff>345867</xdr:colOff>
      <xdr:row>8</xdr:row>
      <xdr:rowOff>237657</xdr:rowOff>
    </xdr:from>
    <xdr:to>
      <xdr:col>11</xdr:col>
      <xdr:colOff>238125</xdr:colOff>
      <xdr:row>8</xdr:row>
      <xdr:rowOff>237657</xdr:rowOff>
    </xdr:to>
    <xdr:sp macro="" textlink="">
      <xdr:nvSpPr>
        <xdr:cNvPr id="9" name="Line 1730"/>
        <xdr:cNvSpPr>
          <a:spLocks noChangeShapeType="1"/>
        </xdr:cNvSpPr>
      </xdr:nvSpPr>
      <xdr:spPr bwMode="auto">
        <a:xfrm>
          <a:off x="5556042" y="1990257"/>
          <a:ext cx="406608" cy="0"/>
        </a:xfrm>
        <a:prstGeom prst="line">
          <a:avLst/>
        </a:prstGeom>
        <a:noFill/>
        <a:ln w="9525">
          <a:solidFill>
            <a:srgbClr val="000000"/>
          </a:solidFill>
          <a:round/>
          <a:headEnd/>
          <a:tailEnd/>
        </a:ln>
      </xdr:spPr>
    </xdr:sp>
    <xdr:clientData/>
  </xdr:twoCellAnchor>
  <xdr:twoCellAnchor>
    <xdr:from>
      <xdr:col>10</xdr:col>
      <xdr:colOff>513101</xdr:colOff>
      <xdr:row>2</xdr:row>
      <xdr:rowOff>9525</xdr:rowOff>
    </xdr:from>
    <xdr:to>
      <xdr:col>10</xdr:col>
      <xdr:colOff>513101</xdr:colOff>
      <xdr:row>5</xdr:row>
      <xdr:rowOff>161925</xdr:rowOff>
    </xdr:to>
    <xdr:sp macro="" textlink="">
      <xdr:nvSpPr>
        <xdr:cNvPr id="10" name="Line 1732"/>
        <xdr:cNvSpPr>
          <a:spLocks noChangeShapeType="1"/>
        </xdr:cNvSpPr>
      </xdr:nvSpPr>
      <xdr:spPr bwMode="auto">
        <a:xfrm>
          <a:off x="5723276" y="419100"/>
          <a:ext cx="0" cy="847725"/>
        </a:xfrm>
        <a:prstGeom prst="line">
          <a:avLst/>
        </a:prstGeom>
        <a:noFill/>
        <a:ln w="9525">
          <a:solidFill>
            <a:srgbClr val="000000"/>
          </a:solidFill>
          <a:round/>
          <a:headEnd type="triangle" w="med" len="med"/>
          <a:tailEnd type="triangle" w="med" len="med"/>
        </a:ln>
      </xdr:spPr>
    </xdr:sp>
    <xdr:clientData/>
  </xdr:twoCellAnchor>
  <xdr:twoCellAnchor>
    <xdr:from>
      <xdr:col>10</xdr:col>
      <xdr:colOff>513101</xdr:colOff>
      <xdr:row>5</xdr:row>
      <xdr:rowOff>155319</xdr:rowOff>
    </xdr:from>
    <xdr:to>
      <xdr:col>10</xdr:col>
      <xdr:colOff>513101</xdr:colOff>
      <xdr:row>8</xdr:row>
      <xdr:rowOff>219075</xdr:rowOff>
    </xdr:to>
    <xdr:sp macro="" textlink="">
      <xdr:nvSpPr>
        <xdr:cNvPr id="11" name="Line 1733"/>
        <xdr:cNvSpPr>
          <a:spLocks noChangeShapeType="1"/>
        </xdr:cNvSpPr>
      </xdr:nvSpPr>
      <xdr:spPr bwMode="auto">
        <a:xfrm>
          <a:off x="5723276" y="1260219"/>
          <a:ext cx="0" cy="711456"/>
        </a:xfrm>
        <a:prstGeom prst="line">
          <a:avLst/>
        </a:prstGeom>
        <a:noFill/>
        <a:ln w="9525">
          <a:solidFill>
            <a:srgbClr val="000000"/>
          </a:solidFill>
          <a:round/>
          <a:headEnd type="triangle" w="med" len="med"/>
          <a:tailEnd type="triangle" w="med" len="med"/>
        </a:ln>
      </xdr:spPr>
    </xdr:sp>
    <xdr:clientData/>
  </xdr:twoCellAnchor>
  <xdr:twoCellAnchor>
    <xdr:from>
      <xdr:col>10</xdr:col>
      <xdr:colOff>321508</xdr:colOff>
      <xdr:row>5</xdr:row>
      <xdr:rowOff>144257</xdr:rowOff>
    </xdr:from>
    <xdr:to>
      <xdr:col>11</xdr:col>
      <xdr:colOff>247650</xdr:colOff>
      <xdr:row>5</xdr:row>
      <xdr:rowOff>144257</xdr:rowOff>
    </xdr:to>
    <xdr:sp macro="" textlink="">
      <xdr:nvSpPr>
        <xdr:cNvPr id="12" name="Line 1737"/>
        <xdr:cNvSpPr>
          <a:spLocks noChangeShapeType="1"/>
        </xdr:cNvSpPr>
      </xdr:nvSpPr>
      <xdr:spPr bwMode="auto">
        <a:xfrm>
          <a:off x="5465008" y="1211057"/>
          <a:ext cx="440492" cy="0"/>
        </a:xfrm>
        <a:prstGeom prst="line">
          <a:avLst/>
        </a:prstGeom>
        <a:noFill/>
        <a:ln w="6350">
          <a:solidFill>
            <a:srgbClr val="0000FF"/>
          </a:solidFill>
          <a:prstDash val="sysDot"/>
          <a:round/>
          <a:headEnd/>
          <a:tailEnd/>
        </a:ln>
      </xdr:spPr>
    </xdr:sp>
    <xdr:clientData/>
  </xdr:twoCellAnchor>
  <xdr:twoCellAnchor>
    <xdr:from>
      <xdr:col>4</xdr:col>
      <xdr:colOff>476250</xdr:colOff>
      <xdr:row>3</xdr:row>
      <xdr:rowOff>9525</xdr:rowOff>
    </xdr:from>
    <xdr:to>
      <xdr:col>7</xdr:col>
      <xdr:colOff>238126</xdr:colOff>
      <xdr:row>7</xdr:row>
      <xdr:rowOff>180975</xdr:rowOff>
    </xdr:to>
    <xdr:grpSp>
      <xdr:nvGrpSpPr>
        <xdr:cNvPr id="13" name="Group 12"/>
        <xdr:cNvGrpSpPr/>
      </xdr:nvGrpSpPr>
      <xdr:grpSpPr>
        <a:xfrm>
          <a:off x="2600325" y="628650"/>
          <a:ext cx="1304926" cy="1047750"/>
          <a:chOff x="5524500" y="8991599"/>
          <a:chExt cx="1304926" cy="1047751"/>
        </a:xfrm>
      </xdr:grpSpPr>
      <xdr:grpSp>
        <xdr:nvGrpSpPr>
          <xdr:cNvPr id="14" name="Group 13"/>
          <xdr:cNvGrpSpPr/>
        </xdr:nvGrpSpPr>
        <xdr:grpSpPr>
          <a:xfrm>
            <a:off x="5524500" y="8991599"/>
            <a:ext cx="1064864" cy="1037794"/>
            <a:chOff x="3981450" y="355234875"/>
            <a:chExt cx="1381125" cy="1390650"/>
          </a:xfrm>
        </xdr:grpSpPr>
        <xdr:sp macro="" textlink="">
          <xdr:nvSpPr>
            <xdr:cNvPr id="18" name="Oval 17"/>
            <xdr:cNvSpPr/>
          </xdr:nvSpPr>
          <xdr:spPr>
            <a:xfrm>
              <a:off x="3981450" y="355234875"/>
              <a:ext cx="1381125" cy="1390650"/>
            </a:xfrm>
            <a:prstGeom prst="ellips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p>
          </xdr:txBody>
        </xdr:sp>
        <xdr:sp macro="" textlink="">
          <xdr:nvSpPr>
            <xdr:cNvPr id="19" name="Oval 18"/>
            <xdr:cNvSpPr/>
          </xdr:nvSpPr>
          <xdr:spPr>
            <a:xfrm>
              <a:off x="4095750" y="355358700"/>
              <a:ext cx="1152525" cy="1152525"/>
            </a:xfrm>
            <a:prstGeom prst="ellipse">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p>
          </xdr:txBody>
        </xdr:sp>
        <xdr:sp macro="" textlink="">
          <xdr:nvSpPr>
            <xdr:cNvPr id="20" name="Oval 1760"/>
            <xdr:cNvSpPr>
              <a:spLocks noChangeAspect="1" noChangeArrowheads="1"/>
            </xdr:cNvSpPr>
          </xdr:nvSpPr>
          <xdr:spPr bwMode="auto">
            <a:xfrm>
              <a:off x="4657725" y="355368225"/>
              <a:ext cx="47625" cy="47625"/>
            </a:xfrm>
            <a:prstGeom prst="ellipse">
              <a:avLst/>
            </a:prstGeom>
            <a:solidFill>
              <a:srgbClr val="800000"/>
            </a:solidFill>
            <a:ln w="6350" algn="ctr">
              <a:solidFill>
                <a:srgbClr val="000000"/>
              </a:solidFill>
              <a:round/>
              <a:headEnd/>
              <a:tailEnd/>
            </a:ln>
          </xdr:spPr>
        </xdr:sp>
        <xdr:sp macro="" textlink="">
          <xdr:nvSpPr>
            <xdr:cNvPr id="21" name="Oval 1760"/>
            <xdr:cNvSpPr>
              <a:spLocks noChangeAspect="1" noChangeArrowheads="1"/>
            </xdr:cNvSpPr>
          </xdr:nvSpPr>
          <xdr:spPr bwMode="auto">
            <a:xfrm>
              <a:off x="4105275" y="355930200"/>
              <a:ext cx="47625" cy="47625"/>
            </a:xfrm>
            <a:prstGeom prst="ellipse">
              <a:avLst/>
            </a:prstGeom>
            <a:solidFill>
              <a:srgbClr val="800000"/>
            </a:solidFill>
            <a:ln w="6350" algn="ctr">
              <a:solidFill>
                <a:srgbClr val="000000"/>
              </a:solidFill>
              <a:round/>
              <a:headEnd/>
              <a:tailEnd/>
            </a:ln>
          </xdr:spPr>
        </xdr:sp>
        <xdr:sp macro="" textlink="">
          <xdr:nvSpPr>
            <xdr:cNvPr id="22" name="Oval 1760"/>
            <xdr:cNvSpPr>
              <a:spLocks noChangeAspect="1" noChangeArrowheads="1"/>
            </xdr:cNvSpPr>
          </xdr:nvSpPr>
          <xdr:spPr bwMode="auto">
            <a:xfrm>
              <a:off x="4648200" y="356454075"/>
              <a:ext cx="47625" cy="47625"/>
            </a:xfrm>
            <a:prstGeom prst="ellipse">
              <a:avLst/>
            </a:prstGeom>
            <a:solidFill>
              <a:srgbClr val="800000"/>
            </a:solidFill>
            <a:ln w="6350" algn="ctr">
              <a:solidFill>
                <a:srgbClr val="000000"/>
              </a:solidFill>
              <a:round/>
              <a:headEnd/>
              <a:tailEnd/>
            </a:ln>
          </xdr:spPr>
        </xdr:sp>
        <xdr:sp macro="" textlink="">
          <xdr:nvSpPr>
            <xdr:cNvPr id="23" name="Oval 1760"/>
            <xdr:cNvSpPr>
              <a:spLocks noChangeAspect="1" noChangeArrowheads="1"/>
            </xdr:cNvSpPr>
          </xdr:nvSpPr>
          <xdr:spPr bwMode="auto">
            <a:xfrm>
              <a:off x="4257675" y="355520625"/>
              <a:ext cx="47625" cy="47625"/>
            </a:xfrm>
            <a:prstGeom prst="ellipse">
              <a:avLst/>
            </a:prstGeom>
            <a:solidFill>
              <a:srgbClr val="800000"/>
            </a:solidFill>
            <a:ln w="6350" algn="ctr">
              <a:solidFill>
                <a:srgbClr val="000000"/>
              </a:solidFill>
              <a:round/>
              <a:headEnd/>
              <a:tailEnd/>
            </a:ln>
          </xdr:spPr>
        </xdr:sp>
        <xdr:sp macro="" textlink="">
          <xdr:nvSpPr>
            <xdr:cNvPr id="24" name="Oval 1760"/>
            <xdr:cNvSpPr>
              <a:spLocks noChangeAspect="1" noChangeArrowheads="1"/>
            </xdr:cNvSpPr>
          </xdr:nvSpPr>
          <xdr:spPr bwMode="auto">
            <a:xfrm>
              <a:off x="5191125" y="355949250"/>
              <a:ext cx="47625" cy="47625"/>
            </a:xfrm>
            <a:prstGeom prst="ellipse">
              <a:avLst/>
            </a:prstGeom>
            <a:solidFill>
              <a:srgbClr val="800000"/>
            </a:solidFill>
            <a:ln w="6350" algn="ctr">
              <a:solidFill>
                <a:srgbClr val="000000"/>
              </a:solidFill>
              <a:round/>
              <a:headEnd/>
              <a:tailEnd/>
            </a:ln>
          </xdr:spPr>
        </xdr:sp>
        <xdr:sp macro="" textlink="">
          <xdr:nvSpPr>
            <xdr:cNvPr id="25" name="Oval 1760"/>
            <xdr:cNvSpPr>
              <a:spLocks noChangeAspect="1" noChangeArrowheads="1"/>
            </xdr:cNvSpPr>
          </xdr:nvSpPr>
          <xdr:spPr bwMode="auto">
            <a:xfrm>
              <a:off x="4295775" y="356292150"/>
              <a:ext cx="47625" cy="47625"/>
            </a:xfrm>
            <a:prstGeom prst="ellipse">
              <a:avLst/>
            </a:prstGeom>
            <a:solidFill>
              <a:srgbClr val="800000"/>
            </a:solidFill>
            <a:ln w="6350" algn="ctr">
              <a:solidFill>
                <a:srgbClr val="000000"/>
              </a:solidFill>
              <a:round/>
              <a:headEnd/>
              <a:tailEnd/>
            </a:ln>
          </xdr:spPr>
        </xdr:sp>
        <xdr:sp macro="" textlink="">
          <xdr:nvSpPr>
            <xdr:cNvPr id="26" name="Oval 1760"/>
            <xdr:cNvSpPr>
              <a:spLocks noChangeAspect="1" noChangeArrowheads="1"/>
            </xdr:cNvSpPr>
          </xdr:nvSpPr>
          <xdr:spPr bwMode="auto">
            <a:xfrm>
              <a:off x="5076825" y="355577775"/>
              <a:ext cx="47625" cy="47625"/>
            </a:xfrm>
            <a:prstGeom prst="ellipse">
              <a:avLst/>
            </a:prstGeom>
            <a:solidFill>
              <a:srgbClr val="800000"/>
            </a:solidFill>
            <a:ln w="6350" algn="ctr">
              <a:solidFill>
                <a:srgbClr val="000000"/>
              </a:solidFill>
              <a:round/>
              <a:headEnd/>
              <a:tailEnd/>
            </a:ln>
          </xdr:spPr>
        </xdr:sp>
        <xdr:sp macro="" textlink="">
          <xdr:nvSpPr>
            <xdr:cNvPr id="27" name="Oval 1760"/>
            <xdr:cNvSpPr>
              <a:spLocks noChangeAspect="1" noChangeArrowheads="1"/>
            </xdr:cNvSpPr>
          </xdr:nvSpPr>
          <xdr:spPr bwMode="auto">
            <a:xfrm>
              <a:off x="5019675" y="356301675"/>
              <a:ext cx="47625" cy="47625"/>
            </a:xfrm>
            <a:prstGeom prst="ellipse">
              <a:avLst/>
            </a:prstGeom>
            <a:solidFill>
              <a:srgbClr val="800000"/>
            </a:solidFill>
            <a:ln w="6350" algn="ctr">
              <a:solidFill>
                <a:srgbClr val="000000"/>
              </a:solidFill>
              <a:round/>
              <a:headEnd/>
              <a:tailEnd/>
            </a:ln>
          </xdr:spPr>
        </xdr:sp>
      </xdr:grpSp>
      <xdr:cxnSp macro="">
        <xdr:nvCxnSpPr>
          <xdr:cNvPr id="15" name="Straight Connector 14"/>
          <xdr:cNvCxnSpPr/>
        </xdr:nvCxnSpPr>
        <xdr:spPr>
          <a:xfrm>
            <a:off x="6681139" y="8998824"/>
            <a:ext cx="0" cy="1037794"/>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xdr:cNvCxnSpPr/>
        </xdr:nvCxnSpPr>
        <xdr:spPr>
          <a:xfrm>
            <a:off x="5910046" y="8991599"/>
            <a:ext cx="919380"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5924875" y="10039350"/>
            <a:ext cx="867479"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435808</xdr:colOff>
      <xdr:row>2</xdr:row>
      <xdr:rowOff>1382</xdr:rowOff>
    </xdr:from>
    <xdr:to>
      <xdr:col>11</xdr:col>
      <xdr:colOff>133350</xdr:colOff>
      <xdr:row>2</xdr:row>
      <xdr:rowOff>1382</xdr:rowOff>
    </xdr:to>
    <xdr:sp macro="" textlink="">
      <xdr:nvSpPr>
        <xdr:cNvPr id="28" name="Line 1737"/>
        <xdr:cNvSpPr>
          <a:spLocks noChangeShapeType="1"/>
        </xdr:cNvSpPr>
      </xdr:nvSpPr>
      <xdr:spPr bwMode="auto">
        <a:xfrm>
          <a:off x="5064958" y="382382"/>
          <a:ext cx="726242" cy="0"/>
        </a:xfrm>
        <a:prstGeom prst="line">
          <a:avLst/>
        </a:prstGeom>
        <a:noFill/>
        <a:ln w="6350">
          <a:solidFill>
            <a:srgbClr val="0000FF"/>
          </a:solidFill>
          <a:prstDash val="sysDot"/>
          <a:round/>
          <a:headEnd/>
          <a:tailEnd/>
        </a:ln>
      </xdr:spPr>
    </xdr:sp>
    <xdr:clientData/>
  </xdr:twoCellAnchor>
  <xdr:twoCellAnchor>
    <xdr:from>
      <xdr:col>3</xdr:col>
      <xdr:colOff>76200</xdr:colOff>
      <xdr:row>56</xdr:row>
      <xdr:rowOff>0</xdr:rowOff>
    </xdr:from>
    <xdr:to>
      <xdr:col>6</xdr:col>
      <xdr:colOff>361950</xdr:colOff>
      <xdr:row>58</xdr:row>
      <xdr:rowOff>47625</xdr:rowOff>
    </xdr:to>
    <xdr:sp macro="" textlink="">
      <xdr:nvSpPr>
        <xdr:cNvPr id="29" name="Freeform 28"/>
        <xdr:cNvSpPr/>
      </xdr:nvSpPr>
      <xdr:spPr>
        <a:xfrm>
          <a:off x="1685925" y="11420475"/>
          <a:ext cx="1828800" cy="504825"/>
        </a:xfrm>
        <a:custGeom>
          <a:avLst/>
          <a:gdLst>
            <a:gd name="connsiteX0" fmla="*/ 0 w 1828800"/>
            <a:gd name="connsiteY0" fmla="*/ 371475 h 447675"/>
            <a:gd name="connsiteX1" fmla="*/ 38100 w 1828800"/>
            <a:gd name="connsiteY1" fmla="*/ 447675 h 447675"/>
            <a:gd name="connsiteX2" fmla="*/ 247650 w 1828800"/>
            <a:gd name="connsiteY2" fmla="*/ 0 h 447675"/>
            <a:gd name="connsiteX3" fmla="*/ 1828800 w 1828800"/>
            <a:gd name="connsiteY3" fmla="*/ 0 h 447675"/>
          </a:gdLst>
          <a:ahLst/>
          <a:cxnLst>
            <a:cxn ang="0">
              <a:pos x="connsiteX0" y="connsiteY0"/>
            </a:cxn>
            <a:cxn ang="0">
              <a:pos x="connsiteX1" y="connsiteY1"/>
            </a:cxn>
            <a:cxn ang="0">
              <a:pos x="connsiteX2" y="connsiteY2"/>
            </a:cxn>
            <a:cxn ang="0">
              <a:pos x="connsiteX3" y="connsiteY3"/>
            </a:cxn>
          </a:cxnLst>
          <a:rect l="l" t="t" r="r" b="b"/>
          <a:pathLst>
            <a:path w="1828800" h="447675">
              <a:moveTo>
                <a:pt x="0" y="371475"/>
              </a:moveTo>
              <a:lnTo>
                <a:pt x="38100" y="447675"/>
              </a:lnTo>
              <a:lnTo>
                <a:pt x="247650" y="0"/>
              </a:lnTo>
              <a:lnTo>
                <a:pt x="1828800" y="0"/>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76200</xdr:colOff>
      <xdr:row>67</xdr:row>
      <xdr:rowOff>171450</xdr:rowOff>
    </xdr:from>
    <xdr:to>
      <xdr:col>3</xdr:col>
      <xdr:colOff>200025</xdr:colOff>
      <xdr:row>70</xdr:row>
      <xdr:rowOff>38100</xdr:rowOff>
    </xdr:to>
    <xdr:sp macro="" textlink="">
      <xdr:nvSpPr>
        <xdr:cNvPr id="30" name="Left Brace 29"/>
        <xdr:cNvSpPr/>
      </xdr:nvSpPr>
      <xdr:spPr>
        <a:xfrm>
          <a:off x="1685925" y="13382625"/>
          <a:ext cx="123825" cy="504825"/>
        </a:xfrm>
        <a:prstGeom prst="leftBrace">
          <a:avLst>
            <a:gd name="adj1" fmla="val 30555"/>
            <a:gd name="adj2"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76200</xdr:colOff>
      <xdr:row>70</xdr:row>
      <xdr:rowOff>171450</xdr:rowOff>
    </xdr:from>
    <xdr:to>
      <xdr:col>3</xdr:col>
      <xdr:colOff>200025</xdr:colOff>
      <xdr:row>73</xdr:row>
      <xdr:rowOff>38100</xdr:rowOff>
    </xdr:to>
    <xdr:sp macro="" textlink="">
      <xdr:nvSpPr>
        <xdr:cNvPr id="31" name="Left Brace 30"/>
        <xdr:cNvSpPr/>
      </xdr:nvSpPr>
      <xdr:spPr>
        <a:xfrm>
          <a:off x="1685925" y="13382625"/>
          <a:ext cx="123825" cy="514350"/>
        </a:xfrm>
        <a:prstGeom prst="leftBrace">
          <a:avLst>
            <a:gd name="adj1" fmla="val 30555"/>
            <a:gd name="adj2"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504825</xdr:colOff>
      <xdr:row>7</xdr:row>
      <xdr:rowOff>0</xdr:rowOff>
    </xdr:from>
    <xdr:to>
      <xdr:col>4</xdr:col>
      <xdr:colOff>0</xdr:colOff>
      <xdr:row>19</xdr:row>
      <xdr:rowOff>0</xdr:rowOff>
    </xdr:to>
    <xdr:sp macro="" textlink="">
      <xdr:nvSpPr>
        <xdr:cNvPr id="59" name="Rectangle 58"/>
        <xdr:cNvSpPr/>
      </xdr:nvSpPr>
      <xdr:spPr>
        <a:xfrm>
          <a:off x="1019175" y="1619250"/>
          <a:ext cx="1552575" cy="2333625"/>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257175</xdr:colOff>
      <xdr:row>5</xdr:row>
      <xdr:rowOff>114300</xdr:rowOff>
    </xdr:from>
    <xdr:to>
      <xdr:col>2</xdr:col>
      <xdr:colOff>257175</xdr:colOff>
      <xdr:row>19</xdr:row>
      <xdr:rowOff>152400</xdr:rowOff>
    </xdr:to>
    <xdr:cxnSp macro="">
      <xdr:nvCxnSpPr>
        <xdr:cNvPr id="60" name="Straight Connector 59"/>
        <xdr:cNvCxnSpPr/>
      </xdr:nvCxnSpPr>
      <xdr:spPr>
        <a:xfrm>
          <a:off x="1800225" y="1257300"/>
          <a:ext cx="0" cy="2847975"/>
        </a:xfrm>
        <a:prstGeom prst="line">
          <a:avLst/>
        </a:prstGeom>
        <a:ln w="9525">
          <a:solidFill>
            <a:schemeClr val="tx2"/>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295275</xdr:colOff>
      <xdr:row>12</xdr:row>
      <xdr:rowOff>152400</xdr:rowOff>
    </xdr:from>
    <xdr:to>
      <xdr:col>4</xdr:col>
      <xdr:colOff>419100</xdr:colOff>
      <xdr:row>12</xdr:row>
      <xdr:rowOff>152400</xdr:rowOff>
    </xdr:to>
    <xdr:cxnSp macro="">
      <xdr:nvCxnSpPr>
        <xdr:cNvPr id="61" name="Straight Connector 60"/>
        <xdr:cNvCxnSpPr/>
      </xdr:nvCxnSpPr>
      <xdr:spPr>
        <a:xfrm>
          <a:off x="809625" y="2533650"/>
          <a:ext cx="2181225" cy="0"/>
        </a:xfrm>
        <a:prstGeom prst="line">
          <a:avLst/>
        </a:prstGeom>
        <a:ln w="9525">
          <a:solidFill>
            <a:schemeClr val="tx2"/>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161926</xdr:colOff>
      <xdr:row>8</xdr:row>
      <xdr:rowOff>66674</xdr:rowOff>
    </xdr:from>
    <xdr:to>
      <xdr:col>1</xdr:col>
      <xdr:colOff>428626</xdr:colOff>
      <xdr:row>9</xdr:row>
      <xdr:rowOff>133349</xdr:rowOff>
    </xdr:to>
    <xdr:sp macro="" textlink="">
      <xdr:nvSpPr>
        <xdr:cNvPr id="62" name="Oval 61"/>
        <xdr:cNvSpPr/>
      </xdr:nvSpPr>
      <xdr:spPr>
        <a:xfrm>
          <a:off x="1190626" y="1924049"/>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85726</xdr:colOff>
      <xdr:row>8</xdr:row>
      <xdr:rowOff>57149</xdr:rowOff>
    </xdr:from>
    <xdr:to>
      <xdr:col>3</xdr:col>
      <xdr:colOff>352426</xdr:colOff>
      <xdr:row>9</xdr:row>
      <xdr:rowOff>123824</xdr:rowOff>
    </xdr:to>
    <xdr:sp macro="" textlink="">
      <xdr:nvSpPr>
        <xdr:cNvPr id="63" name="Oval 62"/>
        <xdr:cNvSpPr/>
      </xdr:nvSpPr>
      <xdr:spPr>
        <a:xfrm>
          <a:off x="2143126" y="191452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161926</xdr:colOff>
      <xdr:row>16</xdr:row>
      <xdr:rowOff>57149</xdr:rowOff>
    </xdr:from>
    <xdr:to>
      <xdr:col>1</xdr:col>
      <xdr:colOff>428626</xdr:colOff>
      <xdr:row>17</xdr:row>
      <xdr:rowOff>123824</xdr:rowOff>
    </xdr:to>
    <xdr:sp macro="" textlink="">
      <xdr:nvSpPr>
        <xdr:cNvPr id="64" name="Oval 63"/>
        <xdr:cNvSpPr/>
      </xdr:nvSpPr>
      <xdr:spPr>
        <a:xfrm>
          <a:off x="1190626" y="343852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85726</xdr:colOff>
      <xdr:row>16</xdr:row>
      <xdr:rowOff>47624</xdr:rowOff>
    </xdr:from>
    <xdr:to>
      <xdr:col>3</xdr:col>
      <xdr:colOff>352426</xdr:colOff>
      <xdr:row>17</xdr:row>
      <xdr:rowOff>114299</xdr:rowOff>
    </xdr:to>
    <xdr:sp macro="" textlink="">
      <xdr:nvSpPr>
        <xdr:cNvPr id="65" name="Oval 64"/>
        <xdr:cNvSpPr/>
      </xdr:nvSpPr>
      <xdr:spPr>
        <a:xfrm>
          <a:off x="2143126" y="3428999"/>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0</xdr:col>
      <xdr:colOff>504825</xdr:colOff>
      <xdr:row>5</xdr:row>
      <xdr:rowOff>66675</xdr:rowOff>
    </xdr:from>
    <xdr:to>
      <xdr:col>0</xdr:col>
      <xdr:colOff>504825</xdr:colOff>
      <xdr:row>8</xdr:row>
      <xdr:rowOff>19052</xdr:rowOff>
    </xdr:to>
    <xdr:cxnSp macro="">
      <xdr:nvCxnSpPr>
        <xdr:cNvPr id="66" name="Straight Connector 65"/>
        <xdr:cNvCxnSpPr/>
      </xdr:nvCxnSpPr>
      <xdr:spPr>
        <a:xfrm flipV="1">
          <a:off x="1019175" y="1209675"/>
          <a:ext cx="0" cy="666752"/>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504825</xdr:colOff>
      <xdr:row>18</xdr:row>
      <xdr:rowOff>66676</xdr:rowOff>
    </xdr:from>
    <xdr:to>
      <xdr:col>0</xdr:col>
      <xdr:colOff>504825</xdr:colOff>
      <xdr:row>20</xdr:row>
      <xdr:rowOff>104775</xdr:rowOff>
    </xdr:to>
    <xdr:cxnSp macro="">
      <xdr:nvCxnSpPr>
        <xdr:cNvPr id="67" name="Straight Connector 66"/>
        <xdr:cNvCxnSpPr/>
      </xdr:nvCxnSpPr>
      <xdr:spPr>
        <a:xfrm flipV="1">
          <a:off x="1019175" y="3829051"/>
          <a:ext cx="0" cy="419099"/>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314325</xdr:colOff>
      <xdr:row>6</xdr:row>
      <xdr:rowOff>0</xdr:rowOff>
    </xdr:from>
    <xdr:to>
      <xdr:col>3</xdr:col>
      <xdr:colOff>247650</xdr:colOff>
      <xdr:row>6</xdr:row>
      <xdr:rowOff>0</xdr:rowOff>
    </xdr:to>
    <xdr:cxnSp macro="">
      <xdr:nvCxnSpPr>
        <xdr:cNvPr id="68" name="Straight Connector 67"/>
        <xdr:cNvCxnSpPr/>
      </xdr:nvCxnSpPr>
      <xdr:spPr>
        <a:xfrm>
          <a:off x="1343025" y="1381125"/>
          <a:ext cx="96202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5</xdr:row>
      <xdr:rowOff>76200</xdr:rowOff>
    </xdr:from>
    <xdr:to>
      <xdr:col>1</xdr:col>
      <xdr:colOff>295275</xdr:colOff>
      <xdr:row>8</xdr:row>
      <xdr:rowOff>123825</xdr:rowOff>
    </xdr:to>
    <xdr:cxnSp macro="">
      <xdr:nvCxnSpPr>
        <xdr:cNvPr id="69" name="Straight Connector 68"/>
        <xdr:cNvCxnSpPr/>
      </xdr:nvCxnSpPr>
      <xdr:spPr>
        <a:xfrm flipV="1">
          <a:off x="1323975" y="1219200"/>
          <a:ext cx="0" cy="76200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247650</xdr:colOff>
      <xdr:row>5</xdr:row>
      <xdr:rowOff>104775</xdr:rowOff>
    </xdr:from>
    <xdr:to>
      <xdr:col>3</xdr:col>
      <xdr:colOff>247650</xdr:colOff>
      <xdr:row>8</xdr:row>
      <xdr:rowOff>152400</xdr:rowOff>
    </xdr:to>
    <xdr:cxnSp macro="">
      <xdr:nvCxnSpPr>
        <xdr:cNvPr id="70" name="Straight Connector 69"/>
        <xdr:cNvCxnSpPr/>
      </xdr:nvCxnSpPr>
      <xdr:spPr>
        <a:xfrm flipV="1">
          <a:off x="2305050" y="1247775"/>
          <a:ext cx="0" cy="76200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6</xdr:row>
      <xdr:rowOff>0</xdr:rowOff>
    </xdr:from>
    <xdr:to>
      <xdr:col>1</xdr:col>
      <xdr:colOff>304800</xdr:colOff>
      <xdr:row>6</xdr:row>
      <xdr:rowOff>0</xdr:rowOff>
    </xdr:to>
    <xdr:cxnSp macro="">
      <xdr:nvCxnSpPr>
        <xdr:cNvPr id="71" name="Straight Connector 70"/>
        <xdr:cNvCxnSpPr/>
      </xdr:nvCxnSpPr>
      <xdr:spPr>
        <a:xfrm>
          <a:off x="1028700" y="1381125"/>
          <a:ext cx="30480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210509</xdr:colOff>
      <xdr:row>8</xdr:row>
      <xdr:rowOff>190061</xdr:rowOff>
    </xdr:from>
    <xdr:to>
      <xdr:col>4</xdr:col>
      <xdr:colOff>438150</xdr:colOff>
      <xdr:row>8</xdr:row>
      <xdr:rowOff>190061</xdr:rowOff>
    </xdr:to>
    <xdr:cxnSp macro="">
      <xdr:nvCxnSpPr>
        <xdr:cNvPr id="72" name="Straight Connector 71"/>
        <xdr:cNvCxnSpPr/>
      </xdr:nvCxnSpPr>
      <xdr:spPr>
        <a:xfrm flipH="1">
          <a:off x="2267909" y="2047436"/>
          <a:ext cx="741991"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391486</xdr:colOff>
      <xdr:row>18</xdr:row>
      <xdr:rowOff>190061</xdr:rowOff>
    </xdr:from>
    <xdr:to>
      <xdr:col>5</xdr:col>
      <xdr:colOff>228600</xdr:colOff>
      <xdr:row>18</xdr:row>
      <xdr:rowOff>190061</xdr:rowOff>
    </xdr:to>
    <xdr:cxnSp macro="">
      <xdr:nvCxnSpPr>
        <xdr:cNvPr id="73" name="Straight Connector 72"/>
        <xdr:cNvCxnSpPr/>
      </xdr:nvCxnSpPr>
      <xdr:spPr>
        <a:xfrm flipH="1">
          <a:off x="2448886" y="3952436"/>
          <a:ext cx="865814"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12</xdr:row>
      <xdr:rowOff>180975</xdr:rowOff>
    </xdr:from>
    <xdr:to>
      <xdr:col>4</xdr:col>
      <xdr:colOff>200025</xdr:colOff>
      <xdr:row>16</xdr:row>
      <xdr:rowOff>152401</xdr:rowOff>
    </xdr:to>
    <xdr:cxnSp macro="">
      <xdr:nvCxnSpPr>
        <xdr:cNvPr id="74" name="Straight Connector 73"/>
        <xdr:cNvCxnSpPr/>
      </xdr:nvCxnSpPr>
      <xdr:spPr>
        <a:xfrm flipV="1">
          <a:off x="2257425" y="2562225"/>
          <a:ext cx="0" cy="733426"/>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7</xdr:row>
      <xdr:rowOff>9525</xdr:rowOff>
    </xdr:from>
    <xdr:to>
      <xdr:col>4</xdr:col>
      <xdr:colOff>200025</xdr:colOff>
      <xdr:row>9</xdr:row>
      <xdr:rowOff>1</xdr:rowOff>
    </xdr:to>
    <xdr:cxnSp macro="">
      <xdr:nvCxnSpPr>
        <xdr:cNvPr id="75" name="Straight Connector 74"/>
        <xdr:cNvCxnSpPr/>
      </xdr:nvCxnSpPr>
      <xdr:spPr>
        <a:xfrm flipV="1">
          <a:off x="2771775" y="1628775"/>
          <a:ext cx="0" cy="419101"/>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381961</xdr:colOff>
      <xdr:row>6</xdr:row>
      <xdr:rowOff>237686</xdr:rowOff>
    </xdr:from>
    <xdr:to>
      <xdr:col>5</xdr:col>
      <xdr:colOff>238125</xdr:colOff>
      <xdr:row>6</xdr:row>
      <xdr:rowOff>237686</xdr:rowOff>
    </xdr:to>
    <xdr:cxnSp macro="">
      <xdr:nvCxnSpPr>
        <xdr:cNvPr id="76" name="Straight Connector 75"/>
        <xdr:cNvCxnSpPr/>
      </xdr:nvCxnSpPr>
      <xdr:spPr>
        <a:xfrm flipH="1" flipV="1">
          <a:off x="2439361" y="1618811"/>
          <a:ext cx="884864"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123825</xdr:colOff>
      <xdr:row>7</xdr:row>
      <xdr:rowOff>0</xdr:rowOff>
    </xdr:from>
    <xdr:to>
      <xdr:col>5</xdr:col>
      <xdr:colOff>123825</xdr:colOff>
      <xdr:row>18</xdr:row>
      <xdr:rowOff>172500</xdr:rowOff>
    </xdr:to>
    <xdr:cxnSp macro="">
      <xdr:nvCxnSpPr>
        <xdr:cNvPr id="77" name="Straight Connector 76"/>
        <xdr:cNvCxnSpPr/>
      </xdr:nvCxnSpPr>
      <xdr:spPr>
        <a:xfrm flipV="1">
          <a:off x="3209925" y="1619250"/>
          <a:ext cx="0" cy="2315625"/>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18</xdr:row>
      <xdr:rowOff>57151</xdr:rowOff>
    </xdr:from>
    <xdr:to>
      <xdr:col>4</xdr:col>
      <xdr:colOff>0</xdr:colOff>
      <xdr:row>20</xdr:row>
      <xdr:rowOff>76200</xdr:rowOff>
    </xdr:to>
    <xdr:cxnSp macro="">
      <xdr:nvCxnSpPr>
        <xdr:cNvPr id="78" name="Straight Connector 77"/>
        <xdr:cNvCxnSpPr/>
      </xdr:nvCxnSpPr>
      <xdr:spPr>
        <a:xfrm flipV="1">
          <a:off x="2571750" y="3819526"/>
          <a:ext cx="0" cy="400049"/>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20</xdr:row>
      <xdr:rowOff>0</xdr:rowOff>
    </xdr:from>
    <xdr:to>
      <xdr:col>4</xdr:col>
      <xdr:colOff>0</xdr:colOff>
      <xdr:row>20</xdr:row>
      <xdr:rowOff>0</xdr:rowOff>
    </xdr:to>
    <xdr:cxnSp macro="">
      <xdr:nvCxnSpPr>
        <xdr:cNvPr id="79" name="Straight Connector 78"/>
        <xdr:cNvCxnSpPr/>
      </xdr:nvCxnSpPr>
      <xdr:spPr>
        <a:xfrm>
          <a:off x="1028700" y="4143375"/>
          <a:ext cx="154305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381000</xdr:colOff>
      <xdr:row>15</xdr:row>
      <xdr:rowOff>161925</xdr:rowOff>
    </xdr:from>
    <xdr:to>
      <xdr:col>2</xdr:col>
      <xdr:colOff>9525</xdr:colOff>
      <xdr:row>16</xdr:row>
      <xdr:rowOff>143652</xdr:rowOff>
    </xdr:to>
    <xdr:sp macro="" textlink="">
      <xdr:nvSpPr>
        <xdr:cNvPr id="80" name="TextBox 79"/>
        <xdr:cNvSpPr txBox="1"/>
      </xdr:nvSpPr>
      <xdr:spPr>
        <a:xfrm>
          <a:off x="1409700" y="3352800"/>
          <a:ext cx="142875"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1</a:t>
          </a:r>
        </a:p>
      </xdr:txBody>
    </xdr:sp>
    <xdr:clientData/>
  </xdr:twoCellAnchor>
  <xdr:twoCellAnchor>
    <xdr:from>
      <xdr:col>1</xdr:col>
      <xdr:colOff>419100</xdr:colOff>
      <xdr:row>12</xdr:row>
      <xdr:rowOff>0</xdr:rowOff>
    </xdr:from>
    <xdr:to>
      <xdr:col>2</xdr:col>
      <xdr:colOff>47625</xdr:colOff>
      <xdr:row>12</xdr:row>
      <xdr:rowOff>172227</xdr:rowOff>
    </xdr:to>
    <xdr:sp macro="" textlink="">
      <xdr:nvSpPr>
        <xdr:cNvPr id="82" name="TextBox 81"/>
        <xdr:cNvSpPr txBox="1"/>
      </xdr:nvSpPr>
      <xdr:spPr>
        <a:xfrm>
          <a:off x="933450" y="2381250"/>
          <a:ext cx="142875"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2</a:t>
          </a:r>
        </a:p>
      </xdr:txBody>
    </xdr:sp>
    <xdr:clientData/>
  </xdr:twoCellAnchor>
  <xdr:twoCellAnchor>
    <xdr:from>
      <xdr:col>1</xdr:col>
      <xdr:colOff>428625</xdr:colOff>
      <xdr:row>8</xdr:row>
      <xdr:rowOff>47625</xdr:rowOff>
    </xdr:from>
    <xdr:to>
      <xdr:col>2</xdr:col>
      <xdr:colOff>57150</xdr:colOff>
      <xdr:row>9</xdr:row>
      <xdr:rowOff>29352</xdr:rowOff>
    </xdr:to>
    <xdr:sp macro="" textlink="">
      <xdr:nvSpPr>
        <xdr:cNvPr id="83" name="TextBox 82"/>
        <xdr:cNvSpPr txBox="1"/>
      </xdr:nvSpPr>
      <xdr:spPr>
        <a:xfrm>
          <a:off x="942975" y="1666875"/>
          <a:ext cx="142875"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3</a:t>
          </a:r>
        </a:p>
      </xdr:txBody>
    </xdr:sp>
    <xdr:clientData/>
  </xdr:twoCellAnchor>
  <xdr:twoCellAnchor>
    <xdr:from>
      <xdr:col>3</xdr:col>
      <xdr:colOff>352426</xdr:colOff>
      <xdr:row>15</xdr:row>
      <xdr:rowOff>142877</xdr:rowOff>
    </xdr:from>
    <xdr:to>
      <xdr:col>3</xdr:col>
      <xdr:colOff>466726</xdr:colOff>
      <xdr:row>16</xdr:row>
      <xdr:rowOff>124604</xdr:rowOff>
    </xdr:to>
    <xdr:sp macro="" textlink="">
      <xdr:nvSpPr>
        <xdr:cNvPr id="85" name="TextBox 84"/>
        <xdr:cNvSpPr txBox="1"/>
      </xdr:nvSpPr>
      <xdr:spPr>
        <a:xfrm>
          <a:off x="1895476" y="3095627"/>
          <a:ext cx="114300"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4</a:t>
          </a:r>
        </a:p>
      </xdr:txBody>
    </xdr:sp>
    <xdr:clientData/>
  </xdr:twoCellAnchor>
  <xdr:twoCellAnchor>
    <xdr:from>
      <xdr:col>3</xdr:col>
      <xdr:colOff>277185</xdr:colOff>
      <xdr:row>17</xdr:row>
      <xdr:rowOff>0</xdr:rowOff>
    </xdr:from>
    <xdr:to>
      <xdr:col>4</xdr:col>
      <xdr:colOff>371475</xdr:colOff>
      <xdr:row>17</xdr:row>
      <xdr:rowOff>0</xdr:rowOff>
    </xdr:to>
    <xdr:cxnSp macro="">
      <xdr:nvCxnSpPr>
        <xdr:cNvPr id="86" name="Straight Connector 85"/>
        <xdr:cNvCxnSpPr/>
      </xdr:nvCxnSpPr>
      <xdr:spPr>
        <a:xfrm flipH="1">
          <a:off x="2334585" y="3571875"/>
          <a:ext cx="608640"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209550</xdr:colOff>
      <xdr:row>17</xdr:row>
      <xdr:rowOff>0</xdr:rowOff>
    </xdr:from>
    <xdr:to>
      <xdr:col>4</xdr:col>
      <xdr:colOff>209550</xdr:colOff>
      <xdr:row>18</xdr:row>
      <xdr:rowOff>180976</xdr:rowOff>
    </xdr:to>
    <xdr:cxnSp macro="">
      <xdr:nvCxnSpPr>
        <xdr:cNvPr id="35" name="Straight Connector 34"/>
        <xdr:cNvCxnSpPr/>
      </xdr:nvCxnSpPr>
      <xdr:spPr>
        <a:xfrm flipV="1">
          <a:off x="2266950" y="3333750"/>
          <a:ext cx="0" cy="371476"/>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161926</xdr:colOff>
      <xdr:row>12</xdr:row>
      <xdr:rowOff>28574</xdr:rowOff>
    </xdr:from>
    <xdr:to>
      <xdr:col>1</xdr:col>
      <xdr:colOff>428626</xdr:colOff>
      <xdr:row>13</xdr:row>
      <xdr:rowOff>95249</xdr:rowOff>
    </xdr:to>
    <xdr:sp macro="" textlink="">
      <xdr:nvSpPr>
        <xdr:cNvPr id="30" name="Oval 29"/>
        <xdr:cNvSpPr/>
      </xdr:nvSpPr>
      <xdr:spPr>
        <a:xfrm>
          <a:off x="676276" y="240982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85726</xdr:colOff>
      <xdr:row>12</xdr:row>
      <xdr:rowOff>19049</xdr:rowOff>
    </xdr:from>
    <xdr:to>
      <xdr:col>3</xdr:col>
      <xdr:colOff>352426</xdr:colOff>
      <xdr:row>13</xdr:row>
      <xdr:rowOff>85724</xdr:rowOff>
    </xdr:to>
    <xdr:sp macro="" textlink="">
      <xdr:nvSpPr>
        <xdr:cNvPr id="31" name="Oval 30"/>
        <xdr:cNvSpPr/>
      </xdr:nvSpPr>
      <xdr:spPr>
        <a:xfrm>
          <a:off x="1628776" y="2400299"/>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200025</xdr:colOff>
      <xdr:row>9</xdr:row>
      <xdr:rowOff>0</xdr:rowOff>
    </xdr:from>
    <xdr:to>
      <xdr:col>4</xdr:col>
      <xdr:colOff>200025</xdr:colOff>
      <xdr:row>12</xdr:row>
      <xdr:rowOff>161926</xdr:rowOff>
    </xdr:to>
    <xdr:cxnSp macro="">
      <xdr:nvCxnSpPr>
        <xdr:cNvPr id="34" name="Straight Connector 33"/>
        <xdr:cNvCxnSpPr/>
      </xdr:nvCxnSpPr>
      <xdr:spPr>
        <a:xfrm flipV="1">
          <a:off x="2257425" y="1809750"/>
          <a:ext cx="0" cy="733426"/>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352426</xdr:colOff>
      <xdr:row>11</xdr:row>
      <xdr:rowOff>142877</xdr:rowOff>
    </xdr:from>
    <xdr:to>
      <xdr:col>3</xdr:col>
      <xdr:colOff>466726</xdr:colOff>
      <xdr:row>12</xdr:row>
      <xdr:rowOff>124604</xdr:rowOff>
    </xdr:to>
    <xdr:sp macro="" textlink="">
      <xdr:nvSpPr>
        <xdr:cNvPr id="36" name="TextBox 35"/>
        <xdr:cNvSpPr txBox="1"/>
      </xdr:nvSpPr>
      <xdr:spPr>
        <a:xfrm>
          <a:off x="1895476" y="2333627"/>
          <a:ext cx="114300"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5</a:t>
          </a:r>
        </a:p>
      </xdr:txBody>
    </xdr:sp>
    <xdr:clientData/>
  </xdr:twoCellAnchor>
  <xdr:twoCellAnchor>
    <xdr:from>
      <xdr:col>3</xdr:col>
      <xdr:colOff>333376</xdr:colOff>
      <xdr:row>8</xdr:row>
      <xdr:rowOff>19052</xdr:rowOff>
    </xdr:from>
    <xdr:to>
      <xdr:col>3</xdr:col>
      <xdr:colOff>447676</xdr:colOff>
      <xdr:row>9</xdr:row>
      <xdr:rowOff>779</xdr:rowOff>
    </xdr:to>
    <xdr:sp macro="" textlink="">
      <xdr:nvSpPr>
        <xdr:cNvPr id="37" name="TextBox 36"/>
        <xdr:cNvSpPr txBox="1"/>
      </xdr:nvSpPr>
      <xdr:spPr>
        <a:xfrm>
          <a:off x="1876426" y="1638302"/>
          <a:ext cx="114300"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6</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114300</xdr:colOff>
      <xdr:row>84</xdr:row>
      <xdr:rowOff>113861</xdr:rowOff>
    </xdr:from>
    <xdr:to>
      <xdr:col>1</xdr:col>
      <xdr:colOff>190502</xdr:colOff>
      <xdr:row>84</xdr:row>
      <xdr:rowOff>113861</xdr:rowOff>
    </xdr:to>
    <xdr:cxnSp macro="">
      <xdr:nvCxnSpPr>
        <xdr:cNvPr id="120" name="Straight Connector 119"/>
        <xdr:cNvCxnSpPr/>
      </xdr:nvCxnSpPr>
      <xdr:spPr>
        <a:xfrm flipH="1">
          <a:off x="114300" y="16363511"/>
          <a:ext cx="590552"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438150</xdr:colOff>
      <xdr:row>71</xdr:row>
      <xdr:rowOff>180975</xdr:rowOff>
    </xdr:from>
    <xdr:to>
      <xdr:col>4</xdr:col>
      <xdr:colOff>438150</xdr:colOff>
      <xdr:row>85</xdr:row>
      <xdr:rowOff>180975</xdr:rowOff>
    </xdr:to>
    <xdr:sp macro="" textlink="">
      <xdr:nvSpPr>
        <xdr:cNvPr id="84" name="Rectangle 83"/>
        <xdr:cNvSpPr/>
      </xdr:nvSpPr>
      <xdr:spPr>
        <a:xfrm>
          <a:off x="438150" y="13896975"/>
          <a:ext cx="2057400" cy="272415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438150</xdr:colOff>
      <xdr:row>70</xdr:row>
      <xdr:rowOff>104775</xdr:rowOff>
    </xdr:from>
    <xdr:to>
      <xdr:col>2</xdr:col>
      <xdr:colOff>438150</xdr:colOff>
      <xdr:row>88</xdr:row>
      <xdr:rowOff>142875</xdr:rowOff>
    </xdr:to>
    <xdr:cxnSp macro="">
      <xdr:nvCxnSpPr>
        <xdr:cNvPr id="85" name="Straight Connector 84"/>
        <xdr:cNvCxnSpPr/>
      </xdr:nvCxnSpPr>
      <xdr:spPr>
        <a:xfrm>
          <a:off x="1466850" y="13630275"/>
          <a:ext cx="0" cy="3524250"/>
        </a:xfrm>
        <a:prstGeom prst="line">
          <a:avLst/>
        </a:prstGeom>
        <a:ln w="9525">
          <a:solidFill>
            <a:schemeClr val="tx2"/>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133350</xdr:colOff>
      <xdr:row>78</xdr:row>
      <xdr:rowOff>180975</xdr:rowOff>
    </xdr:from>
    <xdr:to>
      <xdr:col>5</xdr:col>
      <xdr:colOff>200025</xdr:colOff>
      <xdr:row>78</xdr:row>
      <xdr:rowOff>180975</xdr:rowOff>
    </xdr:to>
    <xdr:cxnSp macro="">
      <xdr:nvCxnSpPr>
        <xdr:cNvPr id="86" name="Straight Connector 85"/>
        <xdr:cNvCxnSpPr/>
      </xdr:nvCxnSpPr>
      <xdr:spPr>
        <a:xfrm>
          <a:off x="133350" y="15230475"/>
          <a:ext cx="2638425" cy="0"/>
        </a:xfrm>
        <a:prstGeom prst="line">
          <a:avLst/>
        </a:prstGeom>
        <a:ln w="9525">
          <a:solidFill>
            <a:schemeClr val="tx2"/>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85726</xdr:colOff>
      <xdr:row>73</xdr:row>
      <xdr:rowOff>57149</xdr:rowOff>
    </xdr:from>
    <xdr:to>
      <xdr:col>1</xdr:col>
      <xdr:colOff>352426</xdr:colOff>
      <xdr:row>74</xdr:row>
      <xdr:rowOff>123824</xdr:rowOff>
    </xdr:to>
    <xdr:sp macro="" textlink="">
      <xdr:nvSpPr>
        <xdr:cNvPr id="87" name="Oval 86"/>
        <xdr:cNvSpPr/>
      </xdr:nvSpPr>
      <xdr:spPr>
        <a:xfrm>
          <a:off x="600076" y="14154149"/>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504826</xdr:colOff>
      <xdr:row>73</xdr:row>
      <xdr:rowOff>47624</xdr:rowOff>
    </xdr:from>
    <xdr:to>
      <xdr:col>4</xdr:col>
      <xdr:colOff>257176</xdr:colOff>
      <xdr:row>74</xdr:row>
      <xdr:rowOff>114299</xdr:rowOff>
    </xdr:to>
    <xdr:sp macro="" textlink="">
      <xdr:nvSpPr>
        <xdr:cNvPr id="88" name="Oval 87"/>
        <xdr:cNvSpPr/>
      </xdr:nvSpPr>
      <xdr:spPr>
        <a:xfrm>
          <a:off x="2047876" y="1414462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85726</xdr:colOff>
      <xdr:row>83</xdr:row>
      <xdr:rowOff>47624</xdr:rowOff>
    </xdr:from>
    <xdr:to>
      <xdr:col>1</xdr:col>
      <xdr:colOff>352426</xdr:colOff>
      <xdr:row>84</xdr:row>
      <xdr:rowOff>114299</xdr:rowOff>
    </xdr:to>
    <xdr:sp macro="" textlink="">
      <xdr:nvSpPr>
        <xdr:cNvPr id="89" name="Oval 88"/>
        <xdr:cNvSpPr/>
      </xdr:nvSpPr>
      <xdr:spPr>
        <a:xfrm>
          <a:off x="600076" y="1610677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485776</xdr:colOff>
      <xdr:row>83</xdr:row>
      <xdr:rowOff>38099</xdr:rowOff>
    </xdr:from>
    <xdr:to>
      <xdr:col>4</xdr:col>
      <xdr:colOff>238126</xdr:colOff>
      <xdr:row>84</xdr:row>
      <xdr:rowOff>104774</xdr:rowOff>
    </xdr:to>
    <xdr:sp macro="" textlink="">
      <xdr:nvSpPr>
        <xdr:cNvPr id="90" name="Oval 89"/>
        <xdr:cNvSpPr/>
      </xdr:nvSpPr>
      <xdr:spPr>
        <a:xfrm>
          <a:off x="2028826" y="16097249"/>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0</xdr:col>
      <xdr:colOff>438150</xdr:colOff>
      <xdr:row>70</xdr:row>
      <xdr:rowOff>57150</xdr:rowOff>
    </xdr:from>
    <xdr:to>
      <xdr:col>0</xdr:col>
      <xdr:colOff>438150</xdr:colOff>
      <xdr:row>73</xdr:row>
      <xdr:rowOff>9527</xdr:rowOff>
    </xdr:to>
    <xdr:cxnSp macro="">
      <xdr:nvCxnSpPr>
        <xdr:cNvPr id="91" name="Straight Connector 90"/>
        <xdr:cNvCxnSpPr/>
      </xdr:nvCxnSpPr>
      <xdr:spPr>
        <a:xfrm flipV="1">
          <a:off x="438150" y="13582650"/>
          <a:ext cx="0" cy="523877"/>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438150</xdr:colOff>
      <xdr:row>85</xdr:row>
      <xdr:rowOff>57151</xdr:rowOff>
    </xdr:from>
    <xdr:to>
      <xdr:col>0</xdr:col>
      <xdr:colOff>438150</xdr:colOff>
      <xdr:row>89</xdr:row>
      <xdr:rowOff>95250</xdr:rowOff>
    </xdr:to>
    <xdr:cxnSp macro="">
      <xdr:nvCxnSpPr>
        <xdr:cNvPr id="92" name="Straight Connector 91"/>
        <xdr:cNvCxnSpPr/>
      </xdr:nvCxnSpPr>
      <xdr:spPr>
        <a:xfrm flipV="1">
          <a:off x="438150" y="16497301"/>
          <a:ext cx="0" cy="800099"/>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71</xdr:row>
      <xdr:rowOff>0</xdr:rowOff>
    </xdr:from>
    <xdr:to>
      <xdr:col>4</xdr:col>
      <xdr:colOff>114300</xdr:colOff>
      <xdr:row>71</xdr:row>
      <xdr:rowOff>0</xdr:rowOff>
    </xdr:to>
    <xdr:cxnSp macro="">
      <xdr:nvCxnSpPr>
        <xdr:cNvPr id="93" name="Straight Connector 92"/>
        <xdr:cNvCxnSpPr/>
      </xdr:nvCxnSpPr>
      <xdr:spPr>
        <a:xfrm>
          <a:off x="752475" y="13716000"/>
          <a:ext cx="141922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219075</xdr:colOff>
      <xdr:row>70</xdr:row>
      <xdr:rowOff>66675</xdr:rowOff>
    </xdr:from>
    <xdr:to>
      <xdr:col>1</xdr:col>
      <xdr:colOff>219075</xdr:colOff>
      <xdr:row>73</xdr:row>
      <xdr:rowOff>114300</xdr:rowOff>
    </xdr:to>
    <xdr:cxnSp macro="">
      <xdr:nvCxnSpPr>
        <xdr:cNvPr id="94" name="Straight Connector 93"/>
        <xdr:cNvCxnSpPr/>
      </xdr:nvCxnSpPr>
      <xdr:spPr>
        <a:xfrm flipV="1">
          <a:off x="733425" y="13592175"/>
          <a:ext cx="0" cy="61912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70</xdr:row>
      <xdr:rowOff>95250</xdr:rowOff>
    </xdr:from>
    <xdr:to>
      <xdr:col>4</xdr:col>
      <xdr:colOff>123825</xdr:colOff>
      <xdr:row>73</xdr:row>
      <xdr:rowOff>142875</xdr:rowOff>
    </xdr:to>
    <xdr:cxnSp macro="">
      <xdr:nvCxnSpPr>
        <xdr:cNvPr id="95" name="Straight Connector 94"/>
        <xdr:cNvCxnSpPr/>
      </xdr:nvCxnSpPr>
      <xdr:spPr>
        <a:xfrm flipV="1">
          <a:off x="2181225" y="13620750"/>
          <a:ext cx="0" cy="61912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438150</xdr:colOff>
      <xdr:row>70</xdr:row>
      <xdr:rowOff>180975</xdr:rowOff>
    </xdr:from>
    <xdr:to>
      <xdr:col>1</xdr:col>
      <xdr:colOff>228600</xdr:colOff>
      <xdr:row>70</xdr:row>
      <xdr:rowOff>180975</xdr:rowOff>
    </xdr:to>
    <xdr:cxnSp macro="">
      <xdr:nvCxnSpPr>
        <xdr:cNvPr id="96" name="Straight Connector 95"/>
        <xdr:cNvCxnSpPr/>
      </xdr:nvCxnSpPr>
      <xdr:spPr>
        <a:xfrm>
          <a:off x="438150" y="13706475"/>
          <a:ext cx="30480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133350</xdr:colOff>
      <xdr:row>73</xdr:row>
      <xdr:rowOff>180536</xdr:rowOff>
    </xdr:from>
    <xdr:to>
      <xdr:col>1</xdr:col>
      <xdr:colOff>222750</xdr:colOff>
      <xdr:row>73</xdr:row>
      <xdr:rowOff>180536</xdr:rowOff>
    </xdr:to>
    <xdr:cxnSp macro="">
      <xdr:nvCxnSpPr>
        <xdr:cNvPr id="97" name="Straight Connector 96"/>
        <xdr:cNvCxnSpPr/>
      </xdr:nvCxnSpPr>
      <xdr:spPr>
        <a:xfrm flipH="1">
          <a:off x="133350" y="14277536"/>
          <a:ext cx="603750"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85</xdr:row>
      <xdr:rowOff>180536</xdr:rowOff>
    </xdr:from>
    <xdr:to>
      <xdr:col>7</xdr:col>
      <xdr:colOff>38100</xdr:colOff>
      <xdr:row>85</xdr:row>
      <xdr:rowOff>180536</xdr:rowOff>
    </xdr:to>
    <xdr:cxnSp macro="">
      <xdr:nvCxnSpPr>
        <xdr:cNvPr id="98" name="Straight Connector 97"/>
        <xdr:cNvCxnSpPr/>
      </xdr:nvCxnSpPr>
      <xdr:spPr>
        <a:xfrm flipH="1">
          <a:off x="2324100" y="16620686"/>
          <a:ext cx="1314450"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219075</xdr:colOff>
      <xdr:row>74</xdr:row>
      <xdr:rowOff>0</xdr:rowOff>
    </xdr:from>
    <xdr:to>
      <xdr:col>0</xdr:col>
      <xdr:colOff>219075</xdr:colOff>
      <xdr:row>79</xdr:row>
      <xdr:rowOff>9525</xdr:rowOff>
    </xdr:to>
    <xdr:cxnSp macro="">
      <xdr:nvCxnSpPr>
        <xdr:cNvPr id="99" name="Straight Connector 98"/>
        <xdr:cNvCxnSpPr/>
      </xdr:nvCxnSpPr>
      <xdr:spPr>
        <a:xfrm flipV="1">
          <a:off x="219075" y="14287500"/>
          <a:ext cx="0" cy="962025"/>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72</xdr:row>
      <xdr:rowOff>0</xdr:rowOff>
    </xdr:from>
    <xdr:to>
      <xdr:col>0</xdr:col>
      <xdr:colOff>238125</xdr:colOff>
      <xdr:row>73</xdr:row>
      <xdr:rowOff>180976</xdr:rowOff>
    </xdr:to>
    <xdr:cxnSp macro="">
      <xdr:nvCxnSpPr>
        <xdr:cNvPr id="100" name="Straight Connector 99"/>
        <xdr:cNvCxnSpPr/>
      </xdr:nvCxnSpPr>
      <xdr:spPr>
        <a:xfrm flipV="1">
          <a:off x="238125" y="13906500"/>
          <a:ext cx="0" cy="371476"/>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285750</xdr:colOff>
      <xdr:row>71</xdr:row>
      <xdr:rowOff>180536</xdr:rowOff>
    </xdr:from>
    <xdr:to>
      <xdr:col>7</xdr:col>
      <xdr:colOff>28575</xdr:colOff>
      <xdr:row>71</xdr:row>
      <xdr:rowOff>180536</xdr:rowOff>
    </xdr:to>
    <xdr:cxnSp macro="">
      <xdr:nvCxnSpPr>
        <xdr:cNvPr id="101" name="Straight Connector 100"/>
        <xdr:cNvCxnSpPr/>
      </xdr:nvCxnSpPr>
      <xdr:spPr>
        <a:xfrm flipH="1">
          <a:off x="2343150" y="13896536"/>
          <a:ext cx="128587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438150</xdr:colOff>
      <xdr:row>72</xdr:row>
      <xdr:rowOff>0</xdr:rowOff>
    </xdr:from>
    <xdr:to>
      <xdr:col>6</xdr:col>
      <xdr:colOff>438150</xdr:colOff>
      <xdr:row>85</xdr:row>
      <xdr:rowOff>172500</xdr:rowOff>
    </xdr:to>
    <xdr:cxnSp macro="">
      <xdr:nvCxnSpPr>
        <xdr:cNvPr id="102" name="Straight Connector 101"/>
        <xdr:cNvCxnSpPr/>
      </xdr:nvCxnSpPr>
      <xdr:spPr>
        <a:xfrm flipV="1">
          <a:off x="3524250" y="13906500"/>
          <a:ext cx="0" cy="270615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85</xdr:row>
      <xdr:rowOff>76201</xdr:rowOff>
    </xdr:from>
    <xdr:to>
      <xdr:col>4</xdr:col>
      <xdr:colOff>438150</xdr:colOff>
      <xdr:row>89</xdr:row>
      <xdr:rowOff>95250</xdr:rowOff>
    </xdr:to>
    <xdr:cxnSp macro="">
      <xdr:nvCxnSpPr>
        <xdr:cNvPr id="103" name="Straight Connector 102"/>
        <xdr:cNvCxnSpPr/>
      </xdr:nvCxnSpPr>
      <xdr:spPr>
        <a:xfrm flipV="1">
          <a:off x="2495550" y="16516351"/>
          <a:ext cx="0" cy="781049"/>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447675</xdr:colOff>
      <xdr:row>89</xdr:row>
      <xdr:rowOff>0</xdr:rowOff>
    </xdr:from>
    <xdr:to>
      <xdr:col>4</xdr:col>
      <xdr:colOff>419100</xdr:colOff>
      <xdr:row>89</xdr:row>
      <xdr:rowOff>0</xdr:rowOff>
    </xdr:to>
    <xdr:cxnSp macro="">
      <xdr:nvCxnSpPr>
        <xdr:cNvPr id="104" name="Straight Connector 103"/>
        <xdr:cNvCxnSpPr/>
      </xdr:nvCxnSpPr>
      <xdr:spPr>
        <a:xfrm>
          <a:off x="447675" y="17202150"/>
          <a:ext cx="202882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314325</xdr:colOff>
      <xdr:row>82</xdr:row>
      <xdr:rowOff>161925</xdr:rowOff>
    </xdr:from>
    <xdr:to>
      <xdr:col>1</xdr:col>
      <xdr:colOff>457200</xdr:colOff>
      <xdr:row>83</xdr:row>
      <xdr:rowOff>134127</xdr:rowOff>
    </xdr:to>
    <xdr:sp macro="" textlink="">
      <xdr:nvSpPr>
        <xdr:cNvPr id="105" name="TextBox 104"/>
        <xdr:cNvSpPr txBox="1"/>
      </xdr:nvSpPr>
      <xdr:spPr>
        <a:xfrm>
          <a:off x="828675" y="16030575"/>
          <a:ext cx="142875" cy="1627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noAutofit/>
        </a:bodyPr>
        <a:lstStyle/>
        <a:p>
          <a:pPr marL="0" indent="0"/>
          <a:r>
            <a:rPr lang="en-IN" sz="1100">
              <a:solidFill>
                <a:schemeClr val="dk1"/>
              </a:solidFill>
              <a:latin typeface="+mn-lt"/>
              <a:ea typeface="+mn-ea"/>
              <a:cs typeface="+mn-cs"/>
            </a:rPr>
            <a:t>1</a:t>
          </a:r>
        </a:p>
      </xdr:txBody>
    </xdr:sp>
    <xdr:clientData/>
  </xdr:twoCellAnchor>
  <xdr:twoCellAnchor>
    <xdr:from>
      <xdr:col>1</xdr:col>
      <xdr:colOff>314325</xdr:colOff>
      <xdr:row>77</xdr:row>
      <xdr:rowOff>152399</xdr:rowOff>
    </xdr:from>
    <xdr:to>
      <xdr:col>1</xdr:col>
      <xdr:colOff>457200</xdr:colOff>
      <xdr:row>78</xdr:row>
      <xdr:rowOff>134126</xdr:rowOff>
    </xdr:to>
    <xdr:sp macro="" textlink="">
      <xdr:nvSpPr>
        <xdr:cNvPr id="106" name="TextBox 105"/>
        <xdr:cNvSpPr txBox="1"/>
      </xdr:nvSpPr>
      <xdr:spPr>
        <a:xfrm>
          <a:off x="828675" y="15011399"/>
          <a:ext cx="142875"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noAutofit/>
        </a:bodyPr>
        <a:lstStyle/>
        <a:p>
          <a:pPr marL="0" indent="0"/>
          <a:r>
            <a:rPr lang="en-IN" sz="1100">
              <a:solidFill>
                <a:schemeClr val="dk1"/>
              </a:solidFill>
              <a:latin typeface="+mn-lt"/>
              <a:ea typeface="+mn-ea"/>
              <a:cs typeface="+mn-cs"/>
            </a:rPr>
            <a:t>2</a:t>
          </a:r>
        </a:p>
      </xdr:txBody>
    </xdr:sp>
    <xdr:clientData/>
  </xdr:twoCellAnchor>
  <xdr:twoCellAnchor>
    <xdr:from>
      <xdr:col>1</xdr:col>
      <xdr:colOff>314325</xdr:colOff>
      <xdr:row>72</xdr:row>
      <xdr:rowOff>152400</xdr:rowOff>
    </xdr:from>
    <xdr:to>
      <xdr:col>1</xdr:col>
      <xdr:colOff>438150</xdr:colOff>
      <xdr:row>73</xdr:row>
      <xdr:rowOff>134127</xdr:rowOff>
    </xdr:to>
    <xdr:sp macro="" textlink="">
      <xdr:nvSpPr>
        <xdr:cNvPr id="107" name="TextBox 106"/>
        <xdr:cNvSpPr txBox="1"/>
      </xdr:nvSpPr>
      <xdr:spPr>
        <a:xfrm>
          <a:off x="828675" y="14058900"/>
          <a:ext cx="123825"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noAutofit/>
        </a:bodyPr>
        <a:lstStyle/>
        <a:p>
          <a:pPr marL="0" indent="0"/>
          <a:r>
            <a:rPr lang="en-IN" sz="1100">
              <a:solidFill>
                <a:schemeClr val="dk1"/>
              </a:solidFill>
              <a:latin typeface="+mn-lt"/>
              <a:ea typeface="+mn-ea"/>
              <a:cs typeface="+mn-cs"/>
            </a:rPr>
            <a:t>3</a:t>
          </a:r>
        </a:p>
      </xdr:txBody>
    </xdr:sp>
    <xdr:clientData/>
  </xdr:twoCellAnchor>
  <xdr:twoCellAnchor>
    <xdr:from>
      <xdr:col>4</xdr:col>
      <xdr:colOff>219075</xdr:colOff>
      <xdr:row>82</xdr:row>
      <xdr:rowOff>95252</xdr:rowOff>
    </xdr:from>
    <xdr:to>
      <xdr:col>4</xdr:col>
      <xdr:colOff>371474</xdr:colOff>
      <xdr:row>83</xdr:row>
      <xdr:rowOff>76979</xdr:rowOff>
    </xdr:to>
    <xdr:sp macro="" textlink="">
      <xdr:nvSpPr>
        <xdr:cNvPr id="108" name="TextBox 107"/>
        <xdr:cNvSpPr txBox="1"/>
      </xdr:nvSpPr>
      <xdr:spPr>
        <a:xfrm>
          <a:off x="2276475" y="15963902"/>
          <a:ext cx="152399"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noAutofit/>
        </a:bodyPr>
        <a:lstStyle/>
        <a:p>
          <a:pPr marL="0" indent="0"/>
          <a:r>
            <a:rPr lang="en-IN" sz="1100">
              <a:solidFill>
                <a:schemeClr val="dk1"/>
              </a:solidFill>
              <a:latin typeface="+mn-lt"/>
              <a:ea typeface="+mn-ea"/>
              <a:cs typeface="+mn-cs"/>
            </a:rPr>
            <a:t>4</a:t>
          </a:r>
        </a:p>
      </xdr:txBody>
    </xdr:sp>
    <xdr:clientData/>
  </xdr:twoCellAnchor>
  <xdr:twoCellAnchor>
    <xdr:from>
      <xdr:col>2</xdr:col>
      <xdr:colOff>276278</xdr:colOff>
      <xdr:row>76</xdr:row>
      <xdr:rowOff>133156</xdr:rowOff>
    </xdr:from>
    <xdr:to>
      <xdr:col>3</xdr:col>
      <xdr:colOff>66155</xdr:colOff>
      <xdr:row>81</xdr:row>
      <xdr:rowOff>28574</xdr:rowOff>
    </xdr:to>
    <xdr:sp macro="" textlink="">
      <xdr:nvSpPr>
        <xdr:cNvPr id="109" name="Rounded Rectangle 108"/>
        <xdr:cNvSpPr/>
      </xdr:nvSpPr>
      <xdr:spPr>
        <a:xfrm rot="4363">
          <a:off x="1304978" y="14801656"/>
          <a:ext cx="304227" cy="876493"/>
        </a:xfrm>
        <a:prstGeom prst="roundRect">
          <a:avLst>
            <a:gd name="adj"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285751</xdr:colOff>
      <xdr:row>77</xdr:row>
      <xdr:rowOff>180976</xdr:rowOff>
    </xdr:from>
    <xdr:to>
      <xdr:col>3</xdr:col>
      <xdr:colOff>57150</xdr:colOff>
      <xdr:row>77</xdr:row>
      <xdr:rowOff>180976</xdr:rowOff>
    </xdr:to>
    <xdr:cxnSp macro="">
      <xdr:nvCxnSpPr>
        <xdr:cNvPr id="110" name="Straight Connector 109"/>
        <xdr:cNvCxnSpPr/>
      </xdr:nvCxnSpPr>
      <xdr:spPr>
        <a:xfrm flipH="1">
          <a:off x="1314451" y="15039976"/>
          <a:ext cx="285749"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171451</xdr:colOff>
      <xdr:row>76</xdr:row>
      <xdr:rowOff>133350</xdr:rowOff>
    </xdr:from>
    <xdr:to>
      <xdr:col>3</xdr:col>
      <xdr:colOff>171451</xdr:colOff>
      <xdr:row>80</xdr:row>
      <xdr:rowOff>178200</xdr:rowOff>
    </xdr:to>
    <xdr:cxnSp macro="">
      <xdr:nvCxnSpPr>
        <xdr:cNvPr id="111" name="Straight Connector 110"/>
        <xdr:cNvCxnSpPr/>
      </xdr:nvCxnSpPr>
      <xdr:spPr>
        <a:xfrm>
          <a:off x="1714501" y="14801850"/>
          <a:ext cx="0" cy="835425"/>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342900</xdr:colOff>
      <xdr:row>76</xdr:row>
      <xdr:rowOff>123825</xdr:rowOff>
    </xdr:from>
    <xdr:to>
      <xdr:col>6</xdr:col>
      <xdr:colOff>47625</xdr:colOff>
      <xdr:row>76</xdr:row>
      <xdr:rowOff>123825</xdr:rowOff>
    </xdr:to>
    <xdr:cxnSp macro="">
      <xdr:nvCxnSpPr>
        <xdr:cNvPr id="112" name="Straight Connector 111"/>
        <xdr:cNvCxnSpPr/>
      </xdr:nvCxnSpPr>
      <xdr:spPr>
        <a:xfrm>
          <a:off x="1371600" y="14792325"/>
          <a:ext cx="17621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81</xdr:row>
      <xdr:rowOff>28575</xdr:rowOff>
    </xdr:from>
    <xdr:to>
      <xdr:col>3</xdr:col>
      <xdr:colOff>381000</xdr:colOff>
      <xdr:row>81</xdr:row>
      <xdr:rowOff>28575</xdr:rowOff>
    </xdr:to>
    <xdr:cxnSp macro="">
      <xdr:nvCxnSpPr>
        <xdr:cNvPr id="113" name="Straight Connector 112"/>
        <xdr:cNvCxnSpPr/>
      </xdr:nvCxnSpPr>
      <xdr:spPr>
        <a:xfrm>
          <a:off x="1343025" y="15678150"/>
          <a:ext cx="5810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438150</xdr:colOff>
      <xdr:row>71</xdr:row>
      <xdr:rowOff>180975</xdr:rowOff>
    </xdr:from>
    <xdr:to>
      <xdr:col>5</xdr:col>
      <xdr:colOff>438150</xdr:colOff>
      <xdr:row>76</xdr:row>
      <xdr:rowOff>114300</xdr:rowOff>
    </xdr:to>
    <xdr:cxnSp macro="">
      <xdr:nvCxnSpPr>
        <xdr:cNvPr id="114" name="Straight Connector 113"/>
        <xdr:cNvCxnSpPr/>
      </xdr:nvCxnSpPr>
      <xdr:spPr>
        <a:xfrm>
          <a:off x="3009900" y="13896975"/>
          <a:ext cx="0" cy="885825"/>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447675</xdr:colOff>
      <xdr:row>88</xdr:row>
      <xdr:rowOff>1</xdr:rowOff>
    </xdr:from>
    <xdr:to>
      <xdr:col>2</xdr:col>
      <xdr:colOff>266701</xdr:colOff>
      <xdr:row>88</xdr:row>
      <xdr:rowOff>1</xdr:rowOff>
    </xdr:to>
    <xdr:cxnSp macro="">
      <xdr:nvCxnSpPr>
        <xdr:cNvPr id="115" name="Straight Connector 114"/>
        <xdr:cNvCxnSpPr/>
      </xdr:nvCxnSpPr>
      <xdr:spPr>
        <a:xfrm flipH="1">
          <a:off x="447675" y="17011651"/>
          <a:ext cx="847726"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266700</xdr:colOff>
      <xdr:row>79</xdr:row>
      <xdr:rowOff>161927</xdr:rowOff>
    </xdr:from>
    <xdr:to>
      <xdr:col>2</xdr:col>
      <xdr:colOff>266700</xdr:colOff>
      <xdr:row>88</xdr:row>
      <xdr:rowOff>95250</xdr:rowOff>
    </xdr:to>
    <xdr:cxnSp macro="">
      <xdr:nvCxnSpPr>
        <xdr:cNvPr id="116" name="Straight Connector 115"/>
        <xdr:cNvCxnSpPr/>
      </xdr:nvCxnSpPr>
      <xdr:spPr>
        <a:xfrm flipV="1">
          <a:off x="1295400" y="15401927"/>
          <a:ext cx="0" cy="1704973"/>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88</xdr:row>
      <xdr:rowOff>1</xdr:rowOff>
    </xdr:from>
    <xdr:to>
      <xdr:col>4</xdr:col>
      <xdr:colOff>409576</xdr:colOff>
      <xdr:row>88</xdr:row>
      <xdr:rowOff>1</xdr:rowOff>
    </xdr:to>
    <xdr:cxnSp macro="">
      <xdr:nvCxnSpPr>
        <xdr:cNvPr id="117" name="Straight Connector 116"/>
        <xdr:cNvCxnSpPr/>
      </xdr:nvCxnSpPr>
      <xdr:spPr>
        <a:xfrm flipH="1">
          <a:off x="1619250" y="17011651"/>
          <a:ext cx="847726"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79</xdr:row>
      <xdr:rowOff>142877</xdr:rowOff>
    </xdr:from>
    <xdr:to>
      <xdr:col>3</xdr:col>
      <xdr:colOff>57150</xdr:colOff>
      <xdr:row>88</xdr:row>
      <xdr:rowOff>76200</xdr:rowOff>
    </xdr:to>
    <xdr:cxnSp macro="">
      <xdr:nvCxnSpPr>
        <xdr:cNvPr id="118" name="Straight Connector 117"/>
        <xdr:cNvCxnSpPr/>
      </xdr:nvCxnSpPr>
      <xdr:spPr>
        <a:xfrm flipV="1">
          <a:off x="1600200" y="15382877"/>
          <a:ext cx="0" cy="1704973"/>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123825</xdr:colOff>
      <xdr:row>71</xdr:row>
      <xdr:rowOff>180536</xdr:rowOff>
    </xdr:from>
    <xdr:to>
      <xdr:col>1</xdr:col>
      <xdr:colOff>47627</xdr:colOff>
      <xdr:row>71</xdr:row>
      <xdr:rowOff>180536</xdr:rowOff>
    </xdr:to>
    <xdr:cxnSp macro="">
      <xdr:nvCxnSpPr>
        <xdr:cNvPr id="119" name="Straight Connector 118"/>
        <xdr:cNvCxnSpPr/>
      </xdr:nvCxnSpPr>
      <xdr:spPr>
        <a:xfrm flipH="1">
          <a:off x="123825" y="13896536"/>
          <a:ext cx="438152"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70</xdr:row>
      <xdr:rowOff>85725</xdr:rowOff>
    </xdr:from>
    <xdr:to>
      <xdr:col>2</xdr:col>
      <xdr:colOff>0</xdr:colOff>
      <xdr:row>87</xdr:row>
      <xdr:rowOff>95250</xdr:rowOff>
    </xdr:to>
    <xdr:cxnSp macro="">
      <xdr:nvCxnSpPr>
        <xdr:cNvPr id="121" name="Straight Connector 120"/>
        <xdr:cNvCxnSpPr/>
      </xdr:nvCxnSpPr>
      <xdr:spPr>
        <a:xfrm>
          <a:off x="1028700" y="13611225"/>
          <a:ext cx="0" cy="3305175"/>
        </a:xfrm>
        <a:prstGeom prst="line">
          <a:avLst/>
        </a:prstGeom>
        <a:ln w="9525">
          <a:solidFill>
            <a:srgbClr val="C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86</xdr:row>
      <xdr:rowOff>180975</xdr:rowOff>
    </xdr:from>
    <xdr:to>
      <xdr:col>2</xdr:col>
      <xdr:colOff>266700</xdr:colOff>
      <xdr:row>86</xdr:row>
      <xdr:rowOff>180975</xdr:rowOff>
    </xdr:to>
    <xdr:cxnSp macro="">
      <xdr:nvCxnSpPr>
        <xdr:cNvPr id="122" name="Straight Connector 121"/>
        <xdr:cNvCxnSpPr/>
      </xdr:nvCxnSpPr>
      <xdr:spPr>
        <a:xfrm>
          <a:off x="1028700" y="16811625"/>
          <a:ext cx="26670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152400</xdr:colOff>
      <xdr:row>75</xdr:row>
      <xdr:rowOff>0</xdr:rowOff>
    </xdr:from>
    <xdr:to>
      <xdr:col>5</xdr:col>
      <xdr:colOff>228600</xdr:colOff>
      <xdr:row>75</xdr:row>
      <xdr:rowOff>0</xdr:rowOff>
    </xdr:to>
    <xdr:cxnSp macro="">
      <xdr:nvCxnSpPr>
        <xdr:cNvPr id="123" name="Straight Connector 122"/>
        <xdr:cNvCxnSpPr/>
      </xdr:nvCxnSpPr>
      <xdr:spPr>
        <a:xfrm>
          <a:off x="152400" y="14478000"/>
          <a:ext cx="2647950" cy="0"/>
        </a:xfrm>
        <a:prstGeom prst="line">
          <a:avLst/>
        </a:prstGeom>
        <a:ln w="9525">
          <a:solidFill>
            <a:srgbClr val="C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xdr:colOff>
      <xdr:row>74</xdr:row>
      <xdr:rowOff>180975</xdr:rowOff>
    </xdr:from>
    <xdr:to>
      <xdr:col>5</xdr:col>
      <xdr:colOff>57150</xdr:colOff>
      <xdr:row>76</xdr:row>
      <xdr:rowOff>95250</xdr:rowOff>
    </xdr:to>
    <xdr:cxnSp macro="">
      <xdr:nvCxnSpPr>
        <xdr:cNvPr id="124" name="Straight Connector 123"/>
        <xdr:cNvCxnSpPr/>
      </xdr:nvCxnSpPr>
      <xdr:spPr>
        <a:xfrm>
          <a:off x="2628900" y="14468475"/>
          <a:ext cx="0" cy="295275"/>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209550</xdr:colOff>
      <xdr:row>79</xdr:row>
      <xdr:rowOff>9526</xdr:rowOff>
    </xdr:from>
    <xdr:to>
      <xdr:col>0</xdr:col>
      <xdr:colOff>209550</xdr:colOff>
      <xdr:row>84</xdr:row>
      <xdr:rowOff>76200</xdr:rowOff>
    </xdr:to>
    <xdr:cxnSp macro="">
      <xdr:nvCxnSpPr>
        <xdr:cNvPr id="44" name="Straight Connector 43"/>
        <xdr:cNvCxnSpPr/>
      </xdr:nvCxnSpPr>
      <xdr:spPr>
        <a:xfrm flipV="1">
          <a:off x="209550" y="15249526"/>
          <a:ext cx="0" cy="1076324"/>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66676</xdr:colOff>
      <xdr:row>78</xdr:row>
      <xdr:rowOff>66674</xdr:rowOff>
    </xdr:from>
    <xdr:to>
      <xdr:col>1</xdr:col>
      <xdr:colOff>333376</xdr:colOff>
      <xdr:row>79</xdr:row>
      <xdr:rowOff>133349</xdr:rowOff>
    </xdr:to>
    <xdr:sp macro="" textlink="">
      <xdr:nvSpPr>
        <xdr:cNvPr id="46" name="Oval 45"/>
        <xdr:cNvSpPr/>
      </xdr:nvSpPr>
      <xdr:spPr>
        <a:xfrm>
          <a:off x="581026" y="1511617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495301</xdr:colOff>
      <xdr:row>78</xdr:row>
      <xdr:rowOff>66674</xdr:rowOff>
    </xdr:from>
    <xdr:to>
      <xdr:col>4</xdr:col>
      <xdr:colOff>247651</xdr:colOff>
      <xdr:row>79</xdr:row>
      <xdr:rowOff>133349</xdr:rowOff>
    </xdr:to>
    <xdr:sp macro="" textlink="">
      <xdr:nvSpPr>
        <xdr:cNvPr id="47" name="Oval 46"/>
        <xdr:cNvSpPr/>
      </xdr:nvSpPr>
      <xdr:spPr>
        <a:xfrm>
          <a:off x="2038351" y="1511617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238125</xdr:colOff>
      <xdr:row>77</xdr:row>
      <xdr:rowOff>161927</xdr:rowOff>
    </xdr:from>
    <xdr:to>
      <xdr:col>4</xdr:col>
      <xdr:colOff>390524</xdr:colOff>
      <xdr:row>78</xdr:row>
      <xdr:rowOff>143654</xdr:rowOff>
    </xdr:to>
    <xdr:sp macro="" textlink="">
      <xdr:nvSpPr>
        <xdr:cNvPr id="49" name="TextBox 48"/>
        <xdr:cNvSpPr txBox="1"/>
      </xdr:nvSpPr>
      <xdr:spPr>
        <a:xfrm>
          <a:off x="2295525" y="15020927"/>
          <a:ext cx="152399"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noAutofit/>
        </a:bodyPr>
        <a:lstStyle/>
        <a:p>
          <a:pPr marL="0" indent="0"/>
          <a:r>
            <a:rPr lang="en-IN" sz="1100">
              <a:solidFill>
                <a:schemeClr val="dk1"/>
              </a:solidFill>
              <a:latin typeface="+mn-lt"/>
              <a:ea typeface="+mn-ea"/>
              <a:cs typeface="+mn-cs"/>
            </a:rPr>
            <a:t>5</a:t>
          </a:r>
        </a:p>
      </xdr:txBody>
    </xdr:sp>
    <xdr:clientData/>
  </xdr:twoCellAnchor>
  <xdr:twoCellAnchor>
    <xdr:from>
      <xdr:col>4</xdr:col>
      <xdr:colOff>228600</xdr:colOff>
      <xdr:row>72</xdr:row>
      <xdr:rowOff>114302</xdr:rowOff>
    </xdr:from>
    <xdr:to>
      <xdr:col>4</xdr:col>
      <xdr:colOff>380999</xdr:colOff>
      <xdr:row>73</xdr:row>
      <xdr:rowOff>96029</xdr:rowOff>
    </xdr:to>
    <xdr:sp macro="" textlink="">
      <xdr:nvSpPr>
        <xdr:cNvPr id="50" name="TextBox 49"/>
        <xdr:cNvSpPr txBox="1"/>
      </xdr:nvSpPr>
      <xdr:spPr>
        <a:xfrm>
          <a:off x="2286000" y="14020802"/>
          <a:ext cx="152399"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noAutofit/>
        </a:bodyPr>
        <a:lstStyle/>
        <a:p>
          <a:pPr marL="0" indent="0"/>
          <a:r>
            <a:rPr lang="en-IN" sz="1100">
              <a:solidFill>
                <a:schemeClr val="dk1"/>
              </a:solidFill>
              <a:latin typeface="+mn-lt"/>
              <a:ea typeface="+mn-ea"/>
              <a:cs typeface="+mn-cs"/>
            </a:rPr>
            <a:t>6</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9</xdr:col>
      <xdr:colOff>0</xdr:colOff>
      <xdr:row>4</xdr:row>
      <xdr:rowOff>47625</xdr:rowOff>
    </xdr:from>
    <xdr:to>
      <xdr:col>9</xdr:col>
      <xdr:colOff>0</xdr:colOff>
      <xdr:row>7</xdr:row>
      <xdr:rowOff>57150</xdr:rowOff>
    </xdr:to>
    <xdr:cxnSp macro="">
      <xdr:nvCxnSpPr>
        <xdr:cNvPr id="3" name="Straight Connector 2"/>
        <xdr:cNvCxnSpPr/>
      </xdr:nvCxnSpPr>
      <xdr:spPr>
        <a:xfrm>
          <a:off x="4629150" y="847725"/>
          <a:ext cx="0" cy="581025"/>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xdr:row>
      <xdr:rowOff>0</xdr:rowOff>
    </xdr:from>
    <xdr:to>
      <xdr:col>12</xdr:col>
      <xdr:colOff>95250</xdr:colOff>
      <xdr:row>7</xdr:row>
      <xdr:rowOff>1</xdr:rowOff>
    </xdr:to>
    <xdr:sp macro="" textlink="">
      <xdr:nvSpPr>
        <xdr:cNvPr id="4" name="Freeform 3"/>
        <xdr:cNvSpPr/>
      </xdr:nvSpPr>
      <xdr:spPr>
        <a:xfrm>
          <a:off x="4629150" y="990600"/>
          <a:ext cx="1638300" cy="381001"/>
        </a:xfrm>
        <a:custGeom>
          <a:avLst/>
          <a:gdLst>
            <a:gd name="connsiteX0" fmla="*/ 0 w 1571625"/>
            <a:gd name="connsiteY0" fmla="*/ 0 h 447675"/>
            <a:gd name="connsiteX1" fmla="*/ 1571625 w 1571625"/>
            <a:gd name="connsiteY1" fmla="*/ 209550 h 447675"/>
            <a:gd name="connsiteX2" fmla="*/ 1571625 w 1571625"/>
            <a:gd name="connsiteY2" fmla="*/ 447675 h 447675"/>
            <a:gd name="connsiteX3" fmla="*/ 0 w 1571625"/>
            <a:gd name="connsiteY3" fmla="*/ 447675 h 447675"/>
            <a:gd name="connsiteX0" fmla="*/ 0 w 1571625"/>
            <a:gd name="connsiteY0" fmla="*/ 297 h 447972"/>
            <a:gd name="connsiteX1" fmla="*/ 1571625 w 1571625"/>
            <a:gd name="connsiteY1" fmla="*/ 0 h 447972"/>
            <a:gd name="connsiteX2" fmla="*/ 1571625 w 1571625"/>
            <a:gd name="connsiteY2" fmla="*/ 447972 h 447972"/>
            <a:gd name="connsiteX3" fmla="*/ 0 w 1571625"/>
            <a:gd name="connsiteY3" fmla="*/ 447972 h 447972"/>
            <a:gd name="connsiteX0" fmla="*/ 19050 w 1571625"/>
            <a:gd name="connsiteY0" fmla="*/ 297 h 447972"/>
            <a:gd name="connsiteX1" fmla="*/ 1571625 w 1571625"/>
            <a:gd name="connsiteY1" fmla="*/ 0 h 447972"/>
            <a:gd name="connsiteX2" fmla="*/ 1571625 w 1571625"/>
            <a:gd name="connsiteY2" fmla="*/ 447972 h 447972"/>
            <a:gd name="connsiteX3" fmla="*/ 0 w 1571625"/>
            <a:gd name="connsiteY3" fmla="*/ 447972 h 447972"/>
            <a:gd name="connsiteX0" fmla="*/ 0 w 1571625"/>
            <a:gd name="connsiteY0" fmla="*/ 297 h 447972"/>
            <a:gd name="connsiteX1" fmla="*/ 1571625 w 1571625"/>
            <a:gd name="connsiteY1" fmla="*/ 0 h 447972"/>
            <a:gd name="connsiteX2" fmla="*/ 1571625 w 1571625"/>
            <a:gd name="connsiteY2" fmla="*/ 447972 h 447972"/>
            <a:gd name="connsiteX3" fmla="*/ 0 w 1571625"/>
            <a:gd name="connsiteY3" fmla="*/ 447972 h 447972"/>
          </a:gdLst>
          <a:ahLst/>
          <a:cxnLst>
            <a:cxn ang="0">
              <a:pos x="connsiteX0" y="connsiteY0"/>
            </a:cxn>
            <a:cxn ang="0">
              <a:pos x="connsiteX1" y="connsiteY1"/>
            </a:cxn>
            <a:cxn ang="0">
              <a:pos x="connsiteX2" y="connsiteY2"/>
            </a:cxn>
            <a:cxn ang="0">
              <a:pos x="connsiteX3" y="connsiteY3"/>
            </a:cxn>
          </a:cxnLst>
          <a:rect l="l" t="t" r="r" b="b"/>
          <a:pathLst>
            <a:path w="1571625" h="447972">
              <a:moveTo>
                <a:pt x="0" y="297"/>
              </a:moveTo>
              <a:lnTo>
                <a:pt x="1571625" y="0"/>
              </a:lnTo>
              <a:lnTo>
                <a:pt x="1571625" y="447972"/>
              </a:lnTo>
              <a:lnTo>
                <a:pt x="0" y="447972"/>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11</xdr:col>
      <xdr:colOff>476250</xdr:colOff>
      <xdr:row>4</xdr:row>
      <xdr:rowOff>198809</xdr:rowOff>
    </xdr:from>
    <xdr:to>
      <xdr:col>12</xdr:col>
      <xdr:colOff>342900</xdr:colOff>
      <xdr:row>4</xdr:row>
      <xdr:rowOff>198809</xdr:rowOff>
    </xdr:to>
    <xdr:cxnSp macro="">
      <xdr:nvCxnSpPr>
        <xdr:cNvPr id="22" name="Straight Connector 21"/>
        <xdr:cNvCxnSpPr/>
      </xdr:nvCxnSpPr>
      <xdr:spPr>
        <a:xfrm>
          <a:off x="6134100" y="1037009"/>
          <a:ext cx="381000"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466725</xdr:colOff>
      <xdr:row>6</xdr:row>
      <xdr:rowOff>189284</xdr:rowOff>
    </xdr:from>
    <xdr:to>
      <xdr:col>12</xdr:col>
      <xdr:colOff>361950</xdr:colOff>
      <xdr:row>6</xdr:row>
      <xdr:rowOff>189284</xdr:rowOff>
    </xdr:to>
    <xdr:cxnSp macro="">
      <xdr:nvCxnSpPr>
        <xdr:cNvPr id="23" name="Straight Connector 22"/>
        <xdr:cNvCxnSpPr/>
      </xdr:nvCxnSpPr>
      <xdr:spPr>
        <a:xfrm>
          <a:off x="6124575" y="1484684"/>
          <a:ext cx="40957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180975</xdr:colOff>
      <xdr:row>4</xdr:row>
      <xdr:rowOff>209550</xdr:rowOff>
    </xdr:from>
    <xdr:to>
      <xdr:col>12</xdr:col>
      <xdr:colOff>180975</xdr:colOff>
      <xdr:row>6</xdr:row>
      <xdr:rowOff>183225</xdr:rowOff>
    </xdr:to>
    <xdr:cxnSp macro="">
      <xdr:nvCxnSpPr>
        <xdr:cNvPr id="24" name="Straight Connector 23"/>
        <xdr:cNvCxnSpPr/>
      </xdr:nvCxnSpPr>
      <xdr:spPr>
        <a:xfrm flipV="1">
          <a:off x="6353175" y="1276350"/>
          <a:ext cx="0" cy="392775"/>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409576</xdr:colOff>
      <xdr:row>187</xdr:row>
      <xdr:rowOff>0</xdr:rowOff>
    </xdr:from>
    <xdr:to>
      <xdr:col>2</xdr:col>
      <xdr:colOff>504826</xdr:colOff>
      <xdr:row>188</xdr:row>
      <xdr:rowOff>186451</xdr:rowOff>
    </xdr:to>
    <xdr:sp macro="" textlink="">
      <xdr:nvSpPr>
        <xdr:cNvPr id="43" name="Left Brace 42"/>
        <xdr:cNvSpPr/>
      </xdr:nvSpPr>
      <xdr:spPr>
        <a:xfrm>
          <a:off x="1438276" y="9734551"/>
          <a:ext cx="95250" cy="396000"/>
        </a:xfrm>
        <a:prstGeom prst="leftBrace">
          <a:avLst>
            <a:gd name="adj1" fmla="val 16954"/>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428626</xdr:colOff>
      <xdr:row>191</xdr:row>
      <xdr:rowOff>180976</xdr:rowOff>
    </xdr:from>
    <xdr:to>
      <xdr:col>3</xdr:col>
      <xdr:colOff>9526</xdr:colOff>
      <xdr:row>194</xdr:row>
      <xdr:rowOff>9526</xdr:rowOff>
    </xdr:to>
    <xdr:sp macro="" textlink="">
      <xdr:nvSpPr>
        <xdr:cNvPr id="44" name="Left Brace 43"/>
        <xdr:cNvSpPr/>
      </xdr:nvSpPr>
      <xdr:spPr>
        <a:xfrm>
          <a:off x="1457326" y="10696576"/>
          <a:ext cx="95250" cy="400050"/>
        </a:xfrm>
        <a:prstGeom prst="leftBrace">
          <a:avLst>
            <a:gd name="adj1" fmla="val 16954"/>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409576</xdr:colOff>
      <xdr:row>200</xdr:row>
      <xdr:rowOff>171451</xdr:rowOff>
    </xdr:from>
    <xdr:to>
      <xdr:col>2</xdr:col>
      <xdr:colOff>504826</xdr:colOff>
      <xdr:row>203</xdr:row>
      <xdr:rowOff>0</xdr:rowOff>
    </xdr:to>
    <xdr:sp macro="" textlink="">
      <xdr:nvSpPr>
        <xdr:cNvPr id="45" name="Left Brace 44"/>
        <xdr:cNvSpPr/>
      </xdr:nvSpPr>
      <xdr:spPr>
        <a:xfrm>
          <a:off x="1438276" y="12487276"/>
          <a:ext cx="95250" cy="485774"/>
        </a:xfrm>
        <a:prstGeom prst="leftBrace">
          <a:avLst>
            <a:gd name="adj1" fmla="val 16954"/>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342900</xdr:colOff>
      <xdr:row>128</xdr:row>
      <xdr:rowOff>0</xdr:rowOff>
    </xdr:from>
    <xdr:to>
      <xdr:col>3</xdr:col>
      <xdr:colOff>504825</xdr:colOff>
      <xdr:row>131</xdr:row>
      <xdr:rowOff>4500</xdr:rowOff>
    </xdr:to>
    <xdr:sp macro="" textlink="">
      <xdr:nvSpPr>
        <xdr:cNvPr id="79" name="Left Brace 78"/>
        <xdr:cNvSpPr/>
      </xdr:nvSpPr>
      <xdr:spPr>
        <a:xfrm>
          <a:off x="1885950" y="13001625"/>
          <a:ext cx="161925" cy="576000"/>
        </a:xfrm>
        <a:prstGeom prst="leftBrace">
          <a:avLst>
            <a:gd name="adj1" fmla="val 29386"/>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361949</xdr:colOff>
      <xdr:row>152</xdr:row>
      <xdr:rowOff>0</xdr:rowOff>
    </xdr:from>
    <xdr:to>
      <xdr:col>4</xdr:col>
      <xdr:colOff>27599</xdr:colOff>
      <xdr:row>156</xdr:row>
      <xdr:rowOff>300</xdr:rowOff>
    </xdr:to>
    <xdr:sp macro="" textlink="">
      <xdr:nvSpPr>
        <xdr:cNvPr id="80" name="Left Brace 79"/>
        <xdr:cNvSpPr/>
      </xdr:nvSpPr>
      <xdr:spPr>
        <a:xfrm>
          <a:off x="16306799" y="13544550"/>
          <a:ext cx="180000" cy="648000"/>
        </a:xfrm>
        <a:prstGeom prst="leftBrace">
          <a:avLst>
            <a:gd name="adj1" fmla="val 29386"/>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9</xdr:col>
      <xdr:colOff>0</xdr:colOff>
      <xdr:row>4</xdr:row>
      <xdr:rowOff>47625</xdr:rowOff>
    </xdr:from>
    <xdr:to>
      <xdr:col>9</xdr:col>
      <xdr:colOff>0</xdr:colOff>
      <xdr:row>7</xdr:row>
      <xdr:rowOff>57150</xdr:rowOff>
    </xdr:to>
    <xdr:cxnSp macro="">
      <xdr:nvCxnSpPr>
        <xdr:cNvPr id="2" name="Straight Connector 1"/>
        <xdr:cNvCxnSpPr/>
      </xdr:nvCxnSpPr>
      <xdr:spPr>
        <a:xfrm>
          <a:off x="4619625" y="847725"/>
          <a:ext cx="0" cy="581025"/>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xdr:row>
      <xdr:rowOff>0</xdr:rowOff>
    </xdr:from>
    <xdr:to>
      <xdr:col>12</xdr:col>
      <xdr:colOff>95250</xdr:colOff>
      <xdr:row>7</xdr:row>
      <xdr:rowOff>1</xdr:rowOff>
    </xdr:to>
    <xdr:sp macro="" textlink="">
      <xdr:nvSpPr>
        <xdr:cNvPr id="3" name="Freeform 2"/>
        <xdr:cNvSpPr/>
      </xdr:nvSpPr>
      <xdr:spPr>
        <a:xfrm>
          <a:off x="4619625" y="990600"/>
          <a:ext cx="1638300" cy="381001"/>
        </a:xfrm>
        <a:custGeom>
          <a:avLst/>
          <a:gdLst>
            <a:gd name="connsiteX0" fmla="*/ 0 w 1571625"/>
            <a:gd name="connsiteY0" fmla="*/ 0 h 447675"/>
            <a:gd name="connsiteX1" fmla="*/ 1571625 w 1571625"/>
            <a:gd name="connsiteY1" fmla="*/ 209550 h 447675"/>
            <a:gd name="connsiteX2" fmla="*/ 1571625 w 1571625"/>
            <a:gd name="connsiteY2" fmla="*/ 447675 h 447675"/>
            <a:gd name="connsiteX3" fmla="*/ 0 w 1571625"/>
            <a:gd name="connsiteY3" fmla="*/ 447675 h 447675"/>
            <a:gd name="connsiteX0" fmla="*/ 0 w 1571625"/>
            <a:gd name="connsiteY0" fmla="*/ 297 h 447972"/>
            <a:gd name="connsiteX1" fmla="*/ 1571625 w 1571625"/>
            <a:gd name="connsiteY1" fmla="*/ 0 h 447972"/>
            <a:gd name="connsiteX2" fmla="*/ 1571625 w 1571625"/>
            <a:gd name="connsiteY2" fmla="*/ 447972 h 447972"/>
            <a:gd name="connsiteX3" fmla="*/ 0 w 1571625"/>
            <a:gd name="connsiteY3" fmla="*/ 447972 h 447972"/>
            <a:gd name="connsiteX0" fmla="*/ 19050 w 1571625"/>
            <a:gd name="connsiteY0" fmla="*/ 297 h 447972"/>
            <a:gd name="connsiteX1" fmla="*/ 1571625 w 1571625"/>
            <a:gd name="connsiteY1" fmla="*/ 0 h 447972"/>
            <a:gd name="connsiteX2" fmla="*/ 1571625 w 1571625"/>
            <a:gd name="connsiteY2" fmla="*/ 447972 h 447972"/>
            <a:gd name="connsiteX3" fmla="*/ 0 w 1571625"/>
            <a:gd name="connsiteY3" fmla="*/ 447972 h 447972"/>
            <a:gd name="connsiteX0" fmla="*/ 0 w 1571625"/>
            <a:gd name="connsiteY0" fmla="*/ 297 h 447972"/>
            <a:gd name="connsiteX1" fmla="*/ 1571625 w 1571625"/>
            <a:gd name="connsiteY1" fmla="*/ 0 h 447972"/>
            <a:gd name="connsiteX2" fmla="*/ 1571625 w 1571625"/>
            <a:gd name="connsiteY2" fmla="*/ 447972 h 447972"/>
            <a:gd name="connsiteX3" fmla="*/ 0 w 1571625"/>
            <a:gd name="connsiteY3" fmla="*/ 447972 h 447972"/>
          </a:gdLst>
          <a:ahLst/>
          <a:cxnLst>
            <a:cxn ang="0">
              <a:pos x="connsiteX0" y="connsiteY0"/>
            </a:cxn>
            <a:cxn ang="0">
              <a:pos x="connsiteX1" y="connsiteY1"/>
            </a:cxn>
            <a:cxn ang="0">
              <a:pos x="connsiteX2" y="connsiteY2"/>
            </a:cxn>
            <a:cxn ang="0">
              <a:pos x="connsiteX3" y="connsiteY3"/>
            </a:cxn>
          </a:cxnLst>
          <a:rect l="l" t="t" r="r" b="b"/>
          <a:pathLst>
            <a:path w="1571625" h="447972">
              <a:moveTo>
                <a:pt x="0" y="297"/>
              </a:moveTo>
              <a:lnTo>
                <a:pt x="1571625" y="0"/>
              </a:lnTo>
              <a:lnTo>
                <a:pt x="1571625" y="447972"/>
              </a:lnTo>
              <a:lnTo>
                <a:pt x="0" y="447972"/>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11</xdr:col>
      <xdr:colOff>476250</xdr:colOff>
      <xdr:row>4</xdr:row>
      <xdr:rowOff>198809</xdr:rowOff>
    </xdr:from>
    <xdr:to>
      <xdr:col>12</xdr:col>
      <xdr:colOff>342900</xdr:colOff>
      <xdr:row>4</xdr:row>
      <xdr:rowOff>198809</xdr:rowOff>
    </xdr:to>
    <xdr:cxnSp macro="">
      <xdr:nvCxnSpPr>
        <xdr:cNvPr id="4" name="Straight Connector 3"/>
        <xdr:cNvCxnSpPr/>
      </xdr:nvCxnSpPr>
      <xdr:spPr>
        <a:xfrm>
          <a:off x="6124575" y="989384"/>
          <a:ext cx="381000"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466725</xdr:colOff>
      <xdr:row>6</xdr:row>
      <xdr:rowOff>189284</xdr:rowOff>
    </xdr:from>
    <xdr:to>
      <xdr:col>12</xdr:col>
      <xdr:colOff>361950</xdr:colOff>
      <xdr:row>6</xdr:row>
      <xdr:rowOff>189284</xdr:rowOff>
    </xdr:to>
    <xdr:cxnSp macro="">
      <xdr:nvCxnSpPr>
        <xdr:cNvPr id="5" name="Straight Connector 4"/>
        <xdr:cNvCxnSpPr/>
      </xdr:nvCxnSpPr>
      <xdr:spPr>
        <a:xfrm>
          <a:off x="6115050" y="1370384"/>
          <a:ext cx="40957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180975</xdr:colOff>
      <xdr:row>4</xdr:row>
      <xdr:rowOff>209550</xdr:rowOff>
    </xdr:from>
    <xdr:to>
      <xdr:col>12</xdr:col>
      <xdr:colOff>180975</xdr:colOff>
      <xdr:row>6</xdr:row>
      <xdr:rowOff>183225</xdr:rowOff>
    </xdr:to>
    <xdr:cxnSp macro="">
      <xdr:nvCxnSpPr>
        <xdr:cNvPr id="6" name="Straight Connector 5"/>
        <xdr:cNvCxnSpPr/>
      </xdr:nvCxnSpPr>
      <xdr:spPr>
        <a:xfrm flipV="1">
          <a:off x="6343650" y="990600"/>
          <a:ext cx="0" cy="373725"/>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409576</xdr:colOff>
      <xdr:row>189</xdr:row>
      <xdr:rowOff>0</xdr:rowOff>
    </xdr:from>
    <xdr:to>
      <xdr:col>2</xdr:col>
      <xdr:colOff>504826</xdr:colOff>
      <xdr:row>190</xdr:row>
      <xdr:rowOff>186451</xdr:rowOff>
    </xdr:to>
    <xdr:sp macro="" textlink="">
      <xdr:nvSpPr>
        <xdr:cNvPr id="10" name="Left Brace 9"/>
        <xdr:cNvSpPr/>
      </xdr:nvSpPr>
      <xdr:spPr>
        <a:xfrm>
          <a:off x="1438276" y="38071425"/>
          <a:ext cx="95250" cy="376951"/>
        </a:xfrm>
        <a:prstGeom prst="leftBrace">
          <a:avLst>
            <a:gd name="adj1" fmla="val 16954"/>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428626</xdr:colOff>
      <xdr:row>192</xdr:row>
      <xdr:rowOff>180976</xdr:rowOff>
    </xdr:from>
    <xdr:to>
      <xdr:col>3</xdr:col>
      <xdr:colOff>9526</xdr:colOff>
      <xdr:row>195</xdr:row>
      <xdr:rowOff>9526</xdr:rowOff>
    </xdr:to>
    <xdr:sp macro="" textlink="">
      <xdr:nvSpPr>
        <xdr:cNvPr id="11" name="Left Brace 10"/>
        <xdr:cNvSpPr/>
      </xdr:nvSpPr>
      <xdr:spPr>
        <a:xfrm>
          <a:off x="1457326" y="39014401"/>
          <a:ext cx="95250" cy="400050"/>
        </a:xfrm>
        <a:prstGeom prst="leftBrace">
          <a:avLst>
            <a:gd name="adj1" fmla="val 16954"/>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409576</xdr:colOff>
      <xdr:row>201</xdr:row>
      <xdr:rowOff>171451</xdr:rowOff>
    </xdr:from>
    <xdr:to>
      <xdr:col>2</xdr:col>
      <xdr:colOff>504826</xdr:colOff>
      <xdr:row>204</xdr:row>
      <xdr:rowOff>0</xdr:rowOff>
    </xdr:to>
    <xdr:sp macro="" textlink="">
      <xdr:nvSpPr>
        <xdr:cNvPr id="12" name="Left Brace 11"/>
        <xdr:cNvSpPr/>
      </xdr:nvSpPr>
      <xdr:spPr>
        <a:xfrm>
          <a:off x="1438276" y="40805101"/>
          <a:ext cx="95250" cy="485774"/>
        </a:xfrm>
        <a:prstGeom prst="leftBrace">
          <a:avLst>
            <a:gd name="adj1" fmla="val 16954"/>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342900</xdr:colOff>
      <xdr:row>129</xdr:row>
      <xdr:rowOff>0</xdr:rowOff>
    </xdr:from>
    <xdr:to>
      <xdr:col>3</xdr:col>
      <xdr:colOff>504825</xdr:colOff>
      <xdr:row>132</xdr:row>
      <xdr:rowOff>4500</xdr:rowOff>
    </xdr:to>
    <xdr:sp macro="" textlink="">
      <xdr:nvSpPr>
        <xdr:cNvPr id="13" name="Left Brace 12"/>
        <xdr:cNvSpPr/>
      </xdr:nvSpPr>
      <xdr:spPr>
        <a:xfrm>
          <a:off x="1885950" y="26088975"/>
          <a:ext cx="161925" cy="614100"/>
        </a:xfrm>
        <a:prstGeom prst="leftBrace">
          <a:avLst>
            <a:gd name="adj1" fmla="val 29386"/>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361949</xdr:colOff>
      <xdr:row>153</xdr:row>
      <xdr:rowOff>0</xdr:rowOff>
    </xdr:from>
    <xdr:to>
      <xdr:col>4</xdr:col>
      <xdr:colOff>27599</xdr:colOff>
      <xdr:row>157</xdr:row>
      <xdr:rowOff>300</xdr:rowOff>
    </xdr:to>
    <xdr:sp macro="" textlink="">
      <xdr:nvSpPr>
        <xdr:cNvPr id="14" name="Left Brace 13"/>
        <xdr:cNvSpPr/>
      </xdr:nvSpPr>
      <xdr:spPr>
        <a:xfrm>
          <a:off x="1904999" y="30908625"/>
          <a:ext cx="170475" cy="838500"/>
        </a:xfrm>
        <a:prstGeom prst="leftBrace">
          <a:avLst>
            <a:gd name="adj1" fmla="val 29386"/>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238122</xdr:colOff>
      <xdr:row>1</xdr:row>
      <xdr:rowOff>95244</xdr:rowOff>
    </xdr:from>
    <xdr:to>
      <xdr:col>11</xdr:col>
      <xdr:colOff>200024</xdr:colOff>
      <xdr:row>11</xdr:row>
      <xdr:rowOff>95244</xdr:rowOff>
    </xdr:to>
    <xdr:grpSp>
      <xdr:nvGrpSpPr>
        <xdr:cNvPr id="8" name="Group 7"/>
        <xdr:cNvGrpSpPr/>
      </xdr:nvGrpSpPr>
      <xdr:grpSpPr>
        <a:xfrm>
          <a:off x="4126397" y="278546"/>
          <a:ext cx="2170276" cy="1947153"/>
          <a:chOff x="6734174" y="9001898"/>
          <a:chExt cx="4150272" cy="2523341"/>
        </a:xfrm>
      </xdr:grpSpPr>
      <xdr:sp macro="" textlink="">
        <xdr:nvSpPr>
          <xdr:cNvPr id="9" name="Line 1676"/>
          <xdr:cNvSpPr>
            <a:spLocks noChangeAspect="1" noChangeShapeType="1"/>
          </xdr:cNvSpPr>
        </xdr:nvSpPr>
        <xdr:spPr bwMode="auto">
          <a:xfrm>
            <a:off x="10080677" y="10439401"/>
            <a:ext cx="0" cy="714375"/>
          </a:xfrm>
          <a:prstGeom prst="line">
            <a:avLst/>
          </a:prstGeom>
          <a:noFill/>
          <a:ln w="6350">
            <a:solidFill>
              <a:srgbClr val="000000"/>
            </a:solidFill>
            <a:prstDash val="dash"/>
            <a:round/>
            <a:headEnd/>
            <a:tailEnd/>
          </a:ln>
        </xdr:spPr>
      </xdr:sp>
      <xdr:sp macro="" textlink="">
        <xdr:nvSpPr>
          <xdr:cNvPr id="10" name="Line 1679"/>
          <xdr:cNvSpPr>
            <a:spLocks noChangeShapeType="1"/>
          </xdr:cNvSpPr>
        </xdr:nvSpPr>
        <xdr:spPr bwMode="auto">
          <a:xfrm flipV="1">
            <a:off x="8988295" y="9753601"/>
            <a:ext cx="658897" cy="438150"/>
          </a:xfrm>
          <a:prstGeom prst="line">
            <a:avLst/>
          </a:prstGeom>
          <a:noFill/>
          <a:ln w="6350">
            <a:solidFill>
              <a:srgbClr val="0000FF"/>
            </a:solidFill>
            <a:round/>
            <a:headEnd type="stealth" w="sm" len="sm"/>
            <a:tailEnd type="stealth" w="sm" len="sm"/>
          </a:ln>
        </xdr:spPr>
      </xdr:sp>
      <xdr:grpSp>
        <xdr:nvGrpSpPr>
          <xdr:cNvPr id="11" name="Group 733"/>
          <xdr:cNvGrpSpPr/>
        </xdr:nvGrpSpPr>
        <xdr:grpSpPr>
          <a:xfrm>
            <a:off x="6734174" y="9001898"/>
            <a:ext cx="4150272" cy="2523341"/>
            <a:chOff x="4095750" y="347377522"/>
            <a:chExt cx="2279858" cy="2523341"/>
          </a:xfrm>
        </xdr:grpSpPr>
        <xdr:sp macro="" textlink="">
          <xdr:nvSpPr>
            <xdr:cNvPr id="12" name="Freeform 1664"/>
            <xdr:cNvSpPr>
              <a:spLocks/>
            </xdr:cNvSpPr>
          </xdr:nvSpPr>
          <xdr:spPr bwMode="auto">
            <a:xfrm>
              <a:off x="4410075" y="347377522"/>
              <a:ext cx="1965533" cy="2151878"/>
            </a:xfrm>
            <a:custGeom>
              <a:avLst/>
              <a:gdLst>
                <a:gd name="T0" fmla="*/ 0 w 139"/>
                <a:gd name="T1" fmla="*/ 0 h 120"/>
                <a:gd name="T2" fmla="*/ 0 w 139"/>
                <a:gd name="T3" fmla="*/ 2147483647 h 120"/>
                <a:gd name="T4" fmla="*/ 2147483647 w 139"/>
                <a:gd name="T5" fmla="*/ 2147483647 h 120"/>
                <a:gd name="T6" fmla="*/ 0 60000 65536"/>
                <a:gd name="T7" fmla="*/ 0 60000 65536"/>
                <a:gd name="T8" fmla="*/ 0 60000 65536"/>
                <a:gd name="T9" fmla="*/ 0 w 139"/>
                <a:gd name="T10" fmla="*/ 0 h 120"/>
                <a:gd name="T11" fmla="*/ 139 w 139"/>
                <a:gd name="T12" fmla="*/ 120 h 120"/>
              </a:gdLst>
              <a:ahLst/>
              <a:cxnLst>
                <a:cxn ang="T6">
                  <a:pos x="T0" y="T1"/>
                </a:cxn>
                <a:cxn ang="T7">
                  <a:pos x="T2" y="T3"/>
                </a:cxn>
                <a:cxn ang="T8">
                  <a:pos x="T4" y="T5"/>
                </a:cxn>
              </a:cxnLst>
              <a:rect l="T9" t="T10" r="T11" b="T12"/>
              <a:pathLst>
                <a:path w="139" h="120">
                  <a:moveTo>
                    <a:pt x="0" y="0"/>
                  </a:moveTo>
                  <a:lnTo>
                    <a:pt x="0" y="120"/>
                  </a:lnTo>
                  <a:lnTo>
                    <a:pt x="139" y="120"/>
                  </a:lnTo>
                </a:path>
              </a:pathLst>
            </a:custGeom>
            <a:noFill/>
            <a:ln w="6350">
              <a:solidFill>
                <a:srgbClr val="000000"/>
              </a:solidFill>
              <a:round/>
              <a:headEnd/>
              <a:tailEnd/>
            </a:ln>
          </xdr:spPr>
        </xdr:sp>
        <xdr:sp macro="" textlink="">
          <xdr:nvSpPr>
            <xdr:cNvPr id="13" name="Oval 1665"/>
            <xdr:cNvSpPr>
              <a:spLocks noChangeAspect="1" noChangeArrowheads="1"/>
            </xdr:cNvSpPr>
          </xdr:nvSpPr>
          <xdr:spPr bwMode="auto">
            <a:xfrm>
              <a:off x="4886325" y="348510225"/>
              <a:ext cx="533400" cy="600075"/>
            </a:xfrm>
            <a:prstGeom prst="ellipse">
              <a:avLst/>
            </a:prstGeom>
            <a:noFill/>
            <a:ln w="6350" algn="ctr">
              <a:solidFill>
                <a:srgbClr val="000000"/>
              </a:solidFill>
              <a:round/>
              <a:headEnd/>
              <a:tailEnd/>
            </a:ln>
          </xdr:spPr>
        </xdr:sp>
        <xdr:sp macro="" textlink="">
          <xdr:nvSpPr>
            <xdr:cNvPr id="14" name="Line 1687"/>
            <xdr:cNvSpPr>
              <a:spLocks noChangeAspect="1" noChangeShapeType="1"/>
            </xdr:cNvSpPr>
          </xdr:nvSpPr>
          <xdr:spPr bwMode="auto">
            <a:xfrm flipV="1">
              <a:off x="5153025" y="347462474"/>
              <a:ext cx="0" cy="666751"/>
            </a:xfrm>
            <a:prstGeom prst="line">
              <a:avLst/>
            </a:prstGeom>
            <a:noFill/>
            <a:ln w="6350">
              <a:solidFill>
                <a:srgbClr val="0000FF"/>
              </a:solidFill>
              <a:prstDash val="sysDot"/>
              <a:round/>
              <a:headEnd/>
              <a:tailEnd/>
            </a:ln>
          </xdr:spPr>
        </xdr:sp>
        <xdr:sp macro="" textlink="">
          <xdr:nvSpPr>
            <xdr:cNvPr id="15" name="Arc 1674"/>
            <xdr:cNvSpPr>
              <a:spLocks noChangeAspect="1"/>
            </xdr:cNvSpPr>
          </xdr:nvSpPr>
          <xdr:spPr bwMode="auto">
            <a:xfrm>
              <a:off x="5172075" y="347891100"/>
              <a:ext cx="762000" cy="923925"/>
            </a:xfrm>
            <a:custGeom>
              <a:avLst/>
              <a:gdLst>
                <a:gd name="T0" fmla="*/ 0 w 21600"/>
                <a:gd name="T1" fmla="*/ 0 h 21945"/>
                <a:gd name="T2" fmla="*/ 913078196 w 21600"/>
                <a:gd name="T3" fmla="*/ 1063558824 h 21945"/>
                <a:gd name="T4" fmla="*/ 0 w 21600"/>
                <a:gd name="T5" fmla="*/ 1046838873 h 21945"/>
                <a:gd name="T6" fmla="*/ 0 60000 65536"/>
                <a:gd name="T7" fmla="*/ 0 60000 65536"/>
                <a:gd name="T8" fmla="*/ 0 60000 65536"/>
                <a:gd name="T9" fmla="*/ 0 w 21600"/>
                <a:gd name="T10" fmla="*/ 0 h 21945"/>
                <a:gd name="T11" fmla="*/ 21600 w 21600"/>
                <a:gd name="T12" fmla="*/ 21945 h 21945"/>
              </a:gdLst>
              <a:ahLst/>
              <a:cxnLst>
                <a:cxn ang="T6">
                  <a:pos x="T0" y="T1"/>
                </a:cxn>
                <a:cxn ang="T7">
                  <a:pos x="T2" y="T3"/>
                </a:cxn>
                <a:cxn ang="T8">
                  <a:pos x="T4" y="T5"/>
                </a:cxn>
              </a:cxnLst>
              <a:rect l="T9" t="T10" r="T11" b="T12"/>
              <a:pathLst>
                <a:path w="21600" h="21945" fill="none" extrusionOk="0">
                  <a:moveTo>
                    <a:pt x="-1" y="0"/>
                  </a:moveTo>
                  <a:cubicBezTo>
                    <a:pt x="11929" y="0"/>
                    <a:pt x="21600" y="9670"/>
                    <a:pt x="21600" y="21600"/>
                  </a:cubicBezTo>
                  <a:cubicBezTo>
                    <a:pt x="21600" y="21715"/>
                    <a:pt x="21599" y="21830"/>
                    <a:pt x="21597" y="21945"/>
                  </a:cubicBezTo>
                </a:path>
                <a:path w="21600" h="21945" stroke="0" extrusionOk="0">
                  <a:moveTo>
                    <a:pt x="-1" y="0"/>
                  </a:moveTo>
                  <a:cubicBezTo>
                    <a:pt x="11929" y="0"/>
                    <a:pt x="21600" y="9670"/>
                    <a:pt x="21600" y="21600"/>
                  </a:cubicBezTo>
                  <a:cubicBezTo>
                    <a:pt x="21600" y="21715"/>
                    <a:pt x="21599" y="21830"/>
                    <a:pt x="21597" y="21945"/>
                  </a:cubicBezTo>
                  <a:lnTo>
                    <a:pt x="0" y="21600"/>
                  </a:lnTo>
                  <a:close/>
                </a:path>
              </a:pathLst>
            </a:custGeom>
            <a:noFill/>
            <a:ln w="6350">
              <a:solidFill>
                <a:srgbClr val="000000"/>
              </a:solidFill>
              <a:prstDash val="dash"/>
              <a:round/>
              <a:headEnd/>
              <a:tailEnd/>
            </a:ln>
          </xdr:spPr>
        </xdr:sp>
        <xdr:sp macro="" textlink="">
          <xdr:nvSpPr>
            <xdr:cNvPr id="16" name="Line 1675"/>
            <xdr:cNvSpPr>
              <a:spLocks noChangeAspect="1" noChangeShapeType="1"/>
            </xdr:cNvSpPr>
          </xdr:nvSpPr>
          <xdr:spPr bwMode="auto">
            <a:xfrm>
              <a:off x="4419600" y="347891100"/>
              <a:ext cx="752475" cy="0"/>
            </a:xfrm>
            <a:prstGeom prst="line">
              <a:avLst/>
            </a:prstGeom>
            <a:noFill/>
            <a:ln w="6350">
              <a:solidFill>
                <a:srgbClr val="000000"/>
              </a:solidFill>
              <a:prstDash val="dash"/>
              <a:round/>
              <a:headEnd/>
              <a:tailEnd/>
            </a:ln>
          </xdr:spPr>
        </xdr:sp>
        <xdr:sp macro="" textlink="">
          <xdr:nvSpPr>
            <xdr:cNvPr id="17" name="Line 1682"/>
            <xdr:cNvSpPr>
              <a:spLocks noChangeAspect="1" noChangeShapeType="1"/>
            </xdr:cNvSpPr>
          </xdr:nvSpPr>
          <xdr:spPr bwMode="auto">
            <a:xfrm flipH="1">
              <a:off x="4981575" y="348605475"/>
              <a:ext cx="342900" cy="419100"/>
            </a:xfrm>
            <a:prstGeom prst="line">
              <a:avLst/>
            </a:prstGeom>
            <a:noFill/>
            <a:ln w="6350">
              <a:solidFill>
                <a:srgbClr val="0000FF"/>
              </a:solidFill>
              <a:round/>
              <a:headEnd type="stealth" w="sm" len="sm"/>
              <a:tailEnd type="stealth" w="sm" len="sm"/>
            </a:ln>
          </xdr:spPr>
        </xdr:sp>
        <xdr:sp macro="" textlink="">
          <xdr:nvSpPr>
            <xdr:cNvPr id="18" name="Line 1680"/>
            <xdr:cNvSpPr>
              <a:spLocks noChangeAspect="1" noChangeShapeType="1"/>
            </xdr:cNvSpPr>
          </xdr:nvSpPr>
          <xdr:spPr bwMode="auto">
            <a:xfrm flipV="1">
              <a:off x="5779832" y="348815025"/>
              <a:ext cx="514350" cy="0"/>
            </a:xfrm>
            <a:prstGeom prst="line">
              <a:avLst/>
            </a:prstGeom>
            <a:noFill/>
            <a:ln w="6350">
              <a:solidFill>
                <a:srgbClr val="0000FF"/>
              </a:solidFill>
              <a:prstDash val="sysDot"/>
              <a:round/>
              <a:headEnd/>
              <a:tailEnd/>
            </a:ln>
          </xdr:spPr>
        </xdr:sp>
        <xdr:sp macro="" textlink="">
          <xdr:nvSpPr>
            <xdr:cNvPr id="19" name="Line 1681"/>
            <xdr:cNvSpPr>
              <a:spLocks noChangeAspect="1" noChangeShapeType="1"/>
            </xdr:cNvSpPr>
          </xdr:nvSpPr>
          <xdr:spPr bwMode="auto">
            <a:xfrm>
              <a:off x="6150999" y="348827161"/>
              <a:ext cx="0" cy="695325"/>
            </a:xfrm>
            <a:prstGeom prst="line">
              <a:avLst/>
            </a:prstGeom>
            <a:noFill/>
            <a:ln w="6350">
              <a:solidFill>
                <a:srgbClr val="0000FF"/>
              </a:solidFill>
              <a:round/>
              <a:headEnd type="stealth" w="sm" len="sm"/>
              <a:tailEnd type="stealth" w="sm" len="sm"/>
            </a:ln>
          </xdr:spPr>
        </xdr:sp>
        <xdr:sp macro="" textlink="">
          <xdr:nvSpPr>
            <xdr:cNvPr id="20" name="Arc 1684"/>
            <xdr:cNvSpPr>
              <a:spLocks noChangeAspect="1"/>
            </xdr:cNvSpPr>
          </xdr:nvSpPr>
          <xdr:spPr bwMode="auto">
            <a:xfrm>
              <a:off x="5154254" y="347608106"/>
              <a:ext cx="984765" cy="1189317"/>
            </a:xfrm>
            <a:custGeom>
              <a:avLst/>
              <a:gdLst>
                <a:gd name="T0" fmla="*/ 18320770 w 21600"/>
                <a:gd name="T1" fmla="*/ 0 h 21944"/>
                <a:gd name="T2" fmla="*/ 1743030555 w 21600"/>
                <a:gd name="T3" fmla="*/ 1741281270 h 21944"/>
                <a:gd name="T4" fmla="*/ 0 w 21600"/>
                <a:gd name="T5" fmla="*/ 1713904409 h 21944"/>
                <a:gd name="T6" fmla="*/ 0 60000 65536"/>
                <a:gd name="T7" fmla="*/ 0 60000 65536"/>
                <a:gd name="T8" fmla="*/ 0 60000 65536"/>
                <a:gd name="T9" fmla="*/ 0 w 21600"/>
                <a:gd name="T10" fmla="*/ 0 h 21944"/>
                <a:gd name="T11" fmla="*/ 21600 w 21600"/>
                <a:gd name="T12" fmla="*/ 21944 h 21944"/>
              </a:gdLst>
              <a:ahLst/>
              <a:cxnLst>
                <a:cxn ang="T6">
                  <a:pos x="T0" y="T1"/>
                </a:cxn>
                <a:cxn ang="T7">
                  <a:pos x="T2" y="T3"/>
                </a:cxn>
                <a:cxn ang="T8">
                  <a:pos x="T4" y="T5"/>
                </a:cxn>
              </a:cxnLst>
              <a:rect l="T9" t="T10" r="T11" b="T12"/>
              <a:pathLst>
                <a:path w="21600" h="21944" fill="none" extrusionOk="0">
                  <a:moveTo>
                    <a:pt x="226" y="0"/>
                  </a:moveTo>
                  <a:cubicBezTo>
                    <a:pt x="12067" y="124"/>
                    <a:pt x="21600" y="9758"/>
                    <a:pt x="21600" y="21599"/>
                  </a:cubicBezTo>
                  <a:cubicBezTo>
                    <a:pt x="21600" y="21714"/>
                    <a:pt x="21599" y="21829"/>
                    <a:pt x="21597" y="21944"/>
                  </a:cubicBezTo>
                </a:path>
                <a:path w="21600" h="21944" stroke="0" extrusionOk="0">
                  <a:moveTo>
                    <a:pt x="226" y="0"/>
                  </a:moveTo>
                  <a:cubicBezTo>
                    <a:pt x="12067" y="124"/>
                    <a:pt x="21600" y="9758"/>
                    <a:pt x="21600" y="21599"/>
                  </a:cubicBezTo>
                  <a:cubicBezTo>
                    <a:pt x="21600" y="21714"/>
                    <a:pt x="21599" y="21829"/>
                    <a:pt x="21597" y="21944"/>
                  </a:cubicBezTo>
                  <a:lnTo>
                    <a:pt x="0" y="21599"/>
                  </a:lnTo>
                  <a:close/>
                </a:path>
              </a:pathLst>
            </a:custGeom>
            <a:noFill/>
            <a:ln w="6350">
              <a:solidFill>
                <a:srgbClr val="0000FF"/>
              </a:solidFill>
              <a:round/>
              <a:headEnd type="stealth" w="sm" len="sm"/>
              <a:tailEnd type="stealth" w="sm" len="sm"/>
            </a:ln>
          </xdr:spPr>
        </xdr:sp>
        <xdr:sp macro="" textlink="">
          <xdr:nvSpPr>
            <xdr:cNvPr id="21" name="Line 1685"/>
            <xdr:cNvSpPr>
              <a:spLocks noChangeAspect="1" noChangeShapeType="1"/>
            </xdr:cNvSpPr>
          </xdr:nvSpPr>
          <xdr:spPr bwMode="auto">
            <a:xfrm>
              <a:off x="4419601" y="347610426"/>
              <a:ext cx="723900" cy="0"/>
            </a:xfrm>
            <a:prstGeom prst="line">
              <a:avLst/>
            </a:prstGeom>
            <a:noFill/>
            <a:ln w="6350">
              <a:solidFill>
                <a:srgbClr val="0000FF"/>
              </a:solidFill>
              <a:round/>
              <a:headEnd type="stealth" w="sm" len="sm"/>
              <a:tailEnd type="stealth" w="sm" len="sm"/>
            </a:ln>
          </xdr:spPr>
        </xdr:sp>
        <xdr:sp macro="" textlink="">
          <xdr:nvSpPr>
            <xdr:cNvPr id="22" name="Line 1708"/>
            <xdr:cNvSpPr>
              <a:spLocks noChangeAspect="1" noChangeShapeType="1"/>
            </xdr:cNvSpPr>
          </xdr:nvSpPr>
          <xdr:spPr bwMode="auto">
            <a:xfrm>
              <a:off x="4133850" y="347891100"/>
              <a:ext cx="485775" cy="0"/>
            </a:xfrm>
            <a:prstGeom prst="line">
              <a:avLst/>
            </a:prstGeom>
            <a:noFill/>
            <a:ln w="6350">
              <a:solidFill>
                <a:srgbClr val="0000FF"/>
              </a:solidFill>
              <a:prstDash val="sysDot"/>
              <a:round/>
              <a:headEnd/>
              <a:tailEnd/>
            </a:ln>
          </xdr:spPr>
        </xdr:sp>
        <xdr:sp macro="" textlink="">
          <xdr:nvSpPr>
            <xdr:cNvPr id="23" name="Line 1709"/>
            <xdr:cNvSpPr>
              <a:spLocks noChangeAspect="1" noChangeShapeType="1"/>
            </xdr:cNvSpPr>
          </xdr:nvSpPr>
          <xdr:spPr bwMode="auto">
            <a:xfrm>
              <a:off x="4095750" y="349529400"/>
              <a:ext cx="685800" cy="0"/>
            </a:xfrm>
            <a:prstGeom prst="line">
              <a:avLst/>
            </a:prstGeom>
            <a:noFill/>
            <a:ln w="6350">
              <a:solidFill>
                <a:srgbClr val="0000FF"/>
              </a:solidFill>
              <a:prstDash val="sysDot"/>
              <a:round/>
              <a:headEnd/>
              <a:tailEnd/>
            </a:ln>
          </xdr:spPr>
        </xdr:sp>
        <xdr:sp macro="" textlink="">
          <xdr:nvSpPr>
            <xdr:cNvPr id="24" name="Line 1710"/>
            <xdr:cNvSpPr>
              <a:spLocks noChangeAspect="1" noChangeShapeType="1"/>
            </xdr:cNvSpPr>
          </xdr:nvSpPr>
          <xdr:spPr bwMode="auto">
            <a:xfrm>
              <a:off x="4221726" y="347891099"/>
              <a:ext cx="0" cy="1619250"/>
            </a:xfrm>
            <a:prstGeom prst="line">
              <a:avLst/>
            </a:prstGeom>
            <a:noFill/>
            <a:ln w="6350">
              <a:solidFill>
                <a:srgbClr val="0000FF"/>
              </a:solidFill>
              <a:round/>
              <a:headEnd type="stealth" w="sm" len="sm"/>
              <a:tailEnd type="stealth" w="sm" len="sm"/>
            </a:ln>
          </xdr:spPr>
        </xdr:sp>
        <xdr:sp macro="" textlink="">
          <xdr:nvSpPr>
            <xdr:cNvPr id="25" name="Line 1712"/>
            <xdr:cNvSpPr>
              <a:spLocks noChangeAspect="1" noChangeShapeType="1"/>
            </xdr:cNvSpPr>
          </xdr:nvSpPr>
          <xdr:spPr bwMode="auto">
            <a:xfrm>
              <a:off x="5934075" y="349405563"/>
              <a:ext cx="0" cy="495300"/>
            </a:xfrm>
            <a:prstGeom prst="line">
              <a:avLst/>
            </a:prstGeom>
            <a:noFill/>
            <a:ln w="6350">
              <a:solidFill>
                <a:srgbClr val="0000FF"/>
              </a:solidFill>
              <a:prstDash val="sysDot"/>
              <a:round/>
              <a:headEnd/>
              <a:tailEnd/>
            </a:ln>
          </xdr:spPr>
        </xdr:sp>
        <xdr:sp macro="" textlink="">
          <xdr:nvSpPr>
            <xdr:cNvPr id="26" name="Line 1713"/>
            <xdr:cNvSpPr>
              <a:spLocks noChangeAspect="1" noChangeShapeType="1"/>
            </xdr:cNvSpPr>
          </xdr:nvSpPr>
          <xdr:spPr bwMode="auto">
            <a:xfrm>
              <a:off x="4410075" y="349467465"/>
              <a:ext cx="0" cy="419100"/>
            </a:xfrm>
            <a:prstGeom prst="line">
              <a:avLst/>
            </a:prstGeom>
            <a:noFill/>
            <a:ln w="6350">
              <a:solidFill>
                <a:srgbClr val="0000FF"/>
              </a:solidFill>
              <a:prstDash val="sysDot"/>
              <a:round/>
              <a:headEnd/>
              <a:tailEnd/>
            </a:ln>
          </xdr:spPr>
        </xdr:sp>
        <xdr:sp macro="" textlink="">
          <xdr:nvSpPr>
            <xdr:cNvPr id="27" name="Line 1714"/>
            <xdr:cNvSpPr>
              <a:spLocks noChangeAspect="1" noChangeShapeType="1"/>
            </xdr:cNvSpPr>
          </xdr:nvSpPr>
          <xdr:spPr bwMode="auto">
            <a:xfrm>
              <a:off x="4438650" y="349779413"/>
              <a:ext cx="1466849" cy="0"/>
            </a:xfrm>
            <a:prstGeom prst="line">
              <a:avLst/>
            </a:prstGeom>
            <a:noFill/>
            <a:ln w="6350">
              <a:solidFill>
                <a:srgbClr val="0000FF"/>
              </a:solidFill>
              <a:round/>
              <a:headEnd type="stealth" w="sm" len="sm"/>
              <a:tailEnd type="stealth" w="sm" len="sm"/>
            </a:ln>
          </xdr:spPr>
        </xdr:sp>
      </xdr:grpSp>
    </xdr:grpSp>
    <xdr:clientData/>
  </xdr:twoCellAnchor>
  <xdr:twoCellAnchor>
    <xdr:from>
      <xdr:col>4</xdr:col>
      <xdr:colOff>371474</xdr:colOff>
      <xdr:row>43</xdr:row>
      <xdr:rowOff>1</xdr:rowOff>
    </xdr:from>
    <xdr:to>
      <xdr:col>4</xdr:col>
      <xdr:colOff>476249</xdr:colOff>
      <xdr:row>45</xdr:row>
      <xdr:rowOff>57151</xdr:rowOff>
    </xdr:to>
    <xdr:sp macro="" textlink="">
      <xdr:nvSpPr>
        <xdr:cNvPr id="28" name="Left Brace 27"/>
        <xdr:cNvSpPr/>
      </xdr:nvSpPr>
      <xdr:spPr>
        <a:xfrm>
          <a:off x="2428874" y="8905876"/>
          <a:ext cx="104775" cy="476250"/>
        </a:xfrm>
        <a:prstGeom prst="leftBrace">
          <a:avLst>
            <a:gd name="adj1" fmla="val 21376"/>
            <a:gd name="adj2"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352425</xdr:colOff>
      <xdr:row>33</xdr:row>
      <xdr:rowOff>0</xdr:rowOff>
    </xdr:from>
    <xdr:to>
      <xdr:col>5</xdr:col>
      <xdr:colOff>9525</xdr:colOff>
      <xdr:row>35</xdr:row>
      <xdr:rowOff>76200</xdr:rowOff>
    </xdr:to>
    <xdr:sp macro="" textlink="">
      <xdr:nvSpPr>
        <xdr:cNvPr id="29" name="Left Brace 28"/>
        <xdr:cNvSpPr/>
      </xdr:nvSpPr>
      <xdr:spPr>
        <a:xfrm>
          <a:off x="2409825" y="6800850"/>
          <a:ext cx="171450" cy="542925"/>
        </a:xfrm>
        <a:prstGeom prst="leftBrace">
          <a:avLst>
            <a:gd name="adj1" fmla="val 21376"/>
            <a:gd name="adj2"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238125</xdr:colOff>
      <xdr:row>15</xdr:row>
      <xdr:rowOff>180975</xdr:rowOff>
    </xdr:from>
    <xdr:to>
      <xdr:col>14</xdr:col>
      <xdr:colOff>485774</xdr:colOff>
      <xdr:row>37</xdr:row>
      <xdr:rowOff>180975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171451</xdr:colOff>
      <xdr:row>2</xdr:row>
      <xdr:rowOff>28575</xdr:rowOff>
    </xdr:from>
    <xdr:to>
      <xdr:col>2</xdr:col>
      <xdr:colOff>342901</xdr:colOff>
      <xdr:row>7</xdr:row>
      <xdr:rowOff>38100</xdr:rowOff>
    </xdr:to>
    <xdr:grpSp>
      <xdr:nvGrpSpPr>
        <xdr:cNvPr id="28" name="Group 27"/>
        <xdr:cNvGrpSpPr/>
      </xdr:nvGrpSpPr>
      <xdr:grpSpPr>
        <a:xfrm>
          <a:off x="171451" y="409575"/>
          <a:ext cx="1200150" cy="962025"/>
          <a:chOff x="676275" y="600075"/>
          <a:chExt cx="2009775" cy="1548000"/>
        </a:xfrm>
      </xdr:grpSpPr>
      <xdr:grpSp>
        <xdr:nvGrpSpPr>
          <xdr:cNvPr id="33" name="Group 32"/>
          <xdr:cNvGrpSpPr/>
        </xdr:nvGrpSpPr>
        <xdr:grpSpPr>
          <a:xfrm>
            <a:off x="2066925" y="600075"/>
            <a:ext cx="619125" cy="1548000"/>
            <a:chOff x="1800225" y="800100"/>
            <a:chExt cx="352425" cy="2095500"/>
          </a:xfrm>
        </xdr:grpSpPr>
        <xdr:cxnSp macro="">
          <xdr:nvCxnSpPr>
            <xdr:cNvPr id="36" name="Straight Connector 35"/>
            <xdr:cNvCxnSpPr/>
          </xdr:nvCxnSpPr>
          <xdr:spPr>
            <a:xfrm>
              <a:off x="1800225" y="800100"/>
              <a:ext cx="3524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xdr:cNvCxnSpPr/>
          </xdr:nvCxnSpPr>
          <xdr:spPr>
            <a:xfrm>
              <a:off x="1800225" y="2895600"/>
              <a:ext cx="3524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xdr:cNvCxnSpPr/>
          </xdr:nvCxnSpPr>
          <xdr:spPr>
            <a:xfrm>
              <a:off x="2089211" y="800100"/>
              <a:ext cx="0" cy="2088001"/>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grpSp>
      <xdr:sp macro="" textlink="">
        <xdr:nvSpPr>
          <xdr:cNvPr id="34" name="Oval 33"/>
          <xdr:cNvSpPr/>
        </xdr:nvSpPr>
        <xdr:spPr>
          <a:xfrm>
            <a:off x="676275" y="600075"/>
            <a:ext cx="1552575" cy="1548000"/>
          </a:xfrm>
          <a:prstGeom prst="ellips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sp macro="" textlink="">
        <xdr:nvSpPr>
          <xdr:cNvPr id="35" name="Oval 34"/>
          <xdr:cNvSpPr/>
        </xdr:nvSpPr>
        <xdr:spPr>
          <a:xfrm>
            <a:off x="781049" y="704850"/>
            <a:ext cx="1343025" cy="1343025"/>
          </a:xfrm>
          <a:prstGeom prst="ellipse">
            <a:avLst/>
          </a:prstGeom>
          <a:noFill/>
          <a:ln w="9525">
            <a:solidFill>
              <a:srgbClr val="C00000"/>
            </a:solidFill>
            <a:prstDash val="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grp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409576</xdr:colOff>
      <xdr:row>19</xdr:row>
      <xdr:rowOff>19051</xdr:rowOff>
    </xdr:from>
    <xdr:to>
      <xdr:col>5</xdr:col>
      <xdr:colOff>504825</xdr:colOff>
      <xdr:row>20</xdr:row>
      <xdr:rowOff>95251</xdr:rowOff>
    </xdr:to>
    <xdr:sp macro="" textlink="">
      <xdr:nvSpPr>
        <xdr:cNvPr id="3" name="Left Brace 2"/>
        <xdr:cNvSpPr/>
      </xdr:nvSpPr>
      <xdr:spPr>
        <a:xfrm>
          <a:off x="2981326" y="20878801"/>
          <a:ext cx="95249" cy="266700"/>
        </a:xfrm>
        <a:prstGeom prst="leftBrace">
          <a:avLst>
            <a:gd name="adj1" fmla="val 16954"/>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428626</xdr:colOff>
      <xdr:row>26</xdr:row>
      <xdr:rowOff>0</xdr:rowOff>
    </xdr:from>
    <xdr:to>
      <xdr:col>6</xdr:col>
      <xdr:colOff>9526</xdr:colOff>
      <xdr:row>28</xdr:row>
      <xdr:rowOff>9526</xdr:rowOff>
    </xdr:to>
    <xdr:sp macro="" textlink="">
      <xdr:nvSpPr>
        <xdr:cNvPr id="4" name="Left Brace 3"/>
        <xdr:cNvSpPr/>
      </xdr:nvSpPr>
      <xdr:spPr>
        <a:xfrm>
          <a:off x="3000376" y="22193250"/>
          <a:ext cx="95250" cy="390526"/>
        </a:xfrm>
        <a:prstGeom prst="leftBrace">
          <a:avLst>
            <a:gd name="adj1" fmla="val 16954"/>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409576</xdr:colOff>
      <xdr:row>36</xdr:row>
      <xdr:rowOff>171451</xdr:rowOff>
    </xdr:from>
    <xdr:to>
      <xdr:col>5</xdr:col>
      <xdr:colOff>504826</xdr:colOff>
      <xdr:row>39</xdr:row>
      <xdr:rowOff>0</xdr:rowOff>
    </xdr:to>
    <xdr:sp macro="" textlink="">
      <xdr:nvSpPr>
        <xdr:cNvPr id="5" name="Left Brace 4"/>
        <xdr:cNvSpPr/>
      </xdr:nvSpPr>
      <xdr:spPr>
        <a:xfrm>
          <a:off x="2981326" y="24384001"/>
          <a:ext cx="95250" cy="485774"/>
        </a:xfrm>
        <a:prstGeom prst="leftBrace">
          <a:avLst>
            <a:gd name="adj1" fmla="val 16954"/>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295274</xdr:colOff>
      <xdr:row>15</xdr:row>
      <xdr:rowOff>0</xdr:rowOff>
    </xdr:from>
    <xdr:to>
      <xdr:col>2</xdr:col>
      <xdr:colOff>409575</xdr:colOff>
      <xdr:row>17</xdr:row>
      <xdr:rowOff>0</xdr:rowOff>
    </xdr:to>
    <xdr:sp macro="" textlink="">
      <xdr:nvSpPr>
        <xdr:cNvPr id="2" name="Left Bracket 1"/>
        <xdr:cNvSpPr/>
      </xdr:nvSpPr>
      <xdr:spPr>
        <a:xfrm>
          <a:off x="1323974" y="3381375"/>
          <a:ext cx="114301" cy="438150"/>
        </a:xfrm>
        <a:prstGeom prst="leftBracket">
          <a:avLst>
            <a:gd name="adj" fmla="val 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6</xdr:col>
      <xdr:colOff>200024</xdr:colOff>
      <xdr:row>14</xdr:row>
      <xdr:rowOff>171450</xdr:rowOff>
    </xdr:from>
    <xdr:to>
      <xdr:col>6</xdr:col>
      <xdr:colOff>314325</xdr:colOff>
      <xdr:row>17</xdr:row>
      <xdr:rowOff>0</xdr:rowOff>
    </xdr:to>
    <xdr:sp macro="" textlink="">
      <xdr:nvSpPr>
        <xdr:cNvPr id="3" name="Left Bracket 2"/>
        <xdr:cNvSpPr/>
      </xdr:nvSpPr>
      <xdr:spPr>
        <a:xfrm flipH="1">
          <a:off x="3286124" y="3362325"/>
          <a:ext cx="114301" cy="438150"/>
        </a:xfrm>
        <a:prstGeom prst="leftBracket">
          <a:avLst>
            <a:gd name="adj" fmla="val 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9526</xdr:colOff>
      <xdr:row>11</xdr:row>
      <xdr:rowOff>152400</xdr:rowOff>
    </xdr:from>
    <xdr:to>
      <xdr:col>2</xdr:col>
      <xdr:colOff>219076</xdr:colOff>
      <xdr:row>17</xdr:row>
      <xdr:rowOff>0</xdr:rowOff>
    </xdr:to>
    <xdr:sp macro="" textlink="">
      <xdr:nvSpPr>
        <xdr:cNvPr id="4" name="Left Brace 3"/>
        <xdr:cNvSpPr/>
      </xdr:nvSpPr>
      <xdr:spPr>
        <a:xfrm>
          <a:off x="1038226" y="2705100"/>
          <a:ext cx="209550" cy="1200150"/>
        </a:xfrm>
        <a:prstGeom prst="leftBrace">
          <a:avLst>
            <a:gd name="adj1" fmla="val 26515"/>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428626</xdr:colOff>
      <xdr:row>37</xdr:row>
      <xdr:rowOff>19050</xdr:rowOff>
    </xdr:from>
    <xdr:to>
      <xdr:col>3</xdr:col>
      <xdr:colOff>0</xdr:colOff>
      <xdr:row>39</xdr:row>
      <xdr:rowOff>0</xdr:rowOff>
    </xdr:to>
    <xdr:sp macro="" textlink="">
      <xdr:nvSpPr>
        <xdr:cNvPr id="5" name="Left Brace 4"/>
        <xdr:cNvSpPr/>
      </xdr:nvSpPr>
      <xdr:spPr>
        <a:xfrm>
          <a:off x="1457326" y="8867775"/>
          <a:ext cx="85724" cy="409575"/>
        </a:xfrm>
        <a:prstGeom prst="leftBrace">
          <a:avLst>
            <a:gd name="adj1" fmla="val 26515"/>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428626</xdr:colOff>
      <xdr:row>40</xdr:row>
      <xdr:rowOff>19050</xdr:rowOff>
    </xdr:from>
    <xdr:to>
      <xdr:col>3</xdr:col>
      <xdr:colOff>0</xdr:colOff>
      <xdr:row>42</xdr:row>
      <xdr:rowOff>0</xdr:rowOff>
    </xdr:to>
    <xdr:sp macro="" textlink="">
      <xdr:nvSpPr>
        <xdr:cNvPr id="6" name="Left Brace 5"/>
        <xdr:cNvSpPr/>
      </xdr:nvSpPr>
      <xdr:spPr>
        <a:xfrm>
          <a:off x="1457326" y="9867900"/>
          <a:ext cx="85724" cy="447675"/>
        </a:xfrm>
        <a:prstGeom prst="leftBrace">
          <a:avLst>
            <a:gd name="adj1" fmla="val 26515"/>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352426</xdr:colOff>
      <xdr:row>37</xdr:row>
      <xdr:rowOff>0</xdr:rowOff>
    </xdr:from>
    <xdr:to>
      <xdr:col>2</xdr:col>
      <xdr:colOff>47625</xdr:colOff>
      <xdr:row>42</xdr:row>
      <xdr:rowOff>0</xdr:rowOff>
    </xdr:to>
    <xdr:sp macro="" textlink="">
      <xdr:nvSpPr>
        <xdr:cNvPr id="7" name="Left Brace 6"/>
        <xdr:cNvSpPr/>
      </xdr:nvSpPr>
      <xdr:spPr>
        <a:xfrm>
          <a:off x="866776" y="8848725"/>
          <a:ext cx="209549" cy="1552575"/>
        </a:xfrm>
        <a:prstGeom prst="leftBrace">
          <a:avLst>
            <a:gd name="adj1" fmla="val 26515"/>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2</xdr:col>
      <xdr:colOff>323850</xdr:colOff>
      <xdr:row>15</xdr:row>
      <xdr:rowOff>133349</xdr:rowOff>
    </xdr:from>
    <xdr:to>
      <xdr:col>3</xdr:col>
      <xdr:colOff>133349</xdr:colOff>
      <xdr:row>26</xdr:row>
      <xdr:rowOff>38100</xdr:rowOff>
    </xdr:to>
    <xdr:sp macro="" textlink="">
      <xdr:nvSpPr>
        <xdr:cNvPr id="2" name="Left Brace 1"/>
        <xdr:cNvSpPr/>
      </xdr:nvSpPr>
      <xdr:spPr>
        <a:xfrm>
          <a:off x="1543050" y="3162299"/>
          <a:ext cx="419099" cy="2000251"/>
        </a:xfrm>
        <a:prstGeom prst="leftBrace">
          <a:avLst>
            <a:gd name="adj1" fmla="val 20087"/>
            <a:gd name="adj2"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504825</xdr:colOff>
      <xdr:row>4</xdr:row>
      <xdr:rowOff>0</xdr:rowOff>
    </xdr:from>
    <xdr:to>
      <xdr:col>4</xdr:col>
      <xdr:colOff>0</xdr:colOff>
      <xdr:row>16</xdr:row>
      <xdr:rowOff>0</xdr:rowOff>
    </xdr:to>
    <xdr:sp macro="" textlink="">
      <xdr:nvSpPr>
        <xdr:cNvPr id="107" name="Rectangle 106"/>
        <xdr:cNvSpPr/>
      </xdr:nvSpPr>
      <xdr:spPr>
        <a:xfrm>
          <a:off x="504825" y="14097000"/>
          <a:ext cx="1552575" cy="234315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304800</xdr:colOff>
      <xdr:row>2</xdr:row>
      <xdr:rowOff>114300</xdr:rowOff>
    </xdr:from>
    <xdr:to>
      <xdr:col>2</xdr:col>
      <xdr:colOff>304800</xdr:colOff>
      <xdr:row>16</xdr:row>
      <xdr:rowOff>152400</xdr:rowOff>
    </xdr:to>
    <xdr:cxnSp macro="">
      <xdr:nvCxnSpPr>
        <xdr:cNvPr id="108" name="Straight Connector 107"/>
        <xdr:cNvCxnSpPr/>
      </xdr:nvCxnSpPr>
      <xdr:spPr>
        <a:xfrm>
          <a:off x="1333500" y="13830300"/>
          <a:ext cx="0" cy="2762250"/>
        </a:xfrm>
        <a:prstGeom prst="line">
          <a:avLst/>
        </a:prstGeom>
        <a:ln w="9525">
          <a:solidFill>
            <a:schemeClr val="tx2"/>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295275</xdr:colOff>
      <xdr:row>10</xdr:row>
      <xdr:rowOff>0</xdr:rowOff>
    </xdr:from>
    <xdr:to>
      <xdr:col>4</xdr:col>
      <xdr:colOff>419100</xdr:colOff>
      <xdr:row>10</xdr:row>
      <xdr:rowOff>0</xdr:rowOff>
    </xdr:to>
    <xdr:cxnSp macro="">
      <xdr:nvCxnSpPr>
        <xdr:cNvPr id="109" name="Straight Connector 108"/>
        <xdr:cNvCxnSpPr/>
      </xdr:nvCxnSpPr>
      <xdr:spPr>
        <a:xfrm>
          <a:off x="295275" y="15240000"/>
          <a:ext cx="2181225" cy="0"/>
        </a:xfrm>
        <a:prstGeom prst="line">
          <a:avLst/>
        </a:prstGeom>
        <a:ln w="9525">
          <a:solidFill>
            <a:schemeClr val="tx2"/>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161926</xdr:colOff>
      <xdr:row>5</xdr:row>
      <xdr:rowOff>66674</xdr:rowOff>
    </xdr:from>
    <xdr:to>
      <xdr:col>1</xdr:col>
      <xdr:colOff>428626</xdr:colOff>
      <xdr:row>6</xdr:row>
      <xdr:rowOff>133349</xdr:rowOff>
    </xdr:to>
    <xdr:sp macro="" textlink="">
      <xdr:nvSpPr>
        <xdr:cNvPr id="110" name="Oval 109"/>
        <xdr:cNvSpPr/>
      </xdr:nvSpPr>
      <xdr:spPr>
        <a:xfrm>
          <a:off x="676276" y="1435417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85726</xdr:colOff>
      <xdr:row>5</xdr:row>
      <xdr:rowOff>57149</xdr:rowOff>
    </xdr:from>
    <xdr:to>
      <xdr:col>3</xdr:col>
      <xdr:colOff>352426</xdr:colOff>
      <xdr:row>6</xdr:row>
      <xdr:rowOff>123824</xdr:rowOff>
    </xdr:to>
    <xdr:sp macro="" textlink="">
      <xdr:nvSpPr>
        <xdr:cNvPr id="111" name="Oval 110"/>
        <xdr:cNvSpPr/>
      </xdr:nvSpPr>
      <xdr:spPr>
        <a:xfrm>
          <a:off x="1628776" y="14344649"/>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161926</xdr:colOff>
      <xdr:row>13</xdr:row>
      <xdr:rowOff>57149</xdr:rowOff>
    </xdr:from>
    <xdr:to>
      <xdr:col>1</xdr:col>
      <xdr:colOff>428626</xdr:colOff>
      <xdr:row>14</xdr:row>
      <xdr:rowOff>123824</xdr:rowOff>
    </xdr:to>
    <xdr:sp macro="" textlink="">
      <xdr:nvSpPr>
        <xdr:cNvPr id="112" name="Oval 111"/>
        <xdr:cNvSpPr/>
      </xdr:nvSpPr>
      <xdr:spPr>
        <a:xfrm>
          <a:off x="676276" y="15925799"/>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85726</xdr:colOff>
      <xdr:row>13</xdr:row>
      <xdr:rowOff>47624</xdr:rowOff>
    </xdr:from>
    <xdr:to>
      <xdr:col>3</xdr:col>
      <xdr:colOff>352426</xdr:colOff>
      <xdr:row>14</xdr:row>
      <xdr:rowOff>114299</xdr:rowOff>
    </xdr:to>
    <xdr:sp macro="" textlink="">
      <xdr:nvSpPr>
        <xdr:cNvPr id="113" name="Oval 112"/>
        <xdr:cNvSpPr/>
      </xdr:nvSpPr>
      <xdr:spPr>
        <a:xfrm>
          <a:off x="1628776" y="1591627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0</xdr:col>
      <xdr:colOff>504825</xdr:colOff>
      <xdr:row>2</xdr:row>
      <xdr:rowOff>66675</xdr:rowOff>
    </xdr:from>
    <xdr:to>
      <xdr:col>0</xdr:col>
      <xdr:colOff>504825</xdr:colOff>
      <xdr:row>5</xdr:row>
      <xdr:rowOff>19052</xdr:rowOff>
    </xdr:to>
    <xdr:cxnSp macro="">
      <xdr:nvCxnSpPr>
        <xdr:cNvPr id="114" name="Straight Connector 113"/>
        <xdr:cNvCxnSpPr/>
      </xdr:nvCxnSpPr>
      <xdr:spPr>
        <a:xfrm flipV="1">
          <a:off x="504825" y="13782675"/>
          <a:ext cx="0" cy="523877"/>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504825</xdr:colOff>
      <xdr:row>15</xdr:row>
      <xdr:rowOff>66676</xdr:rowOff>
    </xdr:from>
    <xdr:to>
      <xdr:col>0</xdr:col>
      <xdr:colOff>504825</xdr:colOff>
      <xdr:row>17</xdr:row>
      <xdr:rowOff>104775</xdr:rowOff>
    </xdr:to>
    <xdr:cxnSp macro="">
      <xdr:nvCxnSpPr>
        <xdr:cNvPr id="115" name="Straight Connector 114"/>
        <xdr:cNvCxnSpPr/>
      </xdr:nvCxnSpPr>
      <xdr:spPr>
        <a:xfrm flipV="1">
          <a:off x="504825" y="16316326"/>
          <a:ext cx="0" cy="419099"/>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314325</xdr:colOff>
      <xdr:row>3</xdr:row>
      <xdr:rowOff>0</xdr:rowOff>
    </xdr:from>
    <xdr:to>
      <xdr:col>3</xdr:col>
      <xdr:colOff>247650</xdr:colOff>
      <xdr:row>3</xdr:row>
      <xdr:rowOff>0</xdr:rowOff>
    </xdr:to>
    <xdr:cxnSp macro="">
      <xdr:nvCxnSpPr>
        <xdr:cNvPr id="116" name="Straight Connector 115"/>
        <xdr:cNvCxnSpPr/>
      </xdr:nvCxnSpPr>
      <xdr:spPr>
        <a:xfrm>
          <a:off x="828675" y="13906500"/>
          <a:ext cx="96202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2</xdr:row>
      <xdr:rowOff>76200</xdr:rowOff>
    </xdr:from>
    <xdr:to>
      <xdr:col>1</xdr:col>
      <xdr:colOff>295275</xdr:colOff>
      <xdr:row>5</xdr:row>
      <xdr:rowOff>123825</xdr:rowOff>
    </xdr:to>
    <xdr:cxnSp macro="">
      <xdr:nvCxnSpPr>
        <xdr:cNvPr id="117" name="Straight Connector 116"/>
        <xdr:cNvCxnSpPr/>
      </xdr:nvCxnSpPr>
      <xdr:spPr>
        <a:xfrm flipV="1">
          <a:off x="809625" y="13792200"/>
          <a:ext cx="0" cy="61912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247650</xdr:colOff>
      <xdr:row>2</xdr:row>
      <xdr:rowOff>104775</xdr:rowOff>
    </xdr:from>
    <xdr:to>
      <xdr:col>3</xdr:col>
      <xdr:colOff>247650</xdr:colOff>
      <xdr:row>5</xdr:row>
      <xdr:rowOff>152400</xdr:rowOff>
    </xdr:to>
    <xdr:cxnSp macro="">
      <xdr:nvCxnSpPr>
        <xdr:cNvPr id="118" name="Straight Connector 117"/>
        <xdr:cNvCxnSpPr/>
      </xdr:nvCxnSpPr>
      <xdr:spPr>
        <a:xfrm flipV="1">
          <a:off x="1790700" y="13820775"/>
          <a:ext cx="0" cy="61912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3</xdr:row>
      <xdr:rowOff>0</xdr:rowOff>
    </xdr:from>
    <xdr:to>
      <xdr:col>1</xdr:col>
      <xdr:colOff>304800</xdr:colOff>
      <xdr:row>3</xdr:row>
      <xdr:rowOff>0</xdr:rowOff>
    </xdr:to>
    <xdr:cxnSp macro="">
      <xdr:nvCxnSpPr>
        <xdr:cNvPr id="119" name="Straight Connector 118"/>
        <xdr:cNvCxnSpPr/>
      </xdr:nvCxnSpPr>
      <xdr:spPr>
        <a:xfrm>
          <a:off x="514350" y="13906500"/>
          <a:ext cx="30480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210509</xdr:colOff>
      <xdr:row>5</xdr:row>
      <xdr:rowOff>190061</xdr:rowOff>
    </xdr:from>
    <xdr:to>
      <xdr:col>4</xdr:col>
      <xdr:colOff>438150</xdr:colOff>
      <xdr:row>5</xdr:row>
      <xdr:rowOff>190061</xdr:rowOff>
    </xdr:to>
    <xdr:cxnSp macro="">
      <xdr:nvCxnSpPr>
        <xdr:cNvPr id="120" name="Straight Connector 119"/>
        <xdr:cNvCxnSpPr/>
      </xdr:nvCxnSpPr>
      <xdr:spPr>
        <a:xfrm flipH="1">
          <a:off x="1753559" y="14477561"/>
          <a:ext cx="741991"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391486</xdr:colOff>
      <xdr:row>15</xdr:row>
      <xdr:rowOff>218636</xdr:rowOff>
    </xdr:from>
    <xdr:to>
      <xdr:col>5</xdr:col>
      <xdr:colOff>228600</xdr:colOff>
      <xdr:row>15</xdr:row>
      <xdr:rowOff>218636</xdr:rowOff>
    </xdr:to>
    <xdr:cxnSp macro="">
      <xdr:nvCxnSpPr>
        <xdr:cNvPr id="121" name="Straight Connector 120"/>
        <xdr:cNvCxnSpPr/>
      </xdr:nvCxnSpPr>
      <xdr:spPr>
        <a:xfrm flipH="1">
          <a:off x="1934536" y="16439711"/>
          <a:ext cx="865814"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9525</xdr:rowOff>
    </xdr:from>
    <xdr:to>
      <xdr:col>4</xdr:col>
      <xdr:colOff>200025</xdr:colOff>
      <xdr:row>10</xdr:row>
      <xdr:rowOff>0</xdr:rowOff>
    </xdr:to>
    <xdr:cxnSp macro="">
      <xdr:nvCxnSpPr>
        <xdr:cNvPr id="122" name="Straight Connector 121"/>
        <xdr:cNvCxnSpPr/>
      </xdr:nvCxnSpPr>
      <xdr:spPr>
        <a:xfrm flipV="1">
          <a:off x="2257425" y="1247775"/>
          <a:ext cx="0" cy="752475"/>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4</xdr:row>
      <xdr:rowOff>9525</xdr:rowOff>
    </xdr:from>
    <xdr:to>
      <xdr:col>4</xdr:col>
      <xdr:colOff>200025</xdr:colOff>
      <xdr:row>6</xdr:row>
      <xdr:rowOff>1</xdr:rowOff>
    </xdr:to>
    <xdr:cxnSp macro="">
      <xdr:nvCxnSpPr>
        <xdr:cNvPr id="123" name="Straight Connector 122"/>
        <xdr:cNvCxnSpPr/>
      </xdr:nvCxnSpPr>
      <xdr:spPr>
        <a:xfrm flipV="1">
          <a:off x="2257425" y="14106525"/>
          <a:ext cx="0" cy="371476"/>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381961</xdr:colOff>
      <xdr:row>3</xdr:row>
      <xdr:rowOff>237686</xdr:rowOff>
    </xdr:from>
    <xdr:to>
      <xdr:col>5</xdr:col>
      <xdr:colOff>238125</xdr:colOff>
      <xdr:row>3</xdr:row>
      <xdr:rowOff>237686</xdr:rowOff>
    </xdr:to>
    <xdr:cxnSp macro="">
      <xdr:nvCxnSpPr>
        <xdr:cNvPr id="124" name="Straight Connector 123"/>
        <xdr:cNvCxnSpPr/>
      </xdr:nvCxnSpPr>
      <xdr:spPr>
        <a:xfrm flipH="1" flipV="1">
          <a:off x="1925011" y="14096561"/>
          <a:ext cx="884864"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123825</xdr:colOff>
      <xdr:row>4</xdr:row>
      <xdr:rowOff>0</xdr:rowOff>
    </xdr:from>
    <xdr:to>
      <xdr:col>5</xdr:col>
      <xdr:colOff>123825</xdr:colOff>
      <xdr:row>15</xdr:row>
      <xdr:rowOff>172500</xdr:rowOff>
    </xdr:to>
    <xdr:cxnSp macro="">
      <xdr:nvCxnSpPr>
        <xdr:cNvPr id="125" name="Straight Connector 124"/>
        <xdr:cNvCxnSpPr/>
      </xdr:nvCxnSpPr>
      <xdr:spPr>
        <a:xfrm flipV="1">
          <a:off x="2695575" y="14097000"/>
          <a:ext cx="0" cy="232515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15</xdr:row>
      <xdr:rowOff>57151</xdr:rowOff>
    </xdr:from>
    <xdr:to>
      <xdr:col>4</xdr:col>
      <xdr:colOff>0</xdr:colOff>
      <xdr:row>17</xdr:row>
      <xdr:rowOff>76200</xdr:rowOff>
    </xdr:to>
    <xdr:cxnSp macro="">
      <xdr:nvCxnSpPr>
        <xdr:cNvPr id="126" name="Straight Connector 125"/>
        <xdr:cNvCxnSpPr/>
      </xdr:nvCxnSpPr>
      <xdr:spPr>
        <a:xfrm flipV="1">
          <a:off x="2057400" y="16306801"/>
          <a:ext cx="0" cy="400049"/>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17</xdr:row>
      <xdr:rowOff>0</xdr:rowOff>
    </xdr:from>
    <xdr:to>
      <xdr:col>4</xdr:col>
      <xdr:colOff>0</xdr:colOff>
      <xdr:row>17</xdr:row>
      <xdr:rowOff>0</xdr:rowOff>
    </xdr:to>
    <xdr:cxnSp macro="">
      <xdr:nvCxnSpPr>
        <xdr:cNvPr id="127" name="Straight Connector 126"/>
        <xdr:cNvCxnSpPr/>
      </xdr:nvCxnSpPr>
      <xdr:spPr>
        <a:xfrm>
          <a:off x="514350" y="16630650"/>
          <a:ext cx="154305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390525</xdr:colOff>
      <xdr:row>12</xdr:row>
      <xdr:rowOff>161925</xdr:rowOff>
    </xdr:from>
    <xdr:to>
      <xdr:col>2</xdr:col>
      <xdr:colOff>19050</xdr:colOff>
      <xdr:row>13</xdr:row>
      <xdr:rowOff>143652</xdr:rowOff>
    </xdr:to>
    <xdr:sp macro="" textlink="">
      <xdr:nvSpPr>
        <xdr:cNvPr id="128" name="TextBox 127"/>
        <xdr:cNvSpPr txBox="1"/>
      </xdr:nvSpPr>
      <xdr:spPr>
        <a:xfrm>
          <a:off x="904875" y="15811500"/>
          <a:ext cx="142875" cy="2008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1</a:t>
          </a:r>
        </a:p>
      </xdr:txBody>
    </xdr:sp>
    <xdr:clientData/>
  </xdr:twoCellAnchor>
  <xdr:twoCellAnchor>
    <xdr:from>
      <xdr:col>1</xdr:col>
      <xdr:colOff>390525</xdr:colOff>
      <xdr:row>5</xdr:row>
      <xdr:rowOff>0</xdr:rowOff>
    </xdr:from>
    <xdr:to>
      <xdr:col>2</xdr:col>
      <xdr:colOff>19050</xdr:colOff>
      <xdr:row>5</xdr:row>
      <xdr:rowOff>172227</xdr:rowOff>
    </xdr:to>
    <xdr:sp macro="" textlink="">
      <xdr:nvSpPr>
        <xdr:cNvPr id="129" name="TextBox 128"/>
        <xdr:cNvSpPr txBox="1"/>
      </xdr:nvSpPr>
      <xdr:spPr>
        <a:xfrm>
          <a:off x="904875" y="1047750"/>
          <a:ext cx="142875"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3</a:t>
          </a:r>
        </a:p>
      </xdr:txBody>
    </xdr:sp>
    <xdr:clientData/>
  </xdr:twoCellAnchor>
  <xdr:twoCellAnchor>
    <xdr:from>
      <xdr:col>3</xdr:col>
      <xdr:colOff>295275</xdr:colOff>
      <xdr:row>12</xdr:row>
      <xdr:rowOff>142875</xdr:rowOff>
    </xdr:from>
    <xdr:to>
      <xdr:col>3</xdr:col>
      <xdr:colOff>438150</xdr:colOff>
      <xdr:row>13</xdr:row>
      <xdr:rowOff>124602</xdr:rowOff>
    </xdr:to>
    <xdr:sp macro="" textlink="">
      <xdr:nvSpPr>
        <xdr:cNvPr id="130" name="TextBox 129"/>
        <xdr:cNvSpPr txBox="1"/>
      </xdr:nvSpPr>
      <xdr:spPr>
        <a:xfrm>
          <a:off x="1838325" y="15792450"/>
          <a:ext cx="142875" cy="2008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4</a:t>
          </a:r>
        </a:p>
      </xdr:txBody>
    </xdr:sp>
    <xdr:clientData/>
  </xdr:twoCellAnchor>
  <xdr:twoCellAnchor>
    <xdr:from>
      <xdr:col>3</xdr:col>
      <xdr:colOff>295276</xdr:colOff>
      <xdr:row>4</xdr:row>
      <xdr:rowOff>171452</xdr:rowOff>
    </xdr:from>
    <xdr:to>
      <xdr:col>3</xdr:col>
      <xdr:colOff>409576</xdr:colOff>
      <xdr:row>5</xdr:row>
      <xdr:rowOff>153179</xdr:rowOff>
    </xdr:to>
    <xdr:sp macro="" textlink="">
      <xdr:nvSpPr>
        <xdr:cNvPr id="131" name="TextBox 130"/>
        <xdr:cNvSpPr txBox="1"/>
      </xdr:nvSpPr>
      <xdr:spPr>
        <a:xfrm>
          <a:off x="1838326" y="14268452"/>
          <a:ext cx="114300"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6</a:t>
          </a:r>
        </a:p>
      </xdr:txBody>
    </xdr:sp>
    <xdr:clientData/>
  </xdr:twoCellAnchor>
  <xdr:twoCellAnchor>
    <xdr:from>
      <xdr:col>3</xdr:col>
      <xdr:colOff>277185</xdr:colOff>
      <xdr:row>13</xdr:row>
      <xdr:rowOff>180975</xdr:rowOff>
    </xdr:from>
    <xdr:to>
      <xdr:col>4</xdr:col>
      <xdr:colOff>371475</xdr:colOff>
      <xdr:row>13</xdr:row>
      <xdr:rowOff>180975</xdr:rowOff>
    </xdr:to>
    <xdr:cxnSp macro="">
      <xdr:nvCxnSpPr>
        <xdr:cNvPr id="132" name="Straight Connector 131"/>
        <xdr:cNvCxnSpPr/>
      </xdr:nvCxnSpPr>
      <xdr:spPr>
        <a:xfrm flipH="1">
          <a:off x="1820235" y="16049625"/>
          <a:ext cx="608640"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152219</xdr:colOff>
      <xdr:row>6</xdr:row>
      <xdr:rowOff>171256</xdr:rowOff>
    </xdr:from>
    <xdr:to>
      <xdr:col>2</xdr:col>
      <xdr:colOff>456446</xdr:colOff>
      <xdr:row>13</xdr:row>
      <xdr:rowOff>26969</xdr:rowOff>
    </xdr:to>
    <xdr:sp macro="" textlink="">
      <xdr:nvSpPr>
        <xdr:cNvPr id="133" name="Rounded Rectangle 132"/>
        <xdr:cNvSpPr/>
      </xdr:nvSpPr>
      <xdr:spPr>
        <a:xfrm rot="4363">
          <a:off x="1180919" y="14649256"/>
          <a:ext cx="304227" cy="1246363"/>
        </a:xfrm>
        <a:prstGeom prst="roundRect">
          <a:avLst>
            <a:gd name="adj"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409575</xdr:colOff>
      <xdr:row>1</xdr:row>
      <xdr:rowOff>47625</xdr:rowOff>
    </xdr:from>
    <xdr:to>
      <xdr:col>1</xdr:col>
      <xdr:colOff>409575</xdr:colOff>
      <xdr:row>18</xdr:row>
      <xdr:rowOff>66675</xdr:rowOff>
    </xdr:to>
    <xdr:cxnSp macro="">
      <xdr:nvCxnSpPr>
        <xdr:cNvPr id="137" name="Straight Connector 136"/>
        <xdr:cNvCxnSpPr/>
      </xdr:nvCxnSpPr>
      <xdr:spPr>
        <a:xfrm>
          <a:off x="923925" y="428625"/>
          <a:ext cx="0" cy="3352800"/>
        </a:xfrm>
        <a:prstGeom prst="line">
          <a:avLst/>
        </a:prstGeom>
        <a:ln w="9525">
          <a:solidFill>
            <a:srgbClr val="C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14</xdr:row>
      <xdr:rowOff>0</xdr:rowOff>
    </xdr:from>
    <xdr:to>
      <xdr:col>4</xdr:col>
      <xdr:colOff>180975</xdr:colOff>
      <xdr:row>15</xdr:row>
      <xdr:rowOff>171451</xdr:rowOff>
    </xdr:to>
    <xdr:cxnSp macro="">
      <xdr:nvCxnSpPr>
        <xdr:cNvPr id="35" name="Straight Connector 34"/>
        <xdr:cNvCxnSpPr/>
      </xdr:nvCxnSpPr>
      <xdr:spPr>
        <a:xfrm flipV="1">
          <a:off x="2238375" y="2762250"/>
          <a:ext cx="0" cy="361951"/>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133351</xdr:colOff>
      <xdr:row>9</xdr:row>
      <xdr:rowOff>57149</xdr:rowOff>
    </xdr:from>
    <xdr:to>
      <xdr:col>1</xdr:col>
      <xdr:colOff>400051</xdr:colOff>
      <xdr:row>10</xdr:row>
      <xdr:rowOff>123824</xdr:rowOff>
    </xdr:to>
    <xdr:sp macro="" textlink="">
      <xdr:nvSpPr>
        <xdr:cNvPr id="31" name="Oval 30"/>
        <xdr:cNvSpPr/>
      </xdr:nvSpPr>
      <xdr:spPr>
        <a:xfrm>
          <a:off x="647701" y="1866899"/>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57151</xdr:colOff>
      <xdr:row>9</xdr:row>
      <xdr:rowOff>47624</xdr:rowOff>
    </xdr:from>
    <xdr:to>
      <xdr:col>3</xdr:col>
      <xdr:colOff>323851</xdr:colOff>
      <xdr:row>10</xdr:row>
      <xdr:rowOff>114299</xdr:rowOff>
    </xdr:to>
    <xdr:sp macro="" textlink="">
      <xdr:nvSpPr>
        <xdr:cNvPr id="32" name="Oval 31"/>
        <xdr:cNvSpPr/>
      </xdr:nvSpPr>
      <xdr:spPr>
        <a:xfrm>
          <a:off x="1600201" y="185737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428625</xdr:colOff>
      <xdr:row>9</xdr:row>
      <xdr:rowOff>152400</xdr:rowOff>
    </xdr:from>
    <xdr:to>
      <xdr:col>2</xdr:col>
      <xdr:colOff>57150</xdr:colOff>
      <xdr:row>10</xdr:row>
      <xdr:rowOff>134127</xdr:rowOff>
    </xdr:to>
    <xdr:sp macro="" textlink="">
      <xdr:nvSpPr>
        <xdr:cNvPr id="33" name="TextBox 32"/>
        <xdr:cNvSpPr txBox="1"/>
      </xdr:nvSpPr>
      <xdr:spPr>
        <a:xfrm>
          <a:off x="942975" y="1962150"/>
          <a:ext cx="142875"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2</a:t>
          </a:r>
        </a:p>
      </xdr:txBody>
    </xdr:sp>
    <xdr:clientData/>
  </xdr:twoCellAnchor>
  <xdr:twoCellAnchor>
    <xdr:from>
      <xdr:col>3</xdr:col>
      <xdr:colOff>333375</xdr:colOff>
      <xdr:row>9</xdr:row>
      <xdr:rowOff>95250</xdr:rowOff>
    </xdr:from>
    <xdr:to>
      <xdr:col>3</xdr:col>
      <xdr:colOff>476250</xdr:colOff>
      <xdr:row>10</xdr:row>
      <xdr:rowOff>76977</xdr:rowOff>
    </xdr:to>
    <xdr:sp macro="" textlink="">
      <xdr:nvSpPr>
        <xdr:cNvPr id="34" name="TextBox 33"/>
        <xdr:cNvSpPr txBox="1"/>
      </xdr:nvSpPr>
      <xdr:spPr>
        <a:xfrm>
          <a:off x="1876425" y="1905000"/>
          <a:ext cx="142875"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5</a:t>
          </a:r>
        </a:p>
      </xdr:txBody>
    </xdr:sp>
    <xdr:clientData/>
  </xdr:twoCellAnchor>
  <xdr:twoCellAnchor>
    <xdr:from>
      <xdr:col>4</xdr:col>
      <xdr:colOff>190500</xdr:colOff>
      <xdr:row>10</xdr:row>
      <xdr:rowOff>0</xdr:rowOff>
    </xdr:from>
    <xdr:to>
      <xdr:col>4</xdr:col>
      <xdr:colOff>190500</xdr:colOff>
      <xdr:row>13</xdr:row>
      <xdr:rowOff>180975</xdr:rowOff>
    </xdr:to>
    <xdr:cxnSp macro="">
      <xdr:nvCxnSpPr>
        <xdr:cNvPr id="36" name="Straight Connector 35"/>
        <xdr:cNvCxnSpPr/>
      </xdr:nvCxnSpPr>
      <xdr:spPr>
        <a:xfrm flipV="1">
          <a:off x="2247900" y="2000250"/>
          <a:ext cx="0" cy="752475"/>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2.xml><?xml version="1.0" encoding="utf-8"?>
<xdr:wsDr xmlns:xdr="http://schemas.openxmlformats.org/drawingml/2006/spreadsheetDrawing" xmlns:a="http://schemas.openxmlformats.org/drawingml/2006/main">
  <xdr:twoCellAnchor>
    <xdr:from>
      <xdr:col>2</xdr:col>
      <xdr:colOff>0</xdr:colOff>
      <xdr:row>19</xdr:row>
      <xdr:rowOff>0</xdr:rowOff>
    </xdr:from>
    <xdr:to>
      <xdr:col>6</xdr:col>
      <xdr:colOff>0</xdr:colOff>
      <xdr:row>33</xdr:row>
      <xdr:rowOff>0</xdr:rowOff>
    </xdr:to>
    <xdr:sp macro="" textlink="">
      <xdr:nvSpPr>
        <xdr:cNvPr id="34" name="Rectangle 33"/>
        <xdr:cNvSpPr/>
      </xdr:nvSpPr>
      <xdr:spPr>
        <a:xfrm>
          <a:off x="1028700" y="14097000"/>
          <a:ext cx="2057400" cy="272415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0</xdr:colOff>
      <xdr:row>17</xdr:row>
      <xdr:rowOff>114300</xdr:rowOff>
    </xdr:from>
    <xdr:to>
      <xdr:col>4</xdr:col>
      <xdr:colOff>0</xdr:colOff>
      <xdr:row>35</xdr:row>
      <xdr:rowOff>152400</xdr:rowOff>
    </xdr:to>
    <xdr:cxnSp macro="">
      <xdr:nvCxnSpPr>
        <xdr:cNvPr id="35" name="Straight Connector 34"/>
        <xdr:cNvCxnSpPr/>
      </xdr:nvCxnSpPr>
      <xdr:spPr>
        <a:xfrm>
          <a:off x="2057400" y="13830300"/>
          <a:ext cx="0" cy="3524250"/>
        </a:xfrm>
        <a:prstGeom prst="line">
          <a:avLst/>
        </a:prstGeom>
        <a:ln w="9525">
          <a:solidFill>
            <a:schemeClr val="tx2"/>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209550</xdr:colOff>
      <xdr:row>26</xdr:row>
      <xdr:rowOff>0</xdr:rowOff>
    </xdr:from>
    <xdr:to>
      <xdr:col>6</xdr:col>
      <xdr:colOff>276225</xdr:colOff>
      <xdr:row>26</xdr:row>
      <xdr:rowOff>0</xdr:rowOff>
    </xdr:to>
    <xdr:cxnSp macro="">
      <xdr:nvCxnSpPr>
        <xdr:cNvPr id="36" name="Straight Connector 35"/>
        <xdr:cNvCxnSpPr/>
      </xdr:nvCxnSpPr>
      <xdr:spPr>
        <a:xfrm>
          <a:off x="723900" y="15459075"/>
          <a:ext cx="2638425" cy="0"/>
        </a:xfrm>
        <a:prstGeom prst="line">
          <a:avLst/>
        </a:prstGeom>
        <a:ln w="9525">
          <a:solidFill>
            <a:schemeClr val="tx2"/>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161926</xdr:colOff>
      <xdr:row>20</xdr:row>
      <xdr:rowOff>66674</xdr:rowOff>
    </xdr:from>
    <xdr:to>
      <xdr:col>2</xdr:col>
      <xdr:colOff>428626</xdr:colOff>
      <xdr:row>21</xdr:row>
      <xdr:rowOff>133349</xdr:rowOff>
    </xdr:to>
    <xdr:sp macro="" textlink="">
      <xdr:nvSpPr>
        <xdr:cNvPr id="37" name="Oval 36"/>
        <xdr:cNvSpPr/>
      </xdr:nvSpPr>
      <xdr:spPr>
        <a:xfrm>
          <a:off x="1190626" y="1435417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66676</xdr:colOff>
      <xdr:row>20</xdr:row>
      <xdr:rowOff>57149</xdr:rowOff>
    </xdr:from>
    <xdr:to>
      <xdr:col>5</xdr:col>
      <xdr:colOff>333376</xdr:colOff>
      <xdr:row>21</xdr:row>
      <xdr:rowOff>123824</xdr:rowOff>
    </xdr:to>
    <xdr:sp macro="" textlink="">
      <xdr:nvSpPr>
        <xdr:cNvPr id="38" name="Oval 37"/>
        <xdr:cNvSpPr/>
      </xdr:nvSpPr>
      <xdr:spPr>
        <a:xfrm>
          <a:off x="2638426" y="14344649"/>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161926</xdr:colOff>
      <xdr:row>30</xdr:row>
      <xdr:rowOff>57149</xdr:rowOff>
    </xdr:from>
    <xdr:to>
      <xdr:col>2</xdr:col>
      <xdr:colOff>428626</xdr:colOff>
      <xdr:row>31</xdr:row>
      <xdr:rowOff>123824</xdr:rowOff>
    </xdr:to>
    <xdr:sp macro="" textlink="">
      <xdr:nvSpPr>
        <xdr:cNvPr id="39" name="Oval 38"/>
        <xdr:cNvSpPr/>
      </xdr:nvSpPr>
      <xdr:spPr>
        <a:xfrm>
          <a:off x="1190626" y="16306799"/>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47626</xdr:colOff>
      <xdr:row>30</xdr:row>
      <xdr:rowOff>47624</xdr:rowOff>
    </xdr:from>
    <xdr:to>
      <xdr:col>5</xdr:col>
      <xdr:colOff>314326</xdr:colOff>
      <xdr:row>31</xdr:row>
      <xdr:rowOff>114299</xdr:rowOff>
    </xdr:to>
    <xdr:sp macro="" textlink="">
      <xdr:nvSpPr>
        <xdr:cNvPr id="40" name="Oval 39"/>
        <xdr:cNvSpPr/>
      </xdr:nvSpPr>
      <xdr:spPr>
        <a:xfrm>
          <a:off x="2619376" y="1629727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0</xdr:colOff>
      <xdr:row>17</xdr:row>
      <xdr:rowOff>66675</xdr:rowOff>
    </xdr:from>
    <xdr:to>
      <xdr:col>2</xdr:col>
      <xdr:colOff>0</xdr:colOff>
      <xdr:row>20</xdr:row>
      <xdr:rowOff>19052</xdr:rowOff>
    </xdr:to>
    <xdr:cxnSp macro="">
      <xdr:nvCxnSpPr>
        <xdr:cNvPr id="41" name="Straight Connector 40"/>
        <xdr:cNvCxnSpPr/>
      </xdr:nvCxnSpPr>
      <xdr:spPr>
        <a:xfrm flipV="1">
          <a:off x="1028700" y="13782675"/>
          <a:ext cx="0" cy="523877"/>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32</xdr:row>
      <xdr:rowOff>66676</xdr:rowOff>
    </xdr:from>
    <xdr:to>
      <xdr:col>2</xdr:col>
      <xdr:colOff>0</xdr:colOff>
      <xdr:row>36</xdr:row>
      <xdr:rowOff>104775</xdr:rowOff>
    </xdr:to>
    <xdr:cxnSp macro="">
      <xdr:nvCxnSpPr>
        <xdr:cNvPr id="42" name="Straight Connector 41"/>
        <xdr:cNvCxnSpPr/>
      </xdr:nvCxnSpPr>
      <xdr:spPr>
        <a:xfrm flipV="1">
          <a:off x="1028700" y="16697326"/>
          <a:ext cx="0" cy="800099"/>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18</xdr:row>
      <xdr:rowOff>0</xdr:rowOff>
    </xdr:from>
    <xdr:to>
      <xdr:col>5</xdr:col>
      <xdr:colOff>190500</xdr:colOff>
      <xdr:row>18</xdr:row>
      <xdr:rowOff>0</xdr:rowOff>
    </xdr:to>
    <xdr:cxnSp macro="">
      <xdr:nvCxnSpPr>
        <xdr:cNvPr id="43" name="Straight Connector 42"/>
        <xdr:cNvCxnSpPr/>
      </xdr:nvCxnSpPr>
      <xdr:spPr>
        <a:xfrm>
          <a:off x="1343025" y="13906500"/>
          <a:ext cx="141922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17</xdr:row>
      <xdr:rowOff>76200</xdr:rowOff>
    </xdr:from>
    <xdr:to>
      <xdr:col>2</xdr:col>
      <xdr:colOff>295275</xdr:colOff>
      <xdr:row>20</xdr:row>
      <xdr:rowOff>123825</xdr:rowOff>
    </xdr:to>
    <xdr:cxnSp macro="">
      <xdr:nvCxnSpPr>
        <xdr:cNvPr id="44" name="Straight Connector 43"/>
        <xdr:cNvCxnSpPr/>
      </xdr:nvCxnSpPr>
      <xdr:spPr>
        <a:xfrm flipV="1">
          <a:off x="1323975" y="13792200"/>
          <a:ext cx="0" cy="61912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200025</xdr:colOff>
      <xdr:row>17</xdr:row>
      <xdr:rowOff>104775</xdr:rowOff>
    </xdr:from>
    <xdr:to>
      <xdr:col>5</xdr:col>
      <xdr:colOff>200025</xdr:colOff>
      <xdr:row>20</xdr:row>
      <xdr:rowOff>152400</xdr:rowOff>
    </xdr:to>
    <xdr:cxnSp macro="">
      <xdr:nvCxnSpPr>
        <xdr:cNvPr id="45" name="Straight Connector 44"/>
        <xdr:cNvCxnSpPr/>
      </xdr:nvCxnSpPr>
      <xdr:spPr>
        <a:xfrm flipV="1">
          <a:off x="2771775" y="13820775"/>
          <a:ext cx="0" cy="61912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18</xdr:row>
      <xdr:rowOff>0</xdr:rowOff>
    </xdr:from>
    <xdr:to>
      <xdr:col>2</xdr:col>
      <xdr:colOff>304800</xdr:colOff>
      <xdr:row>18</xdr:row>
      <xdr:rowOff>0</xdr:rowOff>
    </xdr:to>
    <xdr:cxnSp macro="">
      <xdr:nvCxnSpPr>
        <xdr:cNvPr id="46" name="Straight Connector 45"/>
        <xdr:cNvCxnSpPr/>
      </xdr:nvCxnSpPr>
      <xdr:spPr>
        <a:xfrm>
          <a:off x="1028700" y="13906500"/>
          <a:ext cx="30480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209550</xdr:colOff>
      <xdr:row>20</xdr:row>
      <xdr:rowOff>190061</xdr:rowOff>
    </xdr:from>
    <xdr:to>
      <xdr:col>2</xdr:col>
      <xdr:colOff>298950</xdr:colOff>
      <xdr:row>20</xdr:row>
      <xdr:rowOff>190061</xdr:rowOff>
    </xdr:to>
    <xdr:cxnSp macro="">
      <xdr:nvCxnSpPr>
        <xdr:cNvPr id="47" name="Straight Connector 46"/>
        <xdr:cNvCxnSpPr/>
      </xdr:nvCxnSpPr>
      <xdr:spPr>
        <a:xfrm flipH="1">
          <a:off x="723900" y="14477561"/>
          <a:ext cx="603750"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32</xdr:row>
      <xdr:rowOff>190061</xdr:rowOff>
    </xdr:from>
    <xdr:to>
      <xdr:col>8</xdr:col>
      <xdr:colOff>114300</xdr:colOff>
      <xdr:row>32</xdr:row>
      <xdr:rowOff>190061</xdr:rowOff>
    </xdr:to>
    <xdr:cxnSp macro="">
      <xdr:nvCxnSpPr>
        <xdr:cNvPr id="48" name="Straight Connector 47"/>
        <xdr:cNvCxnSpPr/>
      </xdr:nvCxnSpPr>
      <xdr:spPr>
        <a:xfrm flipH="1">
          <a:off x="2914650" y="16820711"/>
          <a:ext cx="1314450"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314325</xdr:colOff>
      <xdr:row>21</xdr:row>
      <xdr:rowOff>9525</xdr:rowOff>
    </xdr:from>
    <xdr:to>
      <xdr:col>1</xdr:col>
      <xdr:colOff>314325</xdr:colOff>
      <xdr:row>30</xdr:row>
      <xdr:rowOff>166875</xdr:rowOff>
    </xdr:to>
    <xdr:cxnSp macro="">
      <xdr:nvCxnSpPr>
        <xdr:cNvPr id="49" name="Straight Connector 48"/>
        <xdr:cNvCxnSpPr/>
      </xdr:nvCxnSpPr>
      <xdr:spPr>
        <a:xfrm flipV="1">
          <a:off x="828675" y="14487525"/>
          <a:ext cx="0" cy="192900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314325</xdr:colOff>
      <xdr:row>19</xdr:row>
      <xdr:rowOff>9525</xdr:rowOff>
    </xdr:from>
    <xdr:to>
      <xdr:col>1</xdr:col>
      <xdr:colOff>314325</xdr:colOff>
      <xdr:row>21</xdr:row>
      <xdr:rowOff>1</xdr:rowOff>
    </xdr:to>
    <xdr:cxnSp macro="">
      <xdr:nvCxnSpPr>
        <xdr:cNvPr id="50" name="Straight Connector 49"/>
        <xdr:cNvCxnSpPr/>
      </xdr:nvCxnSpPr>
      <xdr:spPr>
        <a:xfrm flipV="1">
          <a:off x="828675" y="14106525"/>
          <a:ext cx="0" cy="371476"/>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18</xdr:row>
      <xdr:rowOff>190061</xdr:rowOff>
    </xdr:from>
    <xdr:to>
      <xdr:col>8</xdr:col>
      <xdr:colOff>104775</xdr:colOff>
      <xdr:row>18</xdr:row>
      <xdr:rowOff>190061</xdr:rowOff>
    </xdr:to>
    <xdr:cxnSp macro="">
      <xdr:nvCxnSpPr>
        <xdr:cNvPr id="51" name="Straight Connector 50"/>
        <xdr:cNvCxnSpPr/>
      </xdr:nvCxnSpPr>
      <xdr:spPr>
        <a:xfrm flipH="1">
          <a:off x="2933700" y="14096561"/>
          <a:ext cx="128587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19</xdr:row>
      <xdr:rowOff>9525</xdr:rowOff>
    </xdr:from>
    <xdr:to>
      <xdr:col>8</xdr:col>
      <xdr:colOff>0</xdr:colOff>
      <xdr:row>32</xdr:row>
      <xdr:rowOff>182025</xdr:rowOff>
    </xdr:to>
    <xdr:cxnSp macro="">
      <xdr:nvCxnSpPr>
        <xdr:cNvPr id="52" name="Straight Connector 51"/>
        <xdr:cNvCxnSpPr/>
      </xdr:nvCxnSpPr>
      <xdr:spPr>
        <a:xfrm flipV="1">
          <a:off x="4114800" y="14106525"/>
          <a:ext cx="0" cy="270615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32</xdr:row>
      <xdr:rowOff>85726</xdr:rowOff>
    </xdr:from>
    <xdr:to>
      <xdr:col>6</xdr:col>
      <xdr:colOff>0</xdr:colOff>
      <xdr:row>36</xdr:row>
      <xdr:rowOff>104775</xdr:rowOff>
    </xdr:to>
    <xdr:cxnSp macro="">
      <xdr:nvCxnSpPr>
        <xdr:cNvPr id="53" name="Straight Connector 52"/>
        <xdr:cNvCxnSpPr/>
      </xdr:nvCxnSpPr>
      <xdr:spPr>
        <a:xfrm flipV="1">
          <a:off x="3086100" y="16716376"/>
          <a:ext cx="0" cy="781049"/>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36</xdr:row>
      <xdr:rowOff>0</xdr:rowOff>
    </xdr:from>
    <xdr:to>
      <xdr:col>5</xdr:col>
      <xdr:colOff>495300</xdr:colOff>
      <xdr:row>36</xdr:row>
      <xdr:rowOff>0</xdr:rowOff>
    </xdr:to>
    <xdr:cxnSp macro="">
      <xdr:nvCxnSpPr>
        <xdr:cNvPr id="54" name="Straight Connector 53"/>
        <xdr:cNvCxnSpPr/>
      </xdr:nvCxnSpPr>
      <xdr:spPr>
        <a:xfrm>
          <a:off x="1038225" y="17392650"/>
          <a:ext cx="202882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390525</xdr:colOff>
      <xdr:row>29</xdr:row>
      <xdr:rowOff>171450</xdr:rowOff>
    </xdr:from>
    <xdr:to>
      <xdr:col>3</xdr:col>
      <xdr:colOff>19050</xdr:colOff>
      <xdr:row>30</xdr:row>
      <xdr:rowOff>143652</xdr:rowOff>
    </xdr:to>
    <xdr:sp macro="" textlink="">
      <xdr:nvSpPr>
        <xdr:cNvPr id="55" name="TextBox 54"/>
        <xdr:cNvSpPr txBox="1"/>
      </xdr:nvSpPr>
      <xdr:spPr>
        <a:xfrm>
          <a:off x="1419225" y="5753100"/>
          <a:ext cx="142875" cy="1627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noAutofit/>
        </a:bodyPr>
        <a:lstStyle/>
        <a:p>
          <a:pPr marL="0" indent="0"/>
          <a:r>
            <a:rPr lang="en-IN" sz="1100">
              <a:solidFill>
                <a:schemeClr val="dk1"/>
              </a:solidFill>
              <a:latin typeface="+mn-lt"/>
              <a:ea typeface="+mn-ea"/>
              <a:cs typeface="+mn-cs"/>
            </a:rPr>
            <a:t>1</a:t>
          </a:r>
        </a:p>
      </xdr:txBody>
    </xdr:sp>
    <xdr:clientData/>
  </xdr:twoCellAnchor>
  <xdr:twoCellAnchor>
    <xdr:from>
      <xdr:col>5</xdr:col>
      <xdr:colOff>257175</xdr:colOff>
      <xdr:row>29</xdr:row>
      <xdr:rowOff>142875</xdr:rowOff>
    </xdr:from>
    <xdr:to>
      <xdr:col>5</xdr:col>
      <xdr:colOff>381000</xdr:colOff>
      <xdr:row>30</xdr:row>
      <xdr:rowOff>124602</xdr:rowOff>
    </xdr:to>
    <xdr:sp macro="" textlink="">
      <xdr:nvSpPr>
        <xdr:cNvPr id="57" name="TextBox 56"/>
        <xdr:cNvSpPr txBox="1"/>
      </xdr:nvSpPr>
      <xdr:spPr>
        <a:xfrm>
          <a:off x="2828925" y="16202025"/>
          <a:ext cx="123825"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4</a:t>
          </a:r>
        </a:p>
      </xdr:txBody>
    </xdr:sp>
    <xdr:clientData/>
  </xdr:twoCellAnchor>
  <xdr:twoCellAnchor>
    <xdr:from>
      <xdr:col>5</xdr:col>
      <xdr:colOff>285750</xdr:colOff>
      <xdr:row>19</xdr:row>
      <xdr:rowOff>142877</xdr:rowOff>
    </xdr:from>
    <xdr:to>
      <xdr:col>5</xdr:col>
      <xdr:colOff>438149</xdr:colOff>
      <xdr:row>20</xdr:row>
      <xdr:rowOff>124604</xdr:rowOff>
    </xdr:to>
    <xdr:sp macro="" textlink="">
      <xdr:nvSpPr>
        <xdr:cNvPr id="58" name="TextBox 57"/>
        <xdr:cNvSpPr txBox="1"/>
      </xdr:nvSpPr>
      <xdr:spPr>
        <a:xfrm>
          <a:off x="2857500" y="14239877"/>
          <a:ext cx="152399"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6</a:t>
          </a:r>
        </a:p>
      </xdr:txBody>
    </xdr:sp>
    <xdr:clientData/>
  </xdr:twoCellAnchor>
  <xdr:twoCellAnchor>
    <xdr:from>
      <xdr:col>3</xdr:col>
      <xdr:colOff>352478</xdr:colOff>
      <xdr:row>23</xdr:row>
      <xdr:rowOff>142681</xdr:rowOff>
    </xdr:from>
    <xdr:to>
      <xdr:col>4</xdr:col>
      <xdr:colOff>142355</xdr:colOff>
      <xdr:row>28</xdr:row>
      <xdr:rowOff>38099</xdr:rowOff>
    </xdr:to>
    <xdr:sp macro="" textlink="">
      <xdr:nvSpPr>
        <xdr:cNvPr id="91" name="Rounded Rectangle 90"/>
        <xdr:cNvSpPr/>
      </xdr:nvSpPr>
      <xdr:spPr>
        <a:xfrm rot="4363">
          <a:off x="1895528" y="15001681"/>
          <a:ext cx="304227" cy="905068"/>
        </a:xfrm>
        <a:prstGeom prst="roundRect">
          <a:avLst>
            <a:gd name="adj"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361951</xdr:colOff>
      <xdr:row>25</xdr:row>
      <xdr:rowOff>1</xdr:rowOff>
    </xdr:from>
    <xdr:to>
      <xdr:col>4</xdr:col>
      <xdr:colOff>133350</xdr:colOff>
      <xdr:row>25</xdr:row>
      <xdr:rowOff>1</xdr:rowOff>
    </xdr:to>
    <xdr:cxnSp macro="">
      <xdr:nvCxnSpPr>
        <xdr:cNvPr id="92" name="Straight Connector 91"/>
        <xdr:cNvCxnSpPr/>
      </xdr:nvCxnSpPr>
      <xdr:spPr>
        <a:xfrm flipH="1">
          <a:off x="1905001" y="15240001"/>
          <a:ext cx="285749"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276226</xdr:colOff>
      <xdr:row>23</xdr:row>
      <xdr:rowOff>142875</xdr:rowOff>
    </xdr:from>
    <xdr:to>
      <xdr:col>4</xdr:col>
      <xdr:colOff>276226</xdr:colOff>
      <xdr:row>27</xdr:row>
      <xdr:rowOff>216300</xdr:rowOff>
    </xdr:to>
    <xdr:cxnSp macro="">
      <xdr:nvCxnSpPr>
        <xdr:cNvPr id="95" name="Straight Connector 94"/>
        <xdr:cNvCxnSpPr/>
      </xdr:nvCxnSpPr>
      <xdr:spPr>
        <a:xfrm>
          <a:off x="2333626" y="15001875"/>
          <a:ext cx="0" cy="86400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419100</xdr:colOff>
      <xdr:row>23</xdr:row>
      <xdr:rowOff>133350</xdr:rowOff>
    </xdr:from>
    <xdr:to>
      <xdr:col>7</xdr:col>
      <xdr:colOff>17700</xdr:colOff>
      <xdr:row>23</xdr:row>
      <xdr:rowOff>133350</xdr:rowOff>
    </xdr:to>
    <xdr:cxnSp macro="">
      <xdr:nvCxnSpPr>
        <xdr:cNvPr id="96" name="Straight Connector 95"/>
        <xdr:cNvCxnSpPr/>
      </xdr:nvCxnSpPr>
      <xdr:spPr>
        <a:xfrm>
          <a:off x="1962150" y="4572000"/>
          <a:ext cx="1656000"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390525</xdr:colOff>
      <xdr:row>28</xdr:row>
      <xdr:rowOff>38100</xdr:rowOff>
    </xdr:from>
    <xdr:to>
      <xdr:col>4</xdr:col>
      <xdr:colOff>457200</xdr:colOff>
      <xdr:row>28</xdr:row>
      <xdr:rowOff>38100</xdr:rowOff>
    </xdr:to>
    <xdr:cxnSp macro="">
      <xdr:nvCxnSpPr>
        <xdr:cNvPr id="97" name="Straight Connector 96"/>
        <xdr:cNvCxnSpPr/>
      </xdr:nvCxnSpPr>
      <xdr:spPr>
        <a:xfrm>
          <a:off x="1933575" y="15906750"/>
          <a:ext cx="5810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19</xdr:row>
      <xdr:rowOff>0</xdr:rowOff>
    </xdr:from>
    <xdr:to>
      <xdr:col>7</xdr:col>
      <xdr:colOff>0</xdr:colOff>
      <xdr:row>23</xdr:row>
      <xdr:rowOff>123825</xdr:rowOff>
    </xdr:to>
    <xdr:cxnSp macro="">
      <xdr:nvCxnSpPr>
        <xdr:cNvPr id="98" name="Straight Connector 97"/>
        <xdr:cNvCxnSpPr/>
      </xdr:nvCxnSpPr>
      <xdr:spPr>
        <a:xfrm>
          <a:off x="3600450" y="14097000"/>
          <a:ext cx="0" cy="885825"/>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35</xdr:row>
      <xdr:rowOff>1</xdr:rowOff>
    </xdr:from>
    <xdr:to>
      <xdr:col>3</xdr:col>
      <xdr:colOff>342901</xdr:colOff>
      <xdr:row>35</xdr:row>
      <xdr:rowOff>1</xdr:rowOff>
    </xdr:to>
    <xdr:cxnSp macro="">
      <xdr:nvCxnSpPr>
        <xdr:cNvPr id="99" name="Straight Connector 98"/>
        <xdr:cNvCxnSpPr/>
      </xdr:nvCxnSpPr>
      <xdr:spPr>
        <a:xfrm flipH="1">
          <a:off x="1038225" y="17202151"/>
          <a:ext cx="847726"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26</xdr:row>
      <xdr:rowOff>171452</xdr:rowOff>
    </xdr:from>
    <xdr:to>
      <xdr:col>3</xdr:col>
      <xdr:colOff>342900</xdr:colOff>
      <xdr:row>35</xdr:row>
      <xdr:rowOff>104775</xdr:rowOff>
    </xdr:to>
    <xdr:cxnSp macro="">
      <xdr:nvCxnSpPr>
        <xdr:cNvPr id="100" name="Straight Connector 99"/>
        <xdr:cNvCxnSpPr/>
      </xdr:nvCxnSpPr>
      <xdr:spPr>
        <a:xfrm flipV="1">
          <a:off x="1885950" y="15630527"/>
          <a:ext cx="0" cy="1676398"/>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35</xdr:row>
      <xdr:rowOff>1</xdr:rowOff>
    </xdr:from>
    <xdr:to>
      <xdr:col>5</xdr:col>
      <xdr:colOff>485776</xdr:colOff>
      <xdr:row>35</xdr:row>
      <xdr:rowOff>1</xdr:rowOff>
    </xdr:to>
    <xdr:cxnSp macro="">
      <xdr:nvCxnSpPr>
        <xdr:cNvPr id="101" name="Straight Connector 100"/>
        <xdr:cNvCxnSpPr/>
      </xdr:nvCxnSpPr>
      <xdr:spPr>
        <a:xfrm flipH="1">
          <a:off x="2209800" y="17202151"/>
          <a:ext cx="847726"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26</xdr:row>
      <xdr:rowOff>152402</xdr:rowOff>
    </xdr:from>
    <xdr:to>
      <xdr:col>4</xdr:col>
      <xdr:colOff>133350</xdr:colOff>
      <xdr:row>35</xdr:row>
      <xdr:rowOff>85725</xdr:rowOff>
    </xdr:to>
    <xdr:cxnSp macro="">
      <xdr:nvCxnSpPr>
        <xdr:cNvPr id="102" name="Straight Connector 101"/>
        <xdr:cNvCxnSpPr/>
      </xdr:nvCxnSpPr>
      <xdr:spPr>
        <a:xfrm flipV="1">
          <a:off x="2190750" y="15611477"/>
          <a:ext cx="0" cy="1676398"/>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200025</xdr:colOff>
      <xdr:row>18</xdr:row>
      <xdr:rowOff>190061</xdr:rowOff>
    </xdr:from>
    <xdr:to>
      <xdr:col>2</xdr:col>
      <xdr:colOff>123827</xdr:colOff>
      <xdr:row>18</xdr:row>
      <xdr:rowOff>190061</xdr:rowOff>
    </xdr:to>
    <xdr:cxnSp macro="">
      <xdr:nvCxnSpPr>
        <xdr:cNvPr id="103" name="Straight Connector 102"/>
        <xdr:cNvCxnSpPr/>
      </xdr:nvCxnSpPr>
      <xdr:spPr>
        <a:xfrm flipH="1">
          <a:off x="714375" y="14096561"/>
          <a:ext cx="438152"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180975</xdr:colOff>
      <xdr:row>30</xdr:row>
      <xdr:rowOff>190061</xdr:rowOff>
    </xdr:from>
    <xdr:to>
      <xdr:col>2</xdr:col>
      <xdr:colOff>257177</xdr:colOff>
      <xdr:row>30</xdr:row>
      <xdr:rowOff>190061</xdr:rowOff>
    </xdr:to>
    <xdr:cxnSp macro="">
      <xdr:nvCxnSpPr>
        <xdr:cNvPr id="104" name="Straight Connector 103"/>
        <xdr:cNvCxnSpPr/>
      </xdr:nvCxnSpPr>
      <xdr:spPr>
        <a:xfrm flipH="1">
          <a:off x="695325" y="16439711"/>
          <a:ext cx="590552"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390525</xdr:colOff>
      <xdr:row>20</xdr:row>
      <xdr:rowOff>142874</xdr:rowOff>
    </xdr:from>
    <xdr:to>
      <xdr:col>3</xdr:col>
      <xdr:colOff>19050</xdr:colOff>
      <xdr:row>21</xdr:row>
      <xdr:rowOff>96026</xdr:rowOff>
    </xdr:to>
    <xdr:sp macro="" textlink="">
      <xdr:nvSpPr>
        <xdr:cNvPr id="61" name="TextBox 60"/>
        <xdr:cNvSpPr txBox="1"/>
      </xdr:nvSpPr>
      <xdr:spPr>
        <a:xfrm>
          <a:off x="1419225" y="3952874"/>
          <a:ext cx="142875"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3</a:t>
          </a:r>
        </a:p>
      </xdr:txBody>
    </xdr:sp>
    <xdr:clientData/>
  </xdr:twoCellAnchor>
  <xdr:twoCellAnchor>
    <xdr:from>
      <xdr:col>2</xdr:col>
      <xdr:colOff>161926</xdr:colOff>
      <xdr:row>25</xdr:row>
      <xdr:rowOff>57149</xdr:rowOff>
    </xdr:from>
    <xdr:to>
      <xdr:col>2</xdr:col>
      <xdr:colOff>428626</xdr:colOff>
      <xdr:row>26</xdr:row>
      <xdr:rowOff>123824</xdr:rowOff>
    </xdr:to>
    <xdr:sp macro="" textlink="">
      <xdr:nvSpPr>
        <xdr:cNvPr id="56" name="Oval 55"/>
        <xdr:cNvSpPr/>
      </xdr:nvSpPr>
      <xdr:spPr>
        <a:xfrm>
          <a:off x="1190626" y="4876799"/>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47626</xdr:colOff>
      <xdr:row>25</xdr:row>
      <xdr:rowOff>47624</xdr:rowOff>
    </xdr:from>
    <xdr:to>
      <xdr:col>5</xdr:col>
      <xdr:colOff>314326</xdr:colOff>
      <xdr:row>26</xdr:row>
      <xdr:rowOff>114299</xdr:rowOff>
    </xdr:to>
    <xdr:sp macro="" textlink="">
      <xdr:nvSpPr>
        <xdr:cNvPr id="59" name="Oval 58"/>
        <xdr:cNvSpPr/>
      </xdr:nvSpPr>
      <xdr:spPr>
        <a:xfrm>
          <a:off x="2619376" y="4867274"/>
          <a:ext cx="266700" cy="257175"/>
        </a:xfrm>
        <a:prstGeom prst="ellipse">
          <a:avLst/>
        </a:prstGeom>
        <a:solidFill>
          <a:schemeClr val="accent1">
            <a:lumMod val="40000"/>
            <a:lumOff val="60000"/>
          </a:schemeClr>
        </a:solid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447675</xdr:colOff>
      <xdr:row>25</xdr:row>
      <xdr:rowOff>38100</xdr:rowOff>
    </xdr:from>
    <xdr:to>
      <xdr:col>3</xdr:col>
      <xdr:colOff>76200</xdr:colOff>
      <xdr:row>26</xdr:row>
      <xdr:rowOff>10302</xdr:rowOff>
    </xdr:to>
    <xdr:sp macro="" textlink="">
      <xdr:nvSpPr>
        <xdr:cNvPr id="60" name="TextBox 59"/>
        <xdr:cNvSpPr txBox="1"/>
      </xdr:nvSpPr>
      <xdr:spPr>
        <a:xfrm>
          <a:off x="1476375" y="4857750"/>
          <a:ext cx="142875" cy="1627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noAutofit/>
        </a:bodyPr>
        <a:lstStyle/>
        <a:p>
          <a:pPr marL="0" indent="0"/>
          <a:r>
            <a:rPr lang="en-IN" sz="1100">
              <a:solidFill>
                <a:schemeClr val="dk1"/>
              </a:solidFill>
              <a:latin typeface="+mn-lt"/>
              <a:ea typeface="+mn-ea"/>
              <a:cs typeface="+mn-cs"/>
            </a:rPr>
            <a:t>2</a:t>
          </a:r>
        </a:p>
      </xdr:txBody>
    </xdr:sp>
    <xdr:clientData/>
  </xdr:twoCellAnchor>
  <xdr:twoCellAnchor>
    <xdr:from>
      <xdr:col>5</xdr:col>
      <xdr:colOff>323850</xdr:colOff>
      <xdr:row>25</xdr:row>
      <xdr:rowOff>38100</xdr:rowOff>
    </xdr:from>
    <xdr:to>
      <xdr:col>5</xdr:col>
      <xdr:colOff>447675</xdr:colOff>
      <xdr:row>26</xdr:row>
      <xdr:rowOff>19827</xdr:rowOff>
    </xdr:to>
    <xdr:sp macro="" textlink="">
      <xdr:nvSpPr>
        <xdr:cNvPr id="62" name="TextBox 61"/>
        <xdr:cNvSpPr txBox="1"/>
      </xdr:nvSpPr>
      <xdr:spPr>
        <a:xfrm>
          <a:off x="2895600" y="4857750"/>
          <a:ext cx="123825"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spAutoFit/>
        </a:bodyPr>
        <a:lstStyle/>
        <a:p>
          <a:pPr marL="0" indent="0"/>
          <a:r>
            <a:rPr lang="en-IN" sz="1100">
              <a:solidFill>
                <a:schemeClr val="dk1"/>
              </a:solidFill>
              <a:latin typeface="+mn-lt"/>
              <a:ea typeface="+mn-ea"/>
              <a:cs typeface="+mn-cs"/>
            </a:rPr>
            <a:t>5</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171451</xdr:colOff>
      <xdr:row>2</xdr:row>
      <xdr:rowOff>28575</xdr:rowOff>
    </xdr:from>
    <xdr:to>
      <xdr:col>2</xdr:col>
      <xdr:colOff>342901</xdr:colOff>
      <xdr:row>7</xdr:row>
      <xdr:rowOff>38100</xdr:rowOff>
    </xdr:to>
    <xdr:grpSp>
      <xdr:nvGrpSpPr>
        <xdr:cNvPr id="2" name="Group 1"/>
        <xdr:cNvGrpSpPr/>
      </xdr:nvGrpSpPr>
      <xdr:grpSpPr>
        <a:xfrm>
          <a:off x="171451" y="409575"/>
          <a:ext cx="1200150" cy="962025"/>
          <a:chOff x="676275" y="600075"/>
          <a:chExt cx="2009775" cy="1548000"/>
        </a:xfrm>
      </xdr:grpSpPr>
      <xdr:grpSp>
        <xdr:nvGrpSpPr>
          <xdr:cNvPr id="3" name="Group 2"/>
          <xdr:cNvGrpSpPr/>
        </xdr:nvGrpSpPr>
        <xdr:grpSpPr>
          <a:xfrm>
            <a:off x="2066925" y="600075"/>
            <a:ext cx="619125" cy="1548000"/>
            <a:chOff x="1800225" y="800100"/>
            <a:chExt cx="352425" cy="2095500"/>
          </a:xfrm>
        </xdr:grpSpPr>
        <xdr:cxnSp macro="">
          <xdr:nvCxnSpPr>
            <xdr:cNvPr id="6" name="Straight Connector 5"/>
            <xdr:cNvCxnSpPr/>
          </xdr:nvCxnSpPr>
          <xdr:spPr>
            <a:xfrm>
              <a:off x="1800225" y="800100"/>
              <a:ext cx="3524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7" name="Straight Connector 6"/>
            <xdr:cNvCxnSpPr/>
          </xdr:nvCxnSpPr>
          <xdr:spPr>
            <a:xfrm>
              <a:off x="1800225" y="2895600"/>
              <a:ext cx="3524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xdr:cNvCxnSpPr/>
          </xdr:nvCxnSpPr>
          <xdr:spPr>
            <a:xfrm>
              <a:off x="2089211" y="800100"/>
              <a:ext cx="0" cy="2088001"/>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grpSp>
      <xdr:sp macro="" textlink="">
        <xdr:nvSpPr>
          <xdr:cNvPr id="4" name="Oval 3"/>
          <xdr:cNvSpPr/>
        </xdr:nvSpPr>
        <xdr:spPr>
          <a:xfrm>
            <a:off x="676275" y="600075"/>
            <a:ext cx="1552575" cy="1548000"/>
          </a:xfrm>
          <a:prstGeom prst="ellips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sp macro="" textlink="">
        <xdr:nvSpPr>
          <xdr:cNvPr id="5" name="Oval 4"/>
          <xdr:cNvSpPr/>
        </xdr:nvSpPr>
        <xdr:spPr>
          <a:xfrm>
            <a:off x="781049" y="704850"/>
            <a:ext cx="1343025" cy="1343025"/>
          </a:xfrm>
          <a:prstGeom prst="ellipse">
            <a:avLst/>
          </a:prstGeom>
          <a:noFill/>
          <a:ln w="9525">
            <a:solidFill>
              <a:srgbClr val="C00000"/>
            </a:solidFill>
            <a:prstDash val="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grpSp>
    <xdr:clientData/>
  </xdr:twoCellAnchor>
  <xdr:twoCellAnchor>
    <xdr:from>
      <xdr:col>3</xdr:col>
      <xdr:colOff>342900</xdr:colOff>
      <xdr:row>82</xdr:row>
      <xdr:rowOff>0</xdr:rowOff>
    </xdr:from>
    <xdr:to>
      <xdr:col>3</xdr:col>
      <xdr:colOff>504825</xdr:colOff>
      <xdr:row>85</xdr:row>
      <xdr:rowOff>4500</xdr:rowOff>
    </xdr:to>
    <xdr:sp macro="" textlink="">
      <xdr:nvSpPr>
        <xdr:cNvPr id="9" name="Left Brace 8"/>
        <xdr:cNvSpPr/>
      </xdr:nvSpPr>
      <xdr:spPr>
        <a:xfrm>
          <a:off x="1885950" y="2914650"/>
          <a:ext cx="161925" cy="518850"/>
        </a:xfrm>
        <a:prstGeom prst="leftBrace">
          <a:avLst>
            <a:gd name="adj1" fmla="val 29386"/>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361949</xdr:colOff>
      <xdr:row>103</xdr:row>
      <xdr:rowOff>0</xdr:rowOff>
    </xdr:from>
    <xdr:to>
      <xdr:col>4</xdr:col>
      <xdr:colOff>27599</xdr:colOff>
      <xdr:row>107</xdr:row>
      <xdr:rowOff>300</xdr:rowOff>
    </xdr:to>
    <xdr:sp macro="" textlink="">
      <xdr:nvSpPr>
        <xdr:cNvPr id="10" name="Left Brace 9"/>
        <xdr:cNvSpPr/>
      </xdr:nvSpPr>
      <xdr:spPr>
        <a:xfrm>
          <a:off x="1904999" y="7200900"/>
          <a:ext cx="180000" cy="686100"/>
        </a:xfrm>
        <a:prstGeom prst="leftBrace">
          <a:avLst>
            <a:gd name="adj1" fmla="val 29386"/>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152402</xdr:colOff>
      <xdr:row>23</xdr:row>
      <xdr:rowOff>114300</xdr:rowOff>
    </xdr:from>
    <xdr:to>
      <xdr:col>4</xdr:col>
      <xdr:colOff>82827</xdr:colOff>
      <xdr:row>25</xdr:row>
      <xdr:rowOff>66675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49359" y="4562061"/>
          <a:ext cx="1421294" cy="358223"/>
        </a:xfrm>
        <a:prstGeom prst="rect">
          <a:avLst/>
        </a:prstGeom>
        <a:noFill/>
        <a:ln>
          <a:noFill/>
        </a:ln>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pic>
    <xdr:clientData/>
  </xdr:twoCellAnchor>
  <xdr:twoCellAnchor editAs="oneCell">
    <xdr:from>
      <xdr:col>1</xdr:col>
      <xdr:colOff>238127</xdr:colOff>
      <xdr:row>26</xdr:row>
      <xdr:rowOff>76200</xdr:rowOff>
    </xdr:from>
    <xdr:to>
      <xdr:col>3</xdr:col>
      <xdr:colOff>472108</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735084" y="5120309"/>
          <a:ext cx="1227894" cy="428625"/>
        </a:xfrm>
        <a:prstGeom prst="rect">
          <a:avLst/>
        </a:prstGeom>
        <a:noFill/>
        <a:ln>
          <a:noFill/>
        </a:ln>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pic>
    <xdr:clientData/>
  </xdr:twoCellAnchor>
  <xdr:twoCellAnchor editAs="oneCell">
    <xdr:from>
      <xdr:col>1</xdr:col>
      <xdr:colOff>123826</xdr:colOff>
      <xdr:row>28</xdr:row>
      <xdr:rowOff>188016</xdr:rowOff>
    </xdr:from>
    <xdr:to>
      <xdr:col>6</xdr:col>
      <xdr:colOff>157370</xdr:colOff>
      <xdr:row>31</xdr:row>
      <xdr:rowOff>149087</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xmlns="" val="0"/>
            </a:ext>
          </a:extLst>
        </a:blip>
        <a:srcRect/>
        <a:stretch>
          <a:fillRect/>
        </a:stretch>
      </xdr:blipFill>
      <xdr:spPr bwMode="auto">
        <a:xfrm>
          <a:off x="620783" y="5613125"/>
          <a:ext cx="2518326" cy="532571"/>
        </a:xfrm>
        <a:prstGeom prst="rect">
          <a:avLst/>
        </a:prstGeom>
        <a:noFill/>
        <a:ln>
          <a:noFill/>
        </a:ln>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pic>
    <xdr:clientData/>
  </xdr:twoCellAnchor>
  <xdr:twoCellAnchor editAs="oneCell">
    <xdr:from>
      <xdr:col>0</xdr:col>
      <xdr:colOff>28575</xdr:colOff>
      <xdr:row>68</xdr:row>
      <xdr:rowOff>95251</xdr:rowOff>
    </xdr:from>
    <xdr:to>
      <xdr:col>4</xdr:col>
      <xdr:colOff>339587</xdr:colOff>
      <xdr:row>70</xdr:row>
      <xdr:rowOff>152445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xmlns="" val="0"/>
            </a:ext>
          </a:extLst>
        </a:blip>
        <a:srcRect/>
        <a:stretch>
          <a:fillRect/>
        </a:stretch>
      </xdr:blipFill>
      <xdr:spPr bwMode="auto">
        <a:xfrm>
          <a:off x="28575" y="13363990"/>
          <a:ext cx="2298838" cy="438194"/>
        </a:xfrm>
        <a:prstGeom prst="rect">
          <a:avLst/>
        </a:prstGeom>
        <a:noFill/>
        <a:ln>
          <a:noFill/>
        </a:ln>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pic>
    <xdr:clientData/>
  </xdr:twoCellAnchor>
  <xdr:twoCellAnchor editAs="oneCell">
    <xdr:from>
      <xdr:col>0</xdr:col>
      <xdr:colOff>19050</xdr:colOff>
      <xdr:row>59</xdr:row>
      <xdr:rowOff>104775</xdr:rowOff>
    </xdr:from>
    <xdr:to>
      <xdr:col>5</xdr:col>
      <xdr:colOff>85725</xdr:colOff>
      <xdr:row>62</xdr:row>
      <xdr:rowOff>0</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xmlns="" val="0"/>
            </a:ext>
          </a:extLst>
        </a:blip>
        <a:srcRect/>
        <a:stretch>
          <a:fillRect/>
        </a:stretch>
      </xdr:blipFill>
      <xdr:spPr bwMode="auto">
        <a:xfrm>
          <a:off x="19050" y="11677650"/>
          <a:ext cx="2085975" cy="466725"/>
        </a:xfrm>
        <a:prstGeom prst="rect">
          <a:avLst/>
        </a:prstGeom>
        <a:noFill/>
        <a:ln>
          <a:noFill/>
        </a:ln>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pic>
    <xdr:clientData/>
  </xdr:twoCellAnchor>
  <xdr:twoCellAnchor>
    <xdr:from>
      <xdr:col>6</xdr:col>
      <xdr:colOff>219075</xdr:colOff>
      <xdr:row>1</xdr:row>
      <xdr:rowOff>133350</xdr:rowOff>
    </xdr:from>
    <xdr:to>
      <xdr:col>10</xdr:col>
      <xdr:colOff>209550</xdr:colOff>
      <xdr:row>12</xdr:row>
      <xdr:rowOff>104775</xdr:rowOff>
    </xdr:to>
    <xdr:grpSp>
      <xdr:nvGrpSpPr>
        <xdr:cNvPr id="7" name="Group 6"/>
        <xdr:cNvGrpSpPr>
          <a:grpSpLocks/>
        </xdr:cNvGrpSpPr>
      </xdr:nvGrpSpPr>
      <xdr:grpSpPr bwMode="auto">
        <a:xfrm>
          <a:off x="3190875" y="323850"/>
          <a:ext cx="1971675" cy="2066925"/>
          <a:chOff x="394" y="1745"/>
          <a:chExt cx="223" cy="219"/>
        </a:xfrm>
      </xdr:grpSpPr>
      <xdr:grpSp>
        <xdr:nvGrpSpPr>
          <xdr:cNvPr id="8" name="Group 7"/>
          <xdr:cNvGrpSpPr>
            <a:grpSpLocks/>
          </xdr:cNvGrpSpPr>
        </xdr:nvGrpSpPr>
        <xdr:grpSpPr bwMode="auto">
          <a:xfrm>
            <a:off x="394" y="1763"/>
            <a:ext cx="223" cy="185"/>
            <a:chOff x="394" y="1763"/>
            <a:chExt cx="223" cy="185"/>
          </a:xfrm>
        </xdr:grpSpPr>
        <xdr:sp macro="" textlink="">
          <xdr:nvSpPr>
            <xdr:cNvPr id="13" name="Oval 8"/>
            <xdr:cNvSpPr>
              <a:spLocks noChangeAspect="1" noChangeArrowheads="1"/>
            </xdr:cNvSpPr>
          </xdr:nvSpPr>
          <xdr:spPr bwMode="auto">
            <a:xfrm>
              <a:off x="420" y="1763"/>
              <a:ext cx="190" cy="185"/>
            </a:xfrm>
            <a:prstGeom prst="ellipse">
              <a:avLst/>
            </a:prstGeom>
            <a:noFill/>
            <a:ln w="9525">
              <a:solidFill>
                <a:srgbClr val="808080"/>
              </a:solidFill>
              <a:round/>
              <a:headEnd/>
              <a:tailEnd/>
            </a:ln>
            <a:effectLst/>
            <a:extLst>
              <a:ext uri="{909E8E84-426E-40DD-AFC4-6F175D3DCCD1}">
                <a14:hiddenFill xmlns:a14="http://schemas.microsoft.com/office/drawing/2010/main" xmlns="">
                  <a:solidFill>
                    <a:srgbClr val="FFFFFF"/>
                  </a:solid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z</a:t>
              </a:r>
              <a:endParaRPr lang="en-IN"/>
            </a:p>
          </xdr:txBody>
        </xdr:sp>
        <xdr:cxnSp macro="">
          <xdr:nvCxnSpPr>
            <xdr:cNvPr id="14" name="AutoShape 9"/>
            <xdr:cNvCxnSpPr>
              <a:cxnSpLocks noChangeShapeType="1"/>
              <a:stCxn id="13" idx="5"/>
              <a:endCxn id="13" idx="1"/>
            </xdr:cNvCxnSpPr>
          </xdr:nvCxnSpPr>
          <xdr:spPr bwMode="auto">
            <a:xfrm flipH="1" flipV="1">
              <a:off x="448" y="1790"/>
              <a:ext cx="134" cy="131"/>
            </a:xfrm>
            <a:prstGeom prst="straightConnector1">
              <a:avLst/>
            </a:prstGeom>
            <a:noFill/>
            <a:ln w="9525">
              <a:solidFill>
                <a:srgbClr val="0000FF"/>
              </a:solidFill>
              <a:round/>
              <a:headEnd type="stealth" w="sm" len="sm"/>
              <a:tailEnd type="stealth" w="sm" len="sm"/>
            </a:ln>
            <a:effectLst/>
            <a:extLst>
              <a:ext uri="{909E8E84-426E-40DD-AFC4-6F175D3DCCD1}">
                <a14:hiddenFill xmlns:a14="http://schemas.microsoft.com/office/drawing/2010/main" xmlns="">
                  <a:no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cxnSp>
        <xdr:sp macro="" textlink="">
          <xdr:nvSpPr>
            <xdr:cNvPr id="15" name="Line 10"/>
            <xdr:cNvSpPr>
              <a:spLocks noChangeShapeType="1"/>
            </xdr:cNvSpPr>
          </xdr:nvSpPr>
          <xdr:spPr bwMode="auto">
            <a:xfrm flipV="1">
              <a:off x="407" y="1820"/>
              <a:ext cx="210" cy="0"/>
            </a:xfrm>
            <a:prstGeom prst="line">
              <a:avLst/>
            </a:prstGeom>
            <a:noFill/>
            <a:ln w="9525">
              <a:solidFill>
                <a:srgbClr val="000000"/>
              </a:solidFill>
              <a:prstDash val="dash"/>
              <a:round/>
              <a:headEnd/>
              <a:tailEnd/>
            </a:ln>
            <a:effectLst/>
            <a:extLst>
              <a:ext uri="{909E8E84-426E-40DD-AFC4-6F175D3DCCD1}">
                <a14:hiddenFill xmlns:a14="http://schemas.microsoft.com/office/drawing/2010/main" xmlns="">
                  <a:no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sp>
        <xdr:sp macro="" textlink="">
          <xdr:nvSpPr>
            <xdr:cNvPr id="16" name="Oval 11"/>
            <xdr:cNvSpPr>
              <a:spLocks noChangeAspect="1" noChangeArrowheads="1"/>
            </xdr:cNvSpPr>
          </xdr:nvSpPr>
          <xdr:spPr bwMode="auto">
            <a:xfrm>
              <a:off x="428" y="1772"/>
              <a:ext cx="175" cy="168"/>
            </a:xfrm>
            <a:prstGeom prst="ellipse">
              <a:avLst/>
            </a:prstGeom>
            <a:noFill/>
            <a:ln w="9525">
              <a:solidFill>
                <a:srgbClr val="800000"/>
              </a:solidFill>
              <a:prstDash val="dash"/>
              <a:round/>
              <a:headEnd/>
              <a:tailEnd/>
            </a:ln>
            <a:effectLst/>
            <a:extLst>
              <a:ext uri="{909E8E84-426E-40DD-AFC4-6F175D3DCCD1}">
                <a14:hiddenFill xmlns:a14="http://schemas.microsoft.com/office/drawing/2010/main" xmlns="">
                  <a:solidFill>
                    <a:srgbClr val="FFFFFF"/>
                  </a:solid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sp>
        <xdr:sp macro="" textlink="">
          <xdr:nvSpPr>
            <xdr:cNvPr id="17" name="Line 12"/>
            <xdr:cNvSpPr>
              <a:spLocks noChangeShapeType="1"/>
            </xdr:cNvSpPr>
          </xdr:nvSpPr>
          <xdr:spPr bwMode="auto">
            <a:xfrm flipV="1">
              <a:off x="514" y="1821"/>
              <a:ext cx="86" cy="37"/>
            </a:xfrm>
            <a:prstGeom prst="line">
              <a:avLst/>
            </a:prstGeom>
            <a:noFill/>
            <a:ln w="9525">
              <a:solidFill>
                <a:srgbClr val="000000"/>
              </a:solidFill>
              <a:round/>
              <a:headEnd/>
              <a:tailEnd/>
            </a:ln>
            <a:effectLst/>
            <a:extLst>
              <a:ext uri="{909E8E84-426E-40DD-AFC4-6F175D3DCCD1}">
                <a14:hiddenFill xmlns:a14="http://schemas.microsoft.com/office/drawing/2010/main" xmlns="">
                  <a:no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sp>
        <xdr:sp macro="" textlink="">
          <xdr:nvSpPr>
            <xdr:cNvPr id="18" name="Line 13"/>
            <xdr:cNvSpPr>
              <a:spLocks noChangeShapeType="1"/>
            </xdr:cNvSpPr>
          </xdr:nvSpPr>
          <xdr:spPr bwMode="auto">
            <a:xfrm flipH="1" flipV="1">
              <a:off x="429" y="1820"/>
              <a:ext cx="86" cy="37"/>
            </a:xfrm>
            <a:prstGeom prst="line">
              <a:avLst/>
            </a:prstGeom>
            <a:noFill/>
            <a:ln w="9525">
              <a:solidFill>
                <a:srgbClr val="000000"/>
              </a:solidFill>
              <a:round/>
              <a:headEnd/>
              <a:tailEnd/>
            </a:ln>
            <a:effectLst/>
            <a:extLst>
              <a:ext uri="{909E8E84-426E-40DD-AFC4-6F175D3DCCD1}">
                <a14:hiddenFill xmlns:a14="http://schemas.microsoft.com/office/drawing/2010/main" xmlns="">
                  <a:no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sp>
        <xdr:sp macro="" textlink="">
          <xdr:nvSpPr>
            <xdr:cNvPr id="19" name="Line 14"/>
            <xdr:cNvSpPr>
              <a:spLocks noChangeShapeType="1"/>
            </xdr:cNvSpPr>
          </xdr:nvSpPr>
          <xdr:spPr bwMode="auto">
            <a:xfrm flipH="1">
              <a:off x="405" y="1858"/>
              <a:ext cx="111" cy="0"/>
            </a:xfrm>
            <a:prstGeom prst="line">
              <a:avLst/>
            </a:prstGeom>
            <a:noFill/>
            <a:ln w="9525">
              <a:solidFill>
                <a:srgbClr val="000000"/>
              </a:solidFill>
              <a:round/>
              <a:headEnd/>
              <a:tailEnd/>
            </a:ln>
            <a:effectLst/>
            <a:extLst>
              <a:ext uri="{909E8E84-426E-40DD-AFC4-6F175D3DCCD1}">
                <a14:hiddenFill xmlns:a14="http://schemas.microsoft.com/office/drawing/2010/main" xmlns="">
                  <a:no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sp>
        <xdr:sp macro="" textlink="">
          <xdr:nvSpPr>
            <xdr:cNvPr id="20" name="Line 15"/>
            <xdr:cNvSpPr>
              <a:spLocks noChangeShapeType="1"/>
            </xdr:cNvSpPr>
          </xdr:nvSpPr>
          <xdr:spPr bwMode="auto">
            <a:xfrm flipV="1">
              <a:off x="411" y="1819"/>
              <a:ext cx="0" cy="39"/>
            </a:xfrm>
            <a:prstGeom prst="line">
              <a:avLst/>
            </a:prstGeom>
            <a:noFill/>
            <a:ln w="9525">
              <a:solidFill>
                <a:srgbClr val="000000"/>
              </a:solidFill>
              <a:round/>
              <a:headEnd type="stealth" w="sm" len="sm"/>
              <a:tailEnd type="stealth" w="sm" len="sm"/>
            </a:ln>
            <a:effectLst/>
            <a:extLst>
              <a:ext uri="{909E8E84-426E-40DD-AFC4-6F175D3DCCD1}">
                <a14:hiddenFill xmlns:a14="http://schemas.microsoft.com/office/drawing/2010/main" xmlns="">
                  <a:no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sp>
        <xdr:sp macro="" textlink="">
          <xdr:nvSpPr>
            <xdr:cNvPr id="21" name="Text Box 16"/>
            <xdr:cNvSpPr txBox="1">
              <a:spLocks noChangeArrowheads="1"/>
            </xdr:cNvSpPr>
          </xdr:nvSpPr>
          <xdr:spPr bwMode="auto">
            <a:xfrm>
              <a:off x="394" y="1827"/>
              <a:ext cx="17" cy="19"/>
            </a:xfrm>
            <a:prstGeom prst="rect">
              <a:avLst/>
            </a:prstGeom>
            <a:noFill/>
            <a:ln>
              <a:noFill/>
            </a:ln>
            <a:effectLst/>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txBody>
            <a:bodyPr wrap="none" lIns="18288" tIns="22860" rIns="0" bIns="0" anchor="t" upright="1">
              <a:spAutoFit/>
            </a:bodyPr>
            <a:lstStyle/>
            <a:p>
              <a:pPr algn="l" rtl="0">
                <a:defRPr sz="1000"/>
              </a:pPr>
              <a:r>
                <a:rPr lang="en-IN" sz="1000" b="0" i="0" u="none" strike="noStrike" baseline="0">
                  <a:solidFill>
                    <a:srgbClr val="000000"/>
                  </a:solidFill>
                  <a:latin typeface="Arial"/>
                  <a:cs typeface="Arial"/>
                </a:rPr>
                <a:t>d1</a:t>
              </a:r>
              <a:endParaRPr lang="en-IN"/>
            </a:p>
          </xdr:txBody>
        </xdr:sp>
      </xdr:grpSp>
      <xdr:grpSp>
        <xdr:nvGrpSpPr>
          <xdr:cNvPr id="9" name="Group 17"/>
          <xdr:cNvGrpSpPr>
            <a:grpSpLocks/>
          </xdr:cNvGrpSpPr>
        </xdr:nvGrpSpPr>
        <xdr:grpSpPr bwMode="auto">
          <a:xfrm>
            <a:off x="515" y="1745"/>
            <a:ext cx="18" cy="219"/>
            <a:chOff x="515" y="1745"/>
            <a:chExt cx="18" cy="219"/>
          </a:xfrm>
        </xdr:grpSpPr>
        <xdr:cxnSp macro="">
          <xdr:nvCxnSpPr>
            <xdr:cNvPr id="10" name="AutoShape 18"/>
            <xdr:cNvCxnSpPr>
              <a:cxnSpLocks noChangeShapeType="1"/>
            </xdr:cNvCxnSpPr>
          </xdr:nvCxnSpPr>
          <xdr:spPr bwMode="auto">
            <a:xfrm flipV="1">
              <a:off x="515" y="1745"/>
              <a:ext cx="0" cy="219"/>
            </a:xfrm>
            <a:prstGeom prst="straightConnector1">
              <a:avLst/>
            </a:prstGeom>
            <a:noFill/>
            <a:ln w="9525">
              <a:solidFill>
                <a:srgbClr val="000000"/>
              </a:solidFill>
              <a:prstDash val="lgDashDot"/>
              <a:round/>
              <a:headEnd/>
              <a:tailEnd/>
            </a:ln>
            <a:effectLst/>
            <a:extLst>
              <a:ext uri="{909E8E84-426E-40DD-AFC4-6F175D3DCCD1}">
                <a14:hiddenFill xmlns:a14="http://schemas.microsoft.com/office/drawing/2010/main" xmlns="">
                  <a:no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cxnSp>
        <xdr:sp macro="" textlink="">
          <xdr:nvSpPr>
            <xdr:cNvPr id="11" name="Text Box 19"/>
            <xdr:cNvSpPr txBox="1">
              <a:spLocks noChangeArrowheads="1"/>
            </xdr:cNvSpPr>
          </xdr:nvSpPr>
          <xdr:spPr bwMode="auto">
            <a:xfrm>
              <a:off x="515" y="1826"/>
              <a:ext cx="18" cy="20"/>
            </a:xfrm>
            <a:prstGeom prst="rect">
              <a:avLst/>
            </a:prstGeom>
            <a:noFill/>
            <a:ln>
              <a:noFill/>
            </a:ln>
            <a:effectLst/>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xdr:spPr>
          <xdr:txBody>
            <a:bodyPr wrap="none" lIns="18288" tIns="22860" rIns="0" bIns="0" anchor="t" upright="1">
              <a:spAutoFit/>
            </a:bodyPr>
            <a:lstStyle/>
            <a:p>
              <a:pPr algn="l" rtl="0">
                <a:defRPr sz="1000"/>
              </a:pPr>
              <a:r>
                <a:rPr lang="en-IN" sz="1000" b="0" i="0" u="none" strike="noStrike" baseline="0">
                  <a:solidFill>
                    <a:srgbClr val="000000"/>
                  </a:solidFill>
                  <a:latin typeface="Symbol"/>
                </a:rPr>
                <a:t>a</a:t>
              </a:r>
              <a:r>
                <a:rPr lang="en-IN" sz="1000" b="0" i="0" u="none" strike="noStrike" baseline="0">
                  <a:solidFill>
                    <a:srgbClr val="000000"/>
                  </a:solidFill>
                  <a:latin typeface="Arial"/>
                  <a:cs typeface="Arial"/>
                </a:rPr>
                <a:t>1</a:t>
              </a:r>
              <a:endParaRPr lang="en-IN"/>
            </a:p>
          </xdr:txBody>
        </xdr:sp>
        <xdr:sp macro="" textlink="">
          <xdr:nvSpPr>
            <xdr:cNvPr id="12" name="Arc 20"/>
            <xdr:cNvSpPr>
              <a:spLocks/>
            </xdr:cNvSpPr>
          </xdr:nvSpPr>
          <xdr:spPr bwMode="auto">
            <a:xfrm>
              <a:off x="515" y="1838"/>
              <a:ext cx="15" cy="12"/>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0000"/>
              </a:solidFill>
              <a:round/>
              <a:headEnd/>
              <a:tailEnd/>
            </a:ln>
            <a:effectLst/>
            <a:extLst>
              <a:ext uri="{909E8E84-426E-40DD-AFC4-6F175D3DCCD1}">
                <a14:hiddenFill xmlns:a14="http://schemas.microsoft.com/office/drawing/2010/main" xmlns="">
                  <a:solidFill>
                    <a:srgbClr val="FFFFFF"/>
                  </a:solid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sp>
      </xdr:grpSp>
    </xdr:grpSp>
    <xdr:clientData/>
  </xdr:twoCellAnchor>
</xdr:wsDr>
</file>

<file path=xl/drawings/drawing25.xml><?xml version="1.0" encoding="utf-8"?>
<xdr:wsDr xmlns:xdr="http://schemas.openxmlformats.org/drawingml/2006/spreadsheetDrawing" xmlns:a="http://schemas.openxmlformats.org/drawingml/2006/main">
  <xdr:twoCellAnchor>
    <xdr:from>
      <xdr:col>1</xdr:col>
      <xdr:colOff>0</xdr:colOff>
      <xdr:row>9</xdr:row>
      <xdr:rowOff>30145</xdr:rowOff>
    </xdr:from>
    <xdr:to>
      <xdr:col>6</xdr:col>
      <xdr:colOff>123825</xdr:colOff>
      <xdr:row>15</xdr:row>
      <xdr:rowOff>180977</xdr:rowOff>
    </xdr:to>
    <xdr:sp macro="" textlink="">
      <xdr:nvSpPr>
        <xdr:cNvPr id="2" name="Freeform 1"/>
        <xdr:cNvSpPr/>
      </xdr:nvSpPr>
      <xdr:spPr>
        <a:xfrm>
          <a:off x="514350" y="1858945"/>
          <a:ext cx="2695575" cy="1484332"/>
        </a:xfrm>
        <a:custGeom>
          <a:avLst/>
          <a:gdLst>
            <a:gd name="connsiteX0" fmla="*/ 809625 w 2695575"/>
            <a:gd name="connsiteY0" fmla="*/ 295275 h 3114675"/>
            <a:gd name="connsiteX1" fmla="*/ 609600 w 2695575"/>
            <a:gd name="connsiteY1" fmla="*/ 295275 h 3114675"/>
            <a:gd name="connsiteX2" fmla="*/ 609600 w 2695575"/>
            <a:gd name="connsiteY2" fmla="*/ 1028700 h 3114675"/>
            <a:gd name="connsiteX3" fmla="*/ 1133475 w 2695575"/>
            <a:gd name="connsiteY3" fmla="*/ 1362075 h 3114675"/>
            <a:gd name="connsiteX4" fmla="*/ 1133475 w 2695575"/>
            <a:gd name="connsiteY4" fmla="*/ 2695575 h 3114675"/>
            <a:gd name="connsiteX5" fmla="*/ 0 w 2695575"/>
            <a:gd name="connsiteY5" fmla="*/ 2695575 h 3114675"/>
            <a:gd name="connsiteX6" fmla="*/ 0 w 2695575"/>
            <a:gd name="connsiteY6" fmla="*/ 3114675 h 3114675"/>
            <a:gd name="connsiteX7" fmla="*/ 2695575 w 2695575"/>
            <a:gd name="connsiteY7" fmla="*/ 3114675 h 3114675"/>
            <a:gd name="connsiteX8" fmla="*/ 2695575 w 2695575"/>
            <a:gd name="connsiteY8" fmla="*/ 2695575 h 3114675"/>
            <a:gd name="connsiteX9" fmla="*/ 1581150 w 2695575"/>
            <a:gd name="connsiteY9" fmla="*/ 2695575 h 3114675"/>
            <a:gd name="connsiteX10" fmla="*/ 1581150 w 2695575"/>
            <a:gd name="connsiteY10" fmla="*/ 1381125 h 3114675"/>
            <a:gd name="connsiteX11" fmla="*/ 2019300 w 2695575"/>
            <a:gd name="connsiteY11" fmla="*/ 1047750 h 3114675"/>
            <a:gd name="connsiteX12" fmla="*/ 2019300 w 2695575"/>
            <a:gd name="connsiteY12" fmla="*/ 762000 h 3114675"/>
            <a:gd name="connsiteX13" fmla="*/ 866775 w 2695575"/>
            <a:gd name="connsiteY13" fmla="*/ 762000 h 3114675"/>
            <a:gd name="connsiteX14" fmla="*/ 866775 w 2695575"/>
            <a:gd name="connsiteY14" fmla="*/ 0 h 3114675"/>
            <a:gd name="connsiteX15" fmla="*/ 600075 w 2695575"/>
            <a:gd name="connsiteY15" fmla="*/ 0 h 3114675"/>
            <a:gd name="connsiteX0" fmla="*/ 609600 w 2695575"/>
            <a:gd name="connsiteY0" fmla="*/ 295275 h 3114675"/>
            <a:gd name="connsiteX1" fmla="*/ 609600 w 2695575"/>
            <a:gd name="connsiteY1" fmla="*/ 1028700 h 3114675"/>
            <a:gd name="connsiteX2" fmla="*/ 1133475 w 2695575"/>
            <a:gd name="connsiteY2" fmla="*/ 1362075 h 3114675"/>
            <a:gd name="connsiteX3" fmla="*/ 1133475 w 2695575"/>
            <a:gd name="connsiteY3" fmla="*/ 2695575 h 3114675"/>
            <a:gd name="connsiteX4" fmla="*/ 0 w 2695575"/>
            <a:gd name="connsiteY4" fmla="*/ 2695575 h 3114675"/>
            <a:gd name="connsiteX5" fmla="*/ 0 w 2695575"/>
            <a:gd name="connsiteY5" fmla="*/ 3114675 h 3114675"/>
            <a:gd name="connsiteX6" fmla="*/ 2695575 w 2695575"/>
            <a:gd name="connsiteY6" fmla="*/ 3114675 h 3114675"/>
            <a:gd name="connsiteX7" fmla="*/ 2695575 w 2695575"/>
            <a:gd name="connsiteY7" fmla="*/ 2695575 h 3114675"/>
            <a:gd name="connsiteX8" fmla="*/ 1581150 w 2695575"/>
            <a:gd name="connsiteY8" fmla="*/ 2695575 h 3114675"/>
            <a:gd name="connsiteX9" fmla="*/ 1581150 w 2695575"/>
            <a:gd name="connsiteY9" fmla="*/ 1381125 h 3114675"/>
            <a:gd name="connsiteX10" fmla="*/ 2019300 w 2695575"/>
            <a:gd name="connsiteY10" fmla="*/ 1047750 h 3114675"/>
            <a:gd name="connsiteX11" fmla="*/ 2019300 w 2695575"/>
            <a:gd name="connsiteY11" fmla="*/ 762000 h 3114675"/>
            <a:gd name="connsiteX12" fmla="*/ 866775 w 2695575"/>
            <a:gd name="connsiteY12" fmla="*/ 762000 h 3114675"/>
            <a:gd name="connsiteX13" fmla="*/ 866775 w 2695575"/>
            <a:gd name="connsiteY13" fmla="*/ 0 h 3114675"/>
            <a:gd name="connsiteX14" fmla="*/ 600075 w 2695575"/>
            <a:gd name="connsiteY14" fmla="*/ 0 h 3114675"/>
            <a:gd name="connsiteX0" fmla="*/ 609600 w 2695575"/>
            <a:gd name="connsiteY0" fmla="*/ 295275 h 3114675"/>
            <a:gd name="connsiteX1" fmla="*/ 609600 w 2695575"/>
            <a:gd name="connsiteY1" fmla="*/ 1028700 h 3114675"/>
            <a:gd name="connsiteX2" fmla="*/ 1133475 w 2695575"/>
            <a:gd name="connsiteY2" fmla="*/ 1362075 h 3114675"/>
            <a:gd name="connsiteX3" fmla="*/ 1133475 w 2695575"/>
            <a:gd name="connsiteY3" fmla="*/ 2695575 h 3114675"/>
            <a:gd name="connsiteX4" fmla="*/ 0 w 2695575"/>
            <a:gd name="connsiteY4" fmla="*/ 2695575 h 3114675"/>
            <a:gd name="connsiteX5" fmla="*/ 0 w 2695575"/>
            <a:gd name="connsiteY5" fmla="*/ 3114675 h 3114675"/>
            <a:gd name="connsiteX6" fmla="*/ 2695575 w 2695575"/>
            <a:gd name="connsiteY6" fmla="*/ 3114675 h 3114675"/>
            <a:gd name="connsiteX7" fmla="*/ 2695575 w 2695575"/>
            <a:gd name="connsiteY7" fmla="*/ 2695575 h 3114675"/>
            <a:gd name="connsiteX8" fmla="*/ 1581150 w 2695575"/>
            <a:gd name="connsiteY8" fmla="*/ 2695575 h 3114675"/>
            <a:gd name="connsiteX9" fmla="*/ 1581150 w 2695575"/>
            <a:gd name="connsiteY9" fmla="*/ 1381125 h 3114675"/>
            <a:gd name="connsiteX10" fmla="*/ 2019300 w 2695575"/>
            <a:gd name="connsiteY10" fmla="*/ 1047750 h 3114675"/>
            <a:gd name="connsiteX11" fmla="*/ 2019300 w 2695575"/>
            <a:gd name="connsiteY11" fmla="*/ 762000 h 3114675"/>
            <a:gd name="connsiteX12" fmla="*/ 866775 w 2695575"/>
            <a:gd name="connsiteY12" fmla="*/ 762000 h 3114675"/>
            <a:gd name="connsiteX13" fmla="*/ 866775 w 2695575"/>
            <a:gd name="connsiteY13" fmla="*/ 0 h 3114675"/>
            <a:gd name="connsiteX14" fmla="*/ 600075 w 2695575"/>
            <a:gd name="connsiteY14" fmla="*/ 0 h 3114675"/>
            <a:gd name="connsiteX15" fmla="*/ 609600 w 2695575"/>
            <a:gd name="connsiteY15" fmla="*/ 295275 h 3114675"/>
            <a:gd name="connsiteX0" fmla="*/ 600075 w 2695575"/>
            <a:gd name="connsiteY0" fmla="*/ 0 h 3114675"/>
            <a:gd name="connsiteX1" fmla="*/ 609600 w 2695575"/>
            <a:gd name="connsiteY1" fmla="*/ 1028700 h 3114675"/>
            <a:gd name="connsiteX2" fmla="*/ 1133475 w 2695575"/>
            <a:gd name="connsiteY2" fmla="*/ 1362075 h 3114675"/>
            <a:gd name="connsiteX3" fmla="*/ 1133475 w 2695575"/>
            <a:gd name="connsiteY3" fmla="*/ 2695575 h 3114675"/>
            <a:gd name="connsiteX4" fmla="*/ 0 w 2695575"/>
            <a:gd name="connsiteY4" fmla="*/ 2695575 h 3114675"/>
            <a:gd name="connsiteX5" fmla="*/ 0 w 2695575"/>
            <a:gd name="connsiteY5" fmla="*/ 3114675 h 3114675"/>
            <a:gd name="connsiteX6" fmla="*/ 2695575 w 2695575"/>
            <a:gd name="connsiteY6" fmla="*/ 3114675 h 3114675"/>
            <a:gd name="connsiteX7" fmla="*/ 2695575 w 2695575"/>
            <a:gd name="connsiteY7" fmla="*/ 2695575 h 3114675"/>
            <a:gd name="connsiteX8" fmla="*/ 1581150 w 2695575"/>
            <a:gd name="connsiteY8" fmla="*/ 2695575 h 3114675"/>
            <a:gd name="connsiteX9" fmla="*/ 1581150 w 2695575"/>
            <a:gd name="connsiteY9" fmla="*/ 1381125 h 3114675"/>
            <a:gd name="connsiteX10" fmla="*/ 2019300 w 2695575"/>
            <a:gd name="connsiteY10" fmla="*/ 1047750 h 3114675"/>
            <a:gd name="connsiteX11" fmla="*/ 2019300 w 2695575"/>
            <a:gd name="connsiteY11" fmla="*/ 762000 h 3114675"/>
            <a:gd name="connsiteX12" fmla="*/ 866775 w 2695575"/>
            <a:gd name="connsiteY12" fmla="*/ 762000 h 3114675"/>
            <a:gd name="connsiteX13" fmla="*/ 866775 w 2695575"/>
            <a:gd name="connsiteY13" fmla="*/ 0 h 3114675"/>
            <a:gd name="connsiteX14" fmla="*/ 600075 w 2695575"/>
            <a:gd name="connsiteY14" fmla="*/ 0 h 3114675"/>
            <a:gd name="connsiteX0" fmla="*/ 609600 w 2695575"/>
            <a:gd name="connsiteY0" fmla="*/ 9525 h 3114675"/>
            <a:gd name="connsiteX1" fmla="*/ 609600 w 2695575"/>
            <a:gd name="connsiteY1" fmla="*/ 1028700 h 3114675"/>
            <a:gd name="connsiteX2" fmla="*/ 1133475 w 2695575"/>
            <a:gd name="connsiteY2" fmla="*/ 1362075 h 3114675"/>
            <a:gd name="connsiteX3" fmla="*/ 1133475 w 2695575"/>
            <a:gd name="connsiteY3" fmla="*/ 2695575 h 3114675"/>
            <a:gd name="connsiteX4" fmla="*/ 0 w 2695575"/>
            <a:gd name="connsiteY4" fmla="*/ 2695575 h 3114675"/>
            <a:gd name="connsiteX5" fmla="*/ 0 w 2695575"/>
            <a:gd name="connsiteY5" fmla="*/ 3114675 h 3114675"/>
            <a:gd name="connsiteX6" fmla="*/ 2695575 w 2695575"/>
            <a:gd name="connsiteY6" fmla="*/ 3114675 h 3114675"/>
            <a:gd name="connsiteX7" fmla="*/ 2695575 w 2695575"/>
            <a:gd name="connsiteY7" fmla="*/ 2695575 h 3114675"/>
            <a:gd name="connsiteX8" fmla="*/ 1581150 w 2695575"/>
            <a:gd name="connsiteY8" fmla="*/ 2695575 h 3114675"/>
            <a:gd name="connsiteX9" fmla="*/ 1581150 w 2695575"/>
            <a:gd name="connsiteY9" fmla="*/ 1381125 h 3114675"/>
            <a:gd name="connsiteX10" fmla="*/ 2019300 w 2695575"/>
            <a:gd name="connsiteY10" fmla="*/ 1047750 h 3114675"/>
            <a:gd name="connsiteX11" fmla="*/ 2019300 w 2695575"/>
            <a:gd name="connsiteY11" fmla="*/ 762000 h 3114675"/>
            <a:gd name="connsiteX12" fmla="*/ 866775 w 2695575"/>
            <a:gd name="connsiteY12" fmla="*/ 762000 h 3114675"/>
            <a:gd name="connsiteX13" fmla="*/ 866775 w 2695575"/>
            <a:gd name="connsiteY13" fmla="*/ 0 h 3114675"/>
            <a:gd name="connsiteX14" fmla="*/ 609600 w 2695575"/>
            <a:gd name="connsiteY14" fmla="*/ 9525 h 3114675"/>
            <a:gd name="connsiteX0" fmla="*/ 609600 w 2695575"/>
            <a:gd name="connsiteY0" fmla="*/ 0 h 3114675"/>
            <a:gd name="connsiteX1" fmla="*/ 609600 w 2695575"/>
            <a:gd name="connsiteY1" fmla="*/ 1028700 h 3114675"/>
            <a:gd name="connsiteX2" fmla="*/ 1133475 w 2695575"/>
            <a:gd name="connsiteY2" fmla="*/ 1362075 h 3114675"/>
            <a:gd name="connsiteX3" fmla="*/ 1133475 w 2695575"/>
            <a:gd name="connsiteY3" fmla="*/ 2695575 h 3114675"/>
            <a:gd name="connsiteX4" fmla="*/ 0 w 2695575"/>
            <a:gd name="connsiteY4" fmla="*/ 2695575 h 3114675"/>
            <a:gd name="connsiteX5" fmla="*/ 0 w 2695575"/>
            <a:gd name="connsiteY5" fmla="*/ 3114675 h 3114675"/>
            <a:gd name="connsiteX6" fmla="*/ 2695575 w 2695575"/>
            <a:gd name="connsiteY6" fmla="*/ 3114675 h 3114675"/>
            <a:gd name="connsiteX7" fmla="*/ 2695575 w 2695575"/>
            <a:gd name="connsiteY7" fmla="*/ 2695575 h 3114675"/>
            <a:gd name="connsiteX8" fmla="*/ 1581150 w 2695575"/>
            <a:gd name="connsiteY8" fmla="*/ 2695575 h 3114675"/>
            <a:gd name="connsiteX9" fmla="*/ 1581150 w 2695575"/>
            <a:gd name="connsiteY9" fmla="*/ 1381125 h 3114675"/>
            <a:gd name="connsiteX10" fmla="*/ 2019300 w 2695575"/>
            <a:gd name="connsiteY10" fmla="*/ 1047750 h 3114675"/>
            <a:gd name="connsiteX11" fmla="*/ 2019300 w 2695575"/>
            <a:gd name="connsiteY11" fmla="*/ 762000 h 3114675"/>
            <a:gd name="connsiteX12" fmla="*/ 866775 w 2695575"/>
            <a:gd name="connsiteY12" fmla="*/ 762000 h 3114675"/>
            <a:gd name="connsiteX13" fmla="*/ 866775 w 2695575"/>
            <a:gd name="connsiteY13" fmla="*/ 0 h 3114675"/>
            <a:gd name="connsiteX14" fmla="*/ 609600 w 2695575"/>
            <a:gd name="connsiteY14" fmla="*/ 0 h 3114675"/>
            <a:gd name="connsiteX0" fmla="*/ 609600 w 2705100"/>
            <a:gd name="connsiteY0" fmla="*/ 0 h 4048125"/>
            <a:gd name="connsiteX1" fmla="*/ 609600 w 2705100"/>
            <a:gd name="connsiteY1" fmla="*/ 1028700 h 4048125"/>
            <a:gd name="connsiteX2" fmla="*/ 1133475 w 2705100"/>
            <a:gd name="connsiteY2" fmla="*/ 1362075 h 4048125"/>
            <a:gd name="connsiteX3" fmla="*/ 1133475 w 2705100"/>
            <a:gd name="connsiteY3" fmla="*/ 2695575 h 4048125"/>
            <a:gd name="connsiteX4" fmla="*/ 0 w 2705100"/>
            <a:gd name="connsiteY4" fmla="*/ 2695575 h 4048125"/>
            <a:gd name="connsiteX5" fmla="*/ 0 w 2705100"/>
            <a:gd name="connsiteY5" fmla="*/ 3114675 h 4048125"/>
            <a:gd name="connsiteX6" fmla="*/ 2705100 w 2705100"/>
            <a:gd name="connsiteY6" fmla="*/ 4048125 h 4048125"/>
            <a:gd name="connsiteX7" fmla="*/ 2695575 w 2705100"/>
            <a:gd name="connsiteY7" fmla="*/ 2695575 h 4048125"/>
            <a:gd name="connsiteX8" fmla="*/ 1581150 w 2705100"/>
            <a:gd name="connsiteY8" fmla="*/ 2695575 h 4048125"/>
            <a:gd name="connsiteX9" fmla="*/ 1581150 w 2705100"/>
            <a:gd name="connsiteY9" fmla="*/ 138112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33475 w 2705100"/>
            <a:gd name="connsiteY2" fmla="*/ 1362075 h 4048125"/>
            <a:gd name="connsiteX3" fmla="*/ 1133475 w 2705100"/>
            <a:gd name="connsiteY3" fmla="*/ 2695575 h 4048125"/>
            <a:gd name="connsiteX4" fmla="*/ 0 w 2705100"/>
            <a:gd name="connsiteY4" fmla="*/ 2695575 h 4048125"/>
            <a:gd name="connsiteX5" fmla="*/ 9525 w 2705100"/>
            <a:gd name="connsiteY5" fmla="*/ 4048125 h 4048125"/>
            <a:gd name="connsiteX6" fmla="*/ 2705100 w 2705100"/>
            <a:gd name="connsiteY6" fmla="*/ 4048125 h 4048125"/>
            <a:gd name="connsiteX7" fmla="*/ 2695575 w 2705100"/>
            <a:gd name="connsiteY7" fmla="*/ 2695575 h 4048125"/>
            <a:gd name="connsiteX8" fmla="*/ 1581150 w 2705100"/>
            <a:gd name="connsiteY8" fmla="*/ 2695575 h 4048125"/>
            <a:gd name="connsiteX9" fmla="*/ 1581150 w 2705100"/>
            <a:gd name="connsiteY9" fmla="*/ 138112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33475 w 2705100"/>
            <a:gd name="connsiteY2" fmla="*/ 1362075 h 4048125"/>
            <a:gd name="connsiteX3" fmla="*/ 1133475 w 2705100"/>
            <a:gd name="connsiteY3" fmla="*/ 2695575 h 4048125"/>
            <a:gd name="connsiteX4" fmla="*/ 0 w 2705100"/>
            <a:gd name="connsiteY4" fmla="*/ 2695575 h 4048125"/>
            <a:gd name="connsiteX5" fmla="*/ 9525 w 2705100"/>
            <a:gd name="connsiteY5" fmla="*/ 4048125 h 4048125"/>
            <a:gd name="connsiteX6" fmla="*/ 2705100 w 2705100"/>
            <a:gd name="connsiteY6" fmla="*/ 4048125 h 4048125"/>
            <a:gd name="connsiteX7" fmla="*/ 2695575 w 2705100"/>
            <a:gd name="connsiteY7" fmla="*/ 2695575 h 4048125"/>
            <a:gd name="connsiteX8" fmla="*/ 1581150 w 2705100"/>
            <a:gd name="connsiteY8" fmla="*/ 2695575 h 4048125"/>
            <a:gd name="connsiteX9" fmla="*/ 1581150 w 2705100"/>
            <a:gd name="connsiteY9" fmla="*/ 138112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33475 w 2705100"/>
            <a:gd name="connsiteY2" fmla="*/ 1362075 h 4048125"/>
            <a:gd name="connsiteX3" fmla="*/ 1133475 w 2705100"/>
            <a:gd name="connsiteY3" fmla="*/ 2695575 h 4048125"/>
            <a:gd name="connsiteX4" fmla="*/ 0 w 2705100"/>
            <a:gd name="connsiteY4" fmla="*/ 3724275 h 4048125"/>
            <a:gd name="connsiteX5" fmla="*/ 9525 w 2705100"/>
            <a:gd name="connsiteY5" fmla="*/ 4048125 h 4048125"/>
            <a:gd name="connsiteX6" fmla="*/ 2705100 w 2705100"/>
            <a:gd name="connsiteY6" fmla="*/ 4048125 h 4048125"/>
            <a:gd name="connsiteX7" fmla="*/ 2695575 w 2705100"/>
            <a:gd name="connsiteY7" fmla="*/ 2695575 h 4048125"/>
            <a:gd name="connsiteX8" fmla="*/ 1581150 w 2705100"/>
            <a:gd name="connsiteY8" fmla="*/ 2695575 h 4048125"/>
            <a:gd name="connsiteX9" fmla="*/ 1581150 w 2705100"/>
            <a:gd name="connsiteY9" fmla="*/ 138112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33475 w 2705100"/>
            <a:gd name="connsiteY2" fmla="*/ 1362075 h 4048125"/>
            <a:gd name="connsiteX3" fmla="*/ 1123950 w 2705100"/>
            <a:gd name="connsiteY3" fmla="*/ 3724275 h 4048125"/>
            <a:gd name="connsiteX4" fmla="*/ 0 w 2705100"/>
            <a:gd name="connsiteY4" fmla="*/ 3724275 h 4048125"/>
            <a:gd name="connsiteX5" fmla="*/ 9525 w 2705100"/>
            <a:gd name="connsiteY5" fmla="*/ 4048125 h 4048125"/>
            <a:gd name="connsiteX6" fmla="*/ 2705100 w 2705100"/>
            <a:gd name="connsiteY6" fmla="*/ 4048125 h 4048125"/>
            <a:gd name="connsiteX7" fmla="*/ 2695575 w 2705100"/>
            <a:gd name="connsiteY7" fmla="*/ 2695575 h 4048125"/>
            <a:gd name="connsiteX8" fmla="*/ 1581150 w 2705100"/>
            <a:gd name="connsiteY8" fmla="*/ 2695575 h 4048125"/>
            <a:gd name="connsiteX9" fmla="*/ 1581150 w 2705100"/>
            <a:gd name="connsiteY9" fmla="*/ 138112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33475 w 2705100"/>
            <a:gd name="connsiteY2" fmla="*/ 1362075 h 4048125"/>
            <a:gd name="connsiteX3" fmla="*/ 1123950 w 2705100"/>
            <a:gd name="connsiteY3" fmla="*/ 3724275 h 4048125"/>
            <a:gd name="connsiteX4" fmla="*/ 0 w 2705100"/>
            <a:gd name="connsiteY4" fmla="*/ 3724275 h 4048125"/>
            <a:gd name="connsiteX5" fmla="*/ 9525 w 2705100"/>
            <a:gd name="connsiteY5" fmla="*/ 4048125 h 4048125"/>
            <a:gd name="connsiteX6" fmla="*/ 2705100 w 2705100"/>
            <a:gd name="connsiteY6" fmla="*/ 4048125 h 4048125"/>
            <a:gd name="connsiteX7" fmla="*/ 2695575 w 2705100"/>
            <a:gd name="connsiteY7" fmla="*/ 2695575 h 4048125"/>
            <a:gd name="connsiteX8" fmla="*/ 1571625 w 2705100"/>
            <a:gd name="connsiteY8" fmla="*/ 3724275 h 4048125"/>
            <a:gd name="connsiteX9" fmla="*/ 1581150 w 2705100"/>
            <a:gd name="connsiteY9" fmla="*/ 138112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33475 w 2705100"/>
            <a:gd name="connsiteY2" fmla="*/ 1362075 h 4048125"/>
            <a:gd name="connsiteX3" fmla="*/ 1123950 w 2705100"/>
            <a:gd name="connsiteY3" fmla="*/ 3724275 h 4048125"/>
            <a:gd name="connsiteX4" fmla="*/ 0 w 2705100"/>
            <a:gd name="connsiteY4" fmla="*/ 3724275 h 4048125"/>
            <a:gd name="connsiteX5" fmla="*/ 9525 w 2705100"/>
            <a:gd name="connsiteY5" fmla="*/ 4048125 h 4048125"/>
            <a:gd name="connsiteX6" fmla="*/ 2705100 w 2705100"/>
            <a:gd name="connsiteY6" fmla="*/ 4048125 h 4048125"/>
            <a:gd name="connsiteX7" fmla="*/ 2705100 w 2705100"/>
            <a:gd name="connsiteY7" fmla="*/ 3724275 h 4048125"/>
            <a:gd name="connsiteX8" fmla="*/ 1571625 w 2705100"/>
            <a:gd name="connsiteY8" fmla="*/ 3724275 h 4048125"/>
            <a:gd name="connsiteX9" fmla="*/ 1581150 w 2705100"/>
            <a:gd name="connsiteY9" fmla="*/ 138112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14425 w 2705100"/>
            <a:gd name="connsiteY2" fmla="*/ 1362075 h 4048125"/>
            <a:gd name="connsiteX3" fmla="*/ 1123950 w 2705100"/>
            <a:gd name="connsiteY3" fmla="*/ 3724275 h 4048125"/>
            <a:gd name="connsiteX4" fmla="*/ 0 w 2705100"/>
            <a:gd name="connsiteY4" fmla="*/ 3724275 h 4048125"/>
            <a:gd name="connsiteX5" fmla="*/ 9525 w 2705100"/>
            <a:gd name="connsiteY5" fmla="*/ 4048125 h 4048125"/>
            <a:gd name="connsiteX6" fmla="*/ 2705100 w 2705100"/>
            <a:gd name="connsiteY6" fmla="*/ 4048125 h 4048125"/>
            <a:gd name="connsiteX7" fmla="*/ 2705100 w 2705100"/>
            <a:gd name="connsiteY7" fmla="*/ 3724275 h 4048125"/>
            <a:gd name="connsiteX8" fmla="*/ 1571625 w 2705100"/>
            <a:gd name="connsiteY8" fmla="*/ 3724275 h 4048125"/>
            <a:gd name="connsiteX9" fmla="*/ 1581150 w 2705100"/>
            <a:gd name="connsiteY9" fmla="*/ 138112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33475 w 2705100"/>
            <a:gd name="connsiteY2" fmla="*/ 1400175 h 4048125"/>
            <a:gd name="connsiteX3" fmla="*/ 1123950 w 2705100"/>
            <a:gd name="connsiteY3" fmla="*/ 3724275 h 4048125"/>
            <a:gd name="connsiteX4" fmla="*/ 0 w 2705100"/>
            <a:gd name="connsiteY4" fmla="*/ 3724275 h 4048125"/>
            <a:gd name="connsiteX5" fmla="*/ 9525 w 2705100"/>
            <a:gd name="connsiteY5" fmla="*/ 4048125 h 4048125"/>
            <a:gd name="connsiteX6" fmla="*/ 2705100 w 2705100"/>
            <a:gd name="connsiteY6" fmla="*/ 4048125 h 4048125"/>
            <a:gd name="connsiteX7" fmla="*/ 2705100 w 2705100"/>
            <a:gd name="connsiteY7" fmla="*/ 3724275 h 4048125"/>
            <a:gd name="connsiteX8" fmla="*/ 1571625 w 2705100"/>
            <a:gd name="connsiteY8" fmla="*/ 3724275 h 4048125"/>
            <a:gd name="connsiteX9" fmla="*/ 1581150 w 2705100"/>
            <a:gd name="connsiteY9" fmla="*/ 138112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33475 w 2705100"/>
            <a:gd name="connsiteY2" fmla="*/ 1400175 h 4048125"/>
            <a:gd name="connsiteX3" fmla="*/ 1123950 w 2705100"/>
            <a:gd name="connsiteY3" fmla="*/ 3724275 h 4048125"/>
            <a:gd name="connsiteX4" fmla="*/ 0 w 2705100"/>
            <a:gd name="connsiteY4" fmla="*/ 3724275 h 4048125"/>
            <a:gd name="connsiteX5" fmla="*/ 9525 w 2705100"/>
            <a:gd name="connsiteY5" fmla="*/ 4048125 h 4048125"/>
            <a:gd name="connsiteX6" fmla="*/ 2705100 w 2705100"/>
            <a:gd name="connsiteY6" fmla="*/ 4048125 h 4048125"/>
            <a:gd name="connsiteX7" fmla="*/ 2705100 w 2705100"/>
            <a:gd name="connsiteY7" fmla="*/ 3724275 h 4048125"/>
            <a:gd name="connsiteX8" fmla="*/ 1571625 w 2705100"/>
            <a:gd name="connsiteY8" fmla="*/ 3724275 h 4048125"/>
            <a:gd name="connsiteX9" fmla="*/ 1581150 w 2705100"/>
            <a:gd name="connsiteY9" fmla="*/ 138112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33475 w 2705100"/>
            <a:gd name="connsiteY2" fmla="*/ 1400175 h 4048125"/>
            <a:gd name="connsiteX3" fmla="*/ 1123950 w 2705100"/>
            <a:gd name="connsiteY3" fmla="*/ 3724275 h 4048125"/>
            <a:gd name="connsiteX4" fmla="*/ 0 w 2705100"/>
            <a:gd name="connsiteY4" fmla="*/ 3724275 h 4048125"/>
            <a:gd name="connsiteX5" fmla="*/ 9525 w 2705100"/>
            <a:gd name="connsiteY5" fmla="*/ 4048125 h 4048125"/>
            <a:gd name="connsiteX6" fmla="*/ 2705100 w 2705100"/>
            <a:gd name="connsiteY6" fmla="*/ 4048125 h 4048125"/>
            <a:gd name="connsiteX7" fmla="*/ 2705100 w 2705100"/>
            <a:gd name="connsiteY7" fmla="*/ 3724275 h 4048125"/>
            <a:gd name="connsiteX8" fmla="*/ 1571625 w 2705100"/>
            <a:gd name="connsiteY8" fmla="*/ 3724275 h 4048125"/>
            <a:gd name="connsiteX9" fmla="*/ 1590675 w 2705100"/>
            <a:gd name="connsiteY9" fmla="*/ 138112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33475 w 2705100"/>
            <a:gd name="connsiteY2" fmla="*/ 1400175 h 4048125"/>
            <a:gd name="connsiteX3" fmla="*/ 1123950 w 2705100"/>
            <a:gd name="connsiteY3" fmla="*/ 3724275 h 4048125"/>
            <a:gd name="connsiteX4" fmla="*/ 0 w 2705100"/>
            <a:gd name="connsiteY4" fmla="*/ 3724275 h 4048125"/>
            <a:gd name="connsiteX5" fmla="*/ 9525 w 2705100"/>
            <a:gd name="connsiteY5" fmla="*/ 4048125 h 4048125"/>
            <a:gd name="connsiteX6" fmla="*/ 2705100 w 2705100"/>
            <a:gd name="connsiteY6" fmla="*/ 4048125 h 4048125"/>
            <a:gd name="connsiteX7" fmla="*/ 2705100 w 2705100"/>
            <a:gd name="connsiteY7" fmla="*/ 3724275 h 4048125"/>
            <a:gd name="connsiteX8" fmla="*/ 1571625 w 2705100"/>
            <a:gd name="connsiteY8" fmla="*/ 3724275 h 4048125"/>
            <a:gd name="connsiteX9" fmla="*/ 1562100 w 2705100"/>
            <a:gd name="connsiteY9" fmla="*/ 140017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33475 w 2705100"/>
            <a:gd name="connsiteY2" fmla="*/ 1400175 h 4048125"/>
            <a:gd name="connsiteX3" fmla="*/ 1123950 w 2705100"/>
            <a:gd name="connsiteY3" fmla="*/ 3724275 h 4048125"/>
            <a:gd name="connsiteX4" fmla="*/ 0 w 2705100"/>
            <a:gd name="connsiteY4" fmla="*/ 3724275 h 4048125"/>
            <a:gd name="connsiteX5" fmla="*/ 9525 w 2705100"/>
            <a:gd name="connsiteY5" fmla="*/ 4048125 h 4048125"/>
            <a:gd name="connsiteX6" fmla="*/ 2705100 w 2705100"/>
            <a:gd name="connsiteY6" fmla="*/ 4048125 h 4048125"/>
            <a:gd name="connsiteX7" fmla="*/ 2705100 w 2705100"/>
            <a:gd name="connsiteY7" fmla="*/ 3724275 h 4048125"/>
            <a:gd name="connsiteX8" fmla="*/ 1571625 w 2705100"/>
            <a:gd name="connsiteY8" fmla="*/ 3724275 h 4048125"/>
            <a:gd name="connsiteX9" fmla="*/ 1571625 w 2705100"/>
            <a:gd name="connsiteY9" fmla="*/ 140017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33475 w 2705100"/>
            <a:gd name="connsiteY2" fmla="*/ 1409700 h 4048125"/>
            <a:gd name="connsiteX3" fmla="*/ 1123950 w 2705100"/>
            <a:gd name="connsiteY3" fmla="*/ 3724275 h 4048125"/>
            <a:gd name="connsiteX4" fmla="*/ 0 w 2705100"/>
            <a:gd name="connsiteY4" fmla="*/ 3724275 h 4048125"/>
            <a:gd name="connsiteX5" fmla="*/ 9525 w 2705100"/>
            <a:gd name="connsiteY5" fmla="*/ 4048125 h 4048125"/>
            <a:gd name="connsiteX6" fmla="*/ 2705100 w 2705100"/>
            <a:gd name="connsiteY6" fmla="*/ 4048125 h 4048125"/>
            <a:gd name="connsiteX7" fmla="*/ 2705100 w 2705100"/>
            <a:gd name="connsiteY7" fmla="*/ 3724275 h 4048125"/>
            <a:gd name="connsiteX8" fmla="*/ 1571625 w 2705100"/>
            <a:gd name="connsiteY8" fmla="*/ 3724275 h 4048125"/>
            <a:gd name="connsiteX9" fmla="*/ 1571625 w 2705100"/>
            <a:gd name="connsiteY9" fmla="*/ 140017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33475 w 2705100"/>
            <a:gd name="connsiteY2" fmla="*/ 1409700 h 4048125"/>
            <a:gd name="connsiteX3" fmla="*/ 1238250 w 2705100"/>
            <a:gd name="connsiteY3" fmla="*/ 3733800 h 4048125"/>
            <a:gd name="connsiteX4" fmla="*/ 0 w 2705100"/>
            <a:gd name="connsiteY4" fmla="*/ 3724275 h 4048125"/>
            <a:gd name="connsiteX5" fmla="*/ 9525 w 2705100"/>
            <a:gd name="connsiteY5" fmla="*/ 4048125 h 4048125"/>
            <a:gd name="connsiteX6" fmla="*/ 2705100 w 2705100"/>
            <a:gd name="connsiteY6" fmla="*/ 4048125 h 4048125"/>
            <a:gd name="connsiteX7" fmla="*/ 2705100 w 2705100"/>
            <a:gd name="connsiteY7" fmla="*/ 3724275 h 4048125"/>
            <a:gd name="connsiteX8" fmla="*/ 1571625 w 2705100"/>
            <a:gd name="connsiteY8" fmla="*/ 3724275 h 4048125"/>
            <a:gd name="connsiteX9" fmla="*/ 1571625 w 2705100"/>
            <a:gd name="connsiteY9" fmla="*/ 140017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33475 w 2705100"/>
            <a:gd name="connsiteY2" fmla="*/ 1409700 h 4048125"/>
            <a:gd name="connsiteX3" fmla="*/ 1114425 w 2705100"/>
            <a:gd name="connsiteY3" fmla="*/ 3733800 h 4048125"/>
            <a:gd name="connsiteX4" fmla="*/ 0 w 2705100"/>
            <a:gd name="connsiteY4" fmla="*/ 3724275 h 4048125"/>
            <a:gd name="connsiteX5" fmla="*/ 9525 w 2705100"/>
            <a:gd name="connsiteY5" fmla="*/ 4048125 h 4048125"/>
            <a:gd name="connsiteX6" fmla="*/ 2705100 w 2705100"/>
            <a:gd name="connsiteY6" fmla="*/ 4048125 h 4048125"/>
            <a:gd name="connsiteX7" fmla="*/ 2705100 w 2705100"/>
            <a:gd name="connsiteY7" fmla="*/ 3724275 h 4048125"/>
            <a:gd name="connsiteX8" fmla="*/ 1571625 w 2705100"/>
            <a:gd name="connsiteY8" fmla="*/ 3724275 h 4048125"/>
            <a:gd name="connsiteX9" fmla="*/ 1571625 w 2705100"/>
            <a:gd name="connsiteY9" fmla="*/ 140017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33475 w 2705100"/>
            <a:gd name="connsiteY2" fmla="*/ 1409700 h 4048125"/>
            <a:gd name="connsiteX3" fmla="*/ 1123950 w 2705100"/>
            <a:gd name="connsiteY3" fmla="*/ 3714750 h 4048125"/>
            <a:gd name="connsiteX4" fmla="*/ 0 w 2705100"/>
            <a:gd name="connsiteY4" fmla="*/ 3724275 h 4048125"/>
            <a:gd name="connsiteX5" fmla="*/ 9525 w 2705100"/>
            <a:gd name="connsiteY5" fmla="*/ 4048125 h 4048125"/>
            <a:gd name="connsiteX6" fmla="*/ 2705100 w 2705100"/>
            <a:gd name="connsiteY6" fmla="*/ 4048125 h 4048125"/>
            <a:gd name="connsiteX7" fmla="*/ 2705100 w 2705100"/>
            <a:gd name="connsiteY7" fmla="*/ 3724275 h 4048125"/>
            <a:gd name="connsiteX8" fmla="*/ 1571625 w 2705100"/>
            <a:gd name="connsiteY8" fmla="*/ 3724275 h 4048125"/>
            <a:gd name="connsiteX9" fmla="*/ 1571625 w 2705100"/>
            <a:gd name="connsiteY9" fmla="*/ 140017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33475 w 2705100"/>
            <a:gd name="connsiteY2" fmla="*/ 1409700 h 4048125"/>
            <a:gd name="connsiteX3" fmla="*/ 1123950 w 2705100"/>
            <a:gd name="connsiteY3" fmla="*/ 3714750 h 4048125"/>
            <a:gd name="connsiteX4" fmla="*/ 0 w 2705100"/>
            <a:gd name="connsiteY4" fmla="*/ 3714750 h 4048125"/>
            <a:gd name="connsiteX5" fmla="*/ 9525 w 2705100"/>
            <a:gd name="connsiteY5" fmla="*/ 4048125 h 4048125"/>
            <a:gd name="connsiteX6" fmla="*/ 2705100 w 2705100"/>
            <a:gd name="connsiteY6" fmla="*/ 4048125 h 4048125"/>
            <a:gd name="connsiteX7" fmla="*/ 2705100 w 2705100"/>
            <a:gd name="connsiteY7" fmla="*/ 3724275 h 4048125"/>
            <a:gd name="connsiteX8" fmla="*/ 1571625 w 2705100"/>
            <a:gd name="connsiteY8" fmla="*/ 3724275 h 4048125"/>
            <a:gd name="connsiteX9" fmla="*/ 1571625 w 2705100"/>
            <a:gd name="connsiteY9" fmla="*/ 140017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23950 w 2705100"/>
            <a:gd name="connsiteY2" fmla="*/ 1419225 h 4048125"/>
            <a:gd name="connsiteX3" fmla="*/ 1123950 w 2705100"/>
            <a:gd name="connsiteY3" fmla="*/ 3714750 h 4048125"/>
            <a:gd name="connsiteX4" fmla="*/ 0 w 2705100"/>
            <a:gd name="connsiteY4" fmla="*/ 3714750 h 4048125"/>
            <a:gd name="connsiteX5" fmla="*/ 9525 w 2705100"/>
            <a:gd name="connsiteY5" fmla="*/ 4048125 h 4048125"/>
            <a:gd name="connsiteX6" fmla="*/ 2705100 w 2705100"/>
            <a:gd name="connsiteY6" fmla="*/ 4048125 h 4048125"/>
            <a:gd name="connsiteX7" fmla="*/ 2705100 w 2705100"/>
            <a:gd name="connsiteY7" fmla="*/ 3724275 h 4048125"/>
            <a:gd name="connsiteX8" fmla="*/ 1571625 w 2705100"/>
            <a:gd name="connsiteY8" fmla="*/ 3724275 h 4048125"/>
            <a:gd name="connsiteX9" fmla="*/ 1571625 w 2705100"/>
            <a:gd name="connsiteY9" fmla="*/ 140017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09600 w 2705100"/>
            <a:gd name="connsiteY0" fmla="*/ 0 h 4048125"/>
            <a:gd name="connsiteX1" fmla="*/ 609600 w 2705100"/>
            <a:gd name="connsiteY1" fmla="*/ 1028700 h 4048125"/>
            <a:gd name="connsiteX2" fmla="*/ 1123950 w 2705100"/>
            <a:gd name="connsiteY2" fmla="*/ 1419225 h 4048125"/>
            <a:gd name="connsiteX3" fmla="*/ 1123950 w 2705100"/>
            <a:gd name="connsiteY3" fmla="*/ 3557031 h 4048125"/>
            <a:gd name="connsiteX4" fmla="*/ 0 w 2705100"/>
            <a:gd name="connsiteY4" fmla="*/ 3714750 h 4048125"/>
            <a:gd name="connsiteX5" fmla="*/ 9525 w 2705100"/>
            <a:gd name="connsiteY5" fmla="*/ 4048125 h 4048125"/>
            <a:gd name="connsiteX6" fmla="*/ 2705100 w 2705100"/>
            <a:gd name="connsiteY6" fmla="*/ 4048125 h 4048125"/>
            <a:gd name="connsiteX7" fmla="*/ 2705100 w 2705100"/>
            <a:gd name="connsiteY7" fmla="*/ 3724275 h 4048125"/>
            <a:gd name="connsiteX8" fmla="*/ 1571625 w 2705100"/>
            <a:gd name="connsiteY8" fmla="*/ 3724275 h 4048125"/>
            <a:gd name="connsiteX9" fmla="*/ 1571625 w 2705100"/>
            <a:gd name="connsiteY9" fmla="*/ 1400175 h 4048125"/>
            <a:gd name="connsiteX10" fmla="*/ 2019300 w 2705100"/>
            <a:gd name="connsiteY10" fmla="*/ 1047750 h 4048125"/>
            <a:gd name="connsiteX11" fmla="*/ 2019300 w 2705100"/>
            <a:gd name="connsiteY11" fmla="*/ 762000 h 4048125"/>
            <a:gd name="connsiteX12" fmla="*/ 866775 w 2705100"/>
            <a:gd name="connsiteY12" fmla="*/ 762000 h 4048125"/>
            <a:gd name="connsiteX13" fmla="*/ 866775 w 2705100"/>
            <a:gd name="connsiteY13" fmla="*/ 0 h 4048125"/>
            <a:gd name="connsiteX14" fmla="*/ 609600 w 2705100"/>
            <a:gd name="connsiteY14" fmla="*/ 0 h 4048125"/>
            <a:gd name="connsiteX0" fmla="*/ 619125 w 2714625"/>
            <a:gd name="connsiteY0" fmla="*/ 0 h 4048125"/>
            <a:gd name="connsiteX1" fmla="*/ 619125 w 2714625"/>
            <a:gd name="connsiteY1" fmla="*/ 1028700 h 4048125"/>
            <a:gd name="connsiteX2" fmla="*/ 1133475 w 2714625"/>
            <a:gd name="connsiteY2" fmla="*/ 1419225 h 4048125"/>
            <a:gd name="connsiteX3" fmla="*/ 1133475 w 2714625"/>
            <a:gd name="connsiteY3" fmla="*/ 3557031 h 4048125"/>
            <a:gd name="connsiteX4" fmla="*/ 0 w 2714625"/>
            <a:gd name="connsiteY4" fmla="*/ 3557031 h 4048125"/>
            <a:gd name="connsiteX5" fmla="*/ 19050 w 2714625"/>
            <a:gd name="connsiteY5" fmla="*/ 4048125 h 4048125"/>
            <a:gd name="connsiteX6" fmla="*/ 2714625 w 2714625"/>
            <a:gd name="connsiteY6" fmla="*/ 4048125 h 4048125"/>
            <a:gd name="connsiteX7" fmla="*/ 2714625 w 2714625"/>
            <a:gd name="connsiteY7" fmla="*/ 3724275 h 4048125"/>
            <a:gd name="connsiteX8" fmla="*/ 1581150 w 2714625"/>
            <a:gd name="connsiteY8" fmla="*/ 3724275 h 4048125"/>
            <a:gd name="connsiteX9" fmla="*/ 1581150 w 2714625"/>
            <a:gd name="connsiteY9" fmla="*/ 1400175 h 4048125"/>
            <a:gd name="connsiteX10" fmla="*/ 2028825 w 2714625"/>
            <a:gd name="connsiteY10" fmla="*/ 1047750 h 4048125"/>
            <a:gd name="connsiteX11" fmla="*/ 2028825 w 2714625"/>
            <a:gd name="connsiteY11" fmla="*/ 762000 h 4048125"/>
            <a:gd name="connsiteX12" fmla="*/ 876300 w 2714625"/>
            <a:gd name="connsiteY12" fmla="*/ 762000 h 4048125"/>
            <a:gd name="connsiteX13" fmla="*/ 876300 w 2714625"/>
            <a:gd name="connsiteY13" fmla="*/ 0 h 4048125"/>
            <a:gd name="connsiteX14" fmla="*/ 619125 w 2714625"/>
            <a:gd name="connsiteY14" fmla="*/ 0 h 4048125"/>
            <a:gd name="connsiteX0" fmla="*/ 600075 w 2695575"/>
            <a:gd name="connsiteY0" fmla="*/ 0 h 4048125"/>
            <a:gd name="connsiteX1" fmla="*/ 600075 w 2695575"/>
            <a:gd name="connsiteY1" fmla="*/ 1028700 h 4048125"/>
            <a:gd name="connsiteX2" fmla="*/ 1114425 w 2695575"/>
            <a:gd name="connsiteY2" fmla="*/ 1419225 h 4048125"/>
            <a:gd name="connsiteX3" fmla="*/ 1114425 w 2695575"/>
            <a:gd name="connsiteY3" fmla="*/ 3557031 h 4048125"/>
            <a:gd name="connsiteX4" fmla="*/ 9525 w 2695575"/>
            <a:gd name="connsiteY4" fmla="*/ 3557031 h 4048125"/>
            <a:gd name="connsiteX5" fmla="*/ 0 w 2695575"/>
            <a:gd name="connsiteY5" fmla="*/ 4048125 h 4048125"/>
            <a:gd name="connsiteX6" fmla="*/ 2695575 w 2695575"/>
            <a:gd name="connsiteY6" fmla="*/ 4048125 h 4048125"/>
            <a:gd name="connsiteX7" fmla="*/ 2695575 w 2695575"/>
            <a:gd name="connsiteY7" fmla="*/ 3724275 h 4048125"/>
            <a:gd name="connsiteX8" fmla="*/ 1562100 w 2695575"/>
            <a:gd name="connsiteY8" fmla="*/ 3724275 h 4048125"/>
            <a:gd name="connsiteX9" fmla="*/ 1562100 w 2695575"/>
            <a:gd name="connsiteY9" fmla="*/ 1400175 h 4048125"/>
            <a:gd name="connsiteX10" fmla="*/ 2009775 w 2695575"/>
            <a:gd name="connsiteY10" fmla="*/ 1047750 h 4048125"/>
            <a:gd name="connsiteX11" fmla="*/ 2009775 w 2695575"/>
            <a:gd name="connsiteY11" fmla="*/ 762000 h 4048125"/>
            <a:gd name="connsiteX12" fmla="*/ 857250 w 2695575"/>
            <a:gd name="connsiteY12" fmla="*/ 762000 h 4048125"/>
            <a:gd name="connsiteX13" fmla="*/ 857250 w 2695575"/>
            <a:gd name="connsiteY13" fmla="*/ 0 h 4048125"/>
            <a:gd name="connsiteX14" fmla="*/ 600075 w 2695575"/>
            <a:gd name="connsiteY14" fmla="*/ 0 h 4048125"/>
            <a:gd name="connsiteX0" fmla="*/ 600075 w 2695575"/>
            <a:gd name="connsiteY0" fmla="*/ 0 h 4048125"/>
            <a:gd name="connsiteX1" fmla="*/ 600075 w 2695575"/>
            <a:gd name="connsiteY1" fmla="*/ 1028700 h 4048125"/>
            <a:gd name="connsiteX2" fmla="*/ 1114425 w 2695575"/>
            <a:gd name="connsiteY2" fmla="*/ 1419225 h 4048125"/>
            <a:gd name="connsiteX3" fmla="*/ 1114425 w 2695575"/>
            <a:gd name="connsiteY3" fmla="*/ 3557031 h 4048125"/>
            <a:gd name="connsiteX4" fmla="*/ 0 w 2695575"/>
            <a:gd name="connsiteY4" fmla="*/ 3557031 h 4048125"/>
            <a:gd name="connsiteX5" fmla="*/ 0 w 2695575"/>
            <a:gd name="connsiteY5" fmla="*/ 4048125 h 4048125"/>
            <a:gd name="connsiteX6" fmla="*/ 2695575 w 2695575"/>
            <a:gd name="connsiteY6" fmla="*/ 4048125 h 4048125"/>
            <a:gd name="connsiteX7" fmla="*/ 2695575 w 2695575"/>
            <a:gd name="connsiteY7" fmla="*/ 3724275 h 4048125"/>
            <a:gd name="connsiteX8" fmla="*/ 1562100 w 2695575"/>
            <a:gd name="connsiteY8" fmla="*/ 3724275 h 4048125"/>
            <a:gd name="connsiteX9" fmla="*/ 1562100 w 2695575"/>
            <a:gd name="connsiteY9" fmla="*/ 1400175 h 4048125"/>
            <a:gd name="connsiteX10" fmla="*/ 2009775 w 2695575"/>
            <a:gd name="connsiteY10" fmla="*/ 1047750 h 4048125"/>
            <a:gd name="connsiteX11" fmla="*/ 2009775 w 2695575"/>
            <a:gd name="connsiteY11" fmla="*/ 762000 h 4048125"/>
            <a:gd name="connsiteX12" fmla="*/ 857250 w 2695575"/>
            <a:gd name="connsiteY12" fmla="*/ 762000 h 4048125"/>
            <a:gd name="connsiteX13" fmla="*/ 857250 w 2695575"/>
            <a:gd name="connsiteY13" fmla="*/ 0 h 4048125"/>
            <a:gd name="connsiteX14" fmla="*/ 600075 w 2695575"/>
            <a:gd name="connsiteY14" fmla="*/ 0 h 4048125"/>
            <a:gd name="connsiteX0" fmla="*/ 600075 w 2695575"/>
            <a:gd name="connsiteY0" fmla="*/ 0 h 4048125"/>
            <a:gd name="connsiteX1" fmla="*/ 600075 w 2695575"/>
            <a:gd name="connsiteY1" fmla="*/ 1028700 h 4048125"/>
            <a:gd name="connsiteX2" fmla="*/ 1114425 w 2695575"/>
            <a:gd name="connsiteY2" fmla="*/ 1419225 h 4048125"/>
            <a:gd name="connsiteX3" fmla="*/ 1114425 w 2695575"/>
            <a:gd name="connsiteY3" fmla="*/ 3557031 h 4048125"/>
            <a:gd name="connsiteX4" fmla="*/ 0 w 2695575"/>
            <a:gd name="connsiteY4" fmla="*/ 3557031 h 4048125"/>
            <a:gd name="connsiteX5" fmla="*/ 0 w 2695575"/>
            <a:gd name="connsiteY5" fmla="*/ 4048125 h 4048125"/>
            <a:gd name="connsiteX6" fmla="*/ 2695575 w 2695575"/>
            <a:gd name="connsiteY6" fmla="*/ 4048125 h 4048125"/>
            <a:gd name="connsiteX7" fmla="*/ 2695575 w 2695575"/>
            <a:gd name="connsiteY7" fmla="*/ 3724275 h 4048125"/>
            <a:gd name="connsiteX8" fmla="*/ 1562100 w 2695575"/>
            <a:gd name="connsiteY8" fmla="*/ 3545527 h 4048125"/>
            <a:gd name="connsiteX9" fmla="*/ 1562100 w 2695575"/>
            <a:gd name="connsiteY9" fmla="*/ 1400175 h 4048125"/>
            <a:gd name="connsiteX10" fmla="*/ 2009775 w 2695575"/>
            <a:gd name="connsiteY10" fmla="*/ 1047750 h 4048125"/>
            <a:gd name="connsiteX11" fmla="*/ 2009775 w 2695575"/>
            <a:gd name="connsiteY11" fmla="*/ 762000 h 4048125"/>
            <a:gd name="connsiteX12" fmla="*/ 857250 w 2695575"/>
            <a:gd name="connsiteY12" fmla="*/ 762000 h 4048125"/>
            <a:gd name="connsiteX13" fmla="*/ 857250 w 2695575"/>
            <a:gd name="connsiteY13" fmla="*/ 0 h 4048125"/>
            <a:gd name="connsiteX14" fmla="*/ 600075 w 2695575"/>
            <a:gd name="connsiteY14" fmla="*/ 0 h 4048125"/>
            <a:gd name="connsiteX0" fmla="*/ 600075 w 2695575"/>
            <a:gd name="connsiteY0" fmla="*/ 0 h 4048125"/>
            <a:gd name="connsiteX1" fmla="*/ 600075 w 2695575"/>
            <a:gd name="connsiteY1" fmla="*/ 1028700 h 4048125"/>
            <a:gd name="connsiteX2" fmla="*/ 1114425 w 2695575"/>
            <a:gd name="connsiteY2" fmla="*/ 1419225 h 4048125"/>
            <a:gd name="connsiteX3" fmla="*/ 1114425 w 2695575"/>
            <a:gd name="connsiteY3" fmla="*/ 3557031 h 4048125"/>
            <a:gd name="connsiteX4" fmla="*/ 0 w 2695575"/>
            <a:gd name="connsiteY4" fmla="*/ 3557031 h 4048125"/>
            <a:gd name="connsiteX5" fmla="*/ 0 w 2695575"/>
            <a:gd name="connsiteY5" fmla="*/ 4048125 h 4048125"/>
            <a:gd name="connsiteX6" fmla="*/ 2695575 w 2695575"/>
            <a:gd name="connsiteY6" fmla="*/ 4048125 h 4048125"/>
            <a:gd name="connsiteX7" fmla="*/ 2695575 w 2695575"/>
            <a:gd name="connsiteY7" fmla="*/ 3545527 h 4048125"/>
            <a:gd name="connsiteX8" fmla="*/ 1562100 w 2695575"/>
            <a:gd name="connsiteY8" fmla="*/ 3545527 h 4048125"/>
            <a:gd name="connsiteX9" fmla="*/ 1562100 w 2695575"/>
            <a:gd name="connsiteY9" fmla="*/ 1400175 h 4048125"/>
            <a:gd name="connsiteX10" fmla="*/ 2009775 w 2695575"/>
            <a:gd name="connsiteY10" fmla="*/ 1047750 h 4048125"/>
            <a:gd name="connsiteX11" fmla="*/ 2009775 w 2695575"/>
            <a:gd name="connsiteY11" fmla="*/ 762000 h 4048125"/>
            <a:gd name="connsiteX12" fmla="*/ 857250 w 2695575"/>
            <a:gd name="connsiteY12" fmla="*/ 762000 h 4048125"/>
            <a:gd name="connsiteX13" fmla="*/ 857250 w 2695575"/>
            <a:gd name="connsiteY13" fmla="*/ 0 h 4048125"/>
            <a:gd name="connsiteX14" fmla="*/ 600075 w 2695575"/>
            <a:gd name="connsiteY14" fmla="*/ 0 h 4048125"/>
            <a:gd name="connsiteX0" fmla="*/ 600075 w 2695575"/>
            <a:gd name="connsiteY0" fmla="*/ 473157 h 4521282"/>
            <a:gd name="connsiteX1" fmla="*/ 600075 w 2695575"/>
            <a:gd name="connsiteY1" fmla="*/ 1501857 h 4521282"/>
            <a:gd name="connsiteX2" fmla="*/ 1114425 w 2695575"/>
            <a:gd name="connsiteY2" fmla="*/ 1892382 h 4521282"/>
            <a:gd name="connsiteX3" fmla="*/ 1114425 w 2695575"/>
            <a:gd name="connsiteY3" fmla="*/ 4030188 h 4521282"/>
            <a:gd name="connsiteX4" fmla="*/ 0 w 2695575"/>
            <a:gd name="connsiteY4" fmla="*/ 4030188 h 4521282"/>
            <a:gd name="connsiteX5" fmla="*/ 0 w 2695575"/>
            <a:gd name="connsiteY5" fmla="*/ 4521282 h 4521282"/>
            <a:gd name="connsiteX6" fmla="*/ 2695575 w 2695575"/>
            <a:gd name="connsiteY6" fmla="*/ 4521282 h 4521282"/>
            <a:gd name="connsiteX7" fmla="*/ 2695575 w 2695575"/>
            <a:gd name="connsiteY7" fmla="*/ 4018684 h 4521282"/>
            <a:gd name="connsiteX8" fmla="*/ 1562100 w 2695575"/>
            <a:gd name="connsiteY8" fmla="*/ 4018684 h 4521282"/>
            <a:gd name="connsiteX9" fmla="*/ 1562100 w 2695575"/>
            <a:gd name="connsiteY9" fmla="*/ 1873332 h 4521282"/>
            <a:gd name="connsiteX10" fmla="*/ 2009775 w 2695575"/>
            <a:gd name="connsiteY10" fmla="*/ 1520907 h 4521282"/>
            <a:gd name="connsiteX11" fmla="*/ 2009775 w 2695575"/>
            <a:gd name="connsiteY11" fmla="*/ 1235157 h 4521282"/>
            <a:gd name="connsiteX12" fmla="*/ 857250 w 2695575"/>
            <a:gd name="connsiteY12" fmla="*/ 1235157 h 4521282"/>
            <a:gd name="connsiteX13" fmla="*/ 857250 w 2695575"/>
            <a:gd name="connsiteY13" fmla="*/ 0 h 4521282"/>
            <a:gd name="connsiteX14" fmla="*/ 600075 w 2695575"/>
            <a:gd name="connsiteY14" fmla="*/ 473157 h 4521282"/>
            <a:gd name="connsiteX0" fmla="*/ 600075 w 2695575"/>
            <a:gd name="connsiteY0" fmla="*/ 0 h 4521282"/>
            <a:gd name="connsiteX1" fmla="*/ 600075 w 2695575"/>
            <a:gd name="connsiteY1" fmla="*/ 1501857 h 4521282"/>
            <a:gd name="connsiteX2" fmla="*/ 1114425 w 2695575"/>
            <a:gd name="connsiteY2" fmla="*/ 1892382 h 4521282"/>
            <a:gd name="connsiteX3" fmla="*/ 1114425 w 2695575"/>
            <a:gd name="connsiteY3" fmla="*/ 4030188 h 4521282"/>
            <a:gd name="connsiteX4" fmla="*/ 0 w 2695575"/>
            <a:gd name="connsiteY4" fmla="*/ 4030188 h 4521282"/>
            <a:gd name="connsiteX5" fmla="*/ 0 w 2695575"/>
            <a:gd name="connsiteY5" fmla="*/ 4521282 h 4521282"/>
            <a:gd name="connsiteX6" fmla="*/ 2695575 w 2695575"/>
            <a:gd name="connsiteY6" fmla="*/ 4521282 h 4521282"/>
            <a:gd name="connsiteX7" fmla="*/ 2695575 w 2695575"/>
            <a:gd name="connsiteY7" fmla="*/ 4018684 h 4521282"/>
            <a:gd name="connsiteX8" fmla="*/ 1562100 w 2695575"/>
            <a:gd name="connsiteY8" fmla="*/ 4018684 h 4521282"/>
            <a:gd name="connsiteX9" fmla="*/ 1562100 w 2695575"/>
            <a:gd name="connsiteY9" fmla="*/ 1873332 h 4521282"/>
            <a:gd name="connsiteX10" fmla="*/ 2009775 w 2695575"/>
            <a:gd name="connsiteY10" fmla="*/ 1520907 h 4521282"/>
            <a:gd name="connsiteX11" fmla="*/ 2009775 w 2695575"/>
            <a:gd name="connsiteY11" fmla="*/ 1235157 h 4521282"/>
            <a:gd name="connsiteX12" fmla="*/ 857250 w 2695575"/>
            <a:gd name="connsiteY12" fmla="*/ 1235157 h 4521282"/>
            <a:gd name="connsiteX13" fmla="*/ 857250 w 2695575"/>
            <a:gd name="connsiteY13" fmla="*/ 0 h 4521282"/>
            <a:gd name="connsiteX14" fmla="*/ 600075 w 2695575"/>
            <a:gd name="connsiteY14" fmla="*/ 0 h 4521282"/>
            <a:gd name="connsiteX0" fmla="*/ 600075 w 2695575"/>
            <a:gd name="connsiteY0" fmla="*/ 0 h 4521282"/>
            <a:gd name="connsiteX1" fmla="*/ 600075 w 2695575"/>
            <a:gd name="connsiteY1" fmla="*/ 1501857 h 4521282"/>
            <a:gd name="connsiteX2" fmla="*/ 1114425 w 2695575"/>
            <a:gd name="connsiteY2" fmla="*/ 1892382 h 4521282"/>
            <a:gd name="connsiteX3" fmla="*/ 1114425 w 2695575"/>
            <a:gd name="connsiteY3" fmla="*/ 4009159 h 4521282"/>
            <a:gd name="connsiteX4" fmla="*/ 0 w 2695575"/>
            <a:gd name="connsiteY4" fmla="*/ 4030188 h 4521282"/>
            <a:gd name="connsiteX5" fmla="*/ 0 w 2695575"/>
            <a:gd name="connsiteY5" fmla="*/ 4521282 h 4521282"/>
            <a:gd name="connsiteX6" fmla="*/ 2695575 w 2695575"/>
            <a:gd name="connsiteY6" fmla="*/ 4521282 h 4521282"/>
            <a:gd name="connsiteX7" fmla="*/ 2695575 w 2695575"/>
            <a:gd name="connsiteY7" fmla="*/ 4018684 h 4521282"/>
            <a:gd name="connsiteX8" fmla="*/ 1562100 w 2695575"/>
            <a:gd name="connsiteY8" fmla="*/ 4018684 h 4521282"/>
            <a:gd name="connsiteX9" fmla="*/ 1562100 w 2695575"/>
            <a:gd name="connsiteY9" fmla="*/ 1873332 h 4521282"/>
            <a:gd name="connsiteX10" fmla="*/ 2009775 w 2695575"/>
            <a:gd name="connsiteY10" fmla="*/ 1520907 h 4521282"/>
            <a:gd name="connsiteX11" fmla="*/ 2009775 w 2695575"/>
            <a:gd name="connsiteY11" fmla="*/ 1235157 h 4521282"/>
            <a:gd name="connsiteX12" fmla="*/ 857250 w 2695575"/>
            <a:gd name="connsiteY12" fmla="*/ 1235157 h 4521282"/>
            <a:gd name="connsiteX13" fmla="*/ 857250 w 2695575"/>
            <a:gd name="connsiteY13" fmla="*/ 0 h 4521282"/>
            <a:gd name="connsiteX14" fmla="*/ 600075 w 2695575"/>
            <a:gd name="connsiteY14" fmla="*/ 0 h 4521282"/>
            <a:gd name="connsiteX0" fmla="*/ 600075 w 2695575"/>
            <a:gd name="connsiteY0" fmla="*/ 0 h 4521282"/>
            <a:gd name="connsiteX1" fmla="*/ 600075 w 2695575"/>
            <a:gd name="connsiteY1" fmla="*/ 1501857 h 4521282"/>
            <a:gd name="connsiteX2" fmla="*/ 1114425 w 2695575"/>
            <a:gd name="connsiteY2" fmla="*/ 1892382 h 4521282"/>
            <a:gd name="connsiteX3" fmla="*/ 1114425 w 2695575"/>
            <a:gd name="connsiteY3" fmla="*/ 4009159 h 4521282"/>
            <a:gd name="connsiteX4" fmla="*/ 0 w 2695575"/>
            <a:gd name="connsiteY4" fmla="*/ 4019674 h 4521282"/>
            <a:gd name="connsiteX5" fmla="*/ 0 w 2695575"/>
            <a:gd name="connsiteY5" fmla="*/ 4521282 h 4521282"/>
            <a:gd name="connsiteX6" fmla="*/ 2695575 w 2695575"/>
            <a:gd name="connsiteY6" fmla="*/ 4521282 h 4521282"/>
            <a:gd name="connsiteX7" fmla="*/ 2695575 w 2695575"/>
            <a:gd name="connsiteY7" fmla="*/ 4018684 h 4521282"/>
            <a:gd name="connsiteX8" fmla="*/ 1562100 w 2695575"/>
            <a:gd name="connsiteY8" fmla="*/ 4018684 h 4521282"/>
            <a:gd name="connsiteX9" fmla="*/ 1562100 w 2695575"/>
            <a:gd name="connsiteY9" fmla="*/ 1873332 h 4521282"/>
            <a:gd name="connsiteX10" fmla="*/ 2009775 w 2695575"/>
            <a:gd name="connsiteY10" fmla="*/ 1520907 h 4521282"/>
            <a:gd name="connsiteX11" fmla="*/ 2009775 w 2695575"/>
            <a:gd name="connsiteY11" fmla="*/ 1235157 h 4521282"/>
            <a:gd name="connsiteX12" fmla="*/ 857250 w 2695575"/>
            <a:gd name="connsiteY12" fmla="*/ 1235157 h 4521282"/>
            <a:gd name="connsiteX13" fmla="*/ 857250 w 2695575"/>
            <a:gd name="connsiteY13" fmla="*/ 0 h 4521282"/>
            <a:gd name="connsiteX14" fmla="*/ 600075 w 2695575"/>
            <a:gd name="connsiteY14" fmla="*/ 0 h 4521282"/>
            <a:gd name="connsiteX0" fmla="*/ 600075 w 2695575"/>
            <a:gd name="connsiteY0" fmla="*/ 0 h 4521282"/>
            <a:gd name="connsiteX1" fmla="*/ 600075 w 2695575"/>
            <a:gd name="connsiteY1" fmla="*/ 1501857 h 4521282"/>
            <a:gd name="connsiteX2" fmla="*/ 1114425 w 2695575"/>
            <a:gd name="connsiteY2" fmla="*/ 1892382 h 4521282"/>
            <a:gd name="connsiteX3" fmla="*/ 1114425 w 2695575"/>
            <a:gd name="connsiteY3" fmla="*/ 4009159 h 4521282"/>
            <a:gd name="connsiteX4" fmla="*/ 0 w 2695575"/>
            <a:gd name="connsiteY4" fmla="*/ 4019674 h 4521282"/>
            <a:gd name="connsiteX5" fmla="*/ 0 w 2695575"/>
            <a:gd name="connsiteY5" fmla="*/ 4521282 h 4521282"/>
            <a:gd name="connsiteX6" fmla="*/ 2695575 w 2695575"/>
            <a:gd name="connsiteY6" fmla="*/ 4521282 h 4521282"/>
            <a:gd name="connsiteX7" fmla="*/ 2695575 w 2695575"/>
            <a:gd name="connsiteY7" fmla="*/ 4018684 h 4521282"/>
            <a:gd name="connsiteX8" fmla="*/ 1562100 w 2695575"/>
            <a:gd name="connsiteY8" fmla="*/ 4018684 h 4521282"/>
            <a:gd name="connsiteX9" fmla="*/ 1562100 w 2695575"/>
            <a:gd name="connsiteY9" fmla="*/ 1873332 h 4521282"/>
            <a:gd name="connsiteX10" fmla="*/ 2009775 w 2695575"/>
            <a:gd name="connsiteY10" fmla="*/ 1520907 h 4521282"/>
            <a:gd name="connsiteX11" fmla="*/ 2009775 w 2695575"/>
            <a:gd name="connsiteY11" fmla="*/ 1235157 h 4521282"/>
            <a:gd name="connsiteX12" fmla="*/ 857250 w 2695575"/>
            <a:gd name="connsiteY12" fmla="*/ 1235157 h 4521282"/>
            <a:gd name="connsiteX13" fmla="*/ 857250 w 2695575"/>
            <a:gd name="connsiteY13" fmla="*/ 0 h 4521282"/>
            <a:gd name="connsiteX14" fmla="*/ 600075 w 2695575"/>
            <a:gd name="connsiteY14" fmla="*/ 0 h 4521282"/>
            <a:gd name="connsiteX0" fmla="*/ 600075 w 2695575"/>
            <a:gd name="connsiteY0" fmla="*/ 0 h 4521282"/>
            <a:gd name="connsiteX1" fmla="*/ 600075 w 2695575"/>
            <a:gd name="connsiteY1" fmla="*/ 1501857 h 4521282"/>
            <a:gd name="connsiteX2" fmla="*/ 1114425 w 2695575"/>
            <a:gd name="connsiteY2" fmla="*/ 1892382 h 4521282"/>
            <a:gd name="connsiteX3" fmla="*/ 1114425 w 2695575"/>
            <a:gd name="connsiteY3" fmla="*/ 4009159 h 4521282"/>
            <a:gd name="connsiteX4" fmla="*/ 0 w 2695575"/>
            <a:gd name="connsiteY4" fmla="*/ 4009159 h 4521282"/>
            <a:gd name="connsiteX5" fmla="*/ 0 w 2695575"/>
            <a:gd name="connsiteY5" fmla="*/ 4521282 h 4521282"/>
            <a:gd name="connsiteX6" fmla="*/ 2695575 w 2695575"/>
            <a:gd name="connsiteY6" fmla="*/ 4521282 h 4521282"/>
            <a:gd name="connsiteX7" fmla="*/ 2695575 w 2695575"/>
            <a:gd name="connsiteY7" fmla="*/ 4018684 h 4521282"/>
            <a:gd name="connsiteX8" fmla="*/ 1562100 w 2695575"/>
            <a:gd name="connsiteY8" fmla="*/ 4018684 h 4521282"/>
            <a:gd name="connsiteX9" fmla="*/ 1562100 w 2695575"/>
            <a:gd name="connsiteY9" fmla="*/ 1873332 h 4521282"/>
            <a:gd name="connsiteX10" fmla="*/ 2009775 w 2695575"/>
            <a:gd name="connsiteY10" fmla="*/ 1520907 h 4521282"/>
            <a:gd name="connsiteX11" fmla="*/ 2009775 w 2695575"/>
            <a:gd name="connsiteY11" fmla="*/ 1235157 h 4521282"/>
            <a:gd name="connsiteX12" fmla="*/ 857250 w 2695575"/>
            <a:gd name="connsiteY12" fmla="*/ 1235157 h 4521282"/>
            <a:gd name="connsiteX13" fmla="*/ 857250 w 2695575"/>
            <a:gd name="connsiteY13" fmla="*/ 0 h 4521282"/>
            <a:gd name="connsiteX14" fmla="*/ 600075 w 2695575"/>
            <a:gd name="connsiteY14" fmla="*/ 0 h 4521282"/>
            <a:gd name="connsiteX0" fmla="*/ 600075 w 2695575"/>
            <a:gd name="connsiteY0" fmla="*/ 0 h 4521282"/>
            <a:gd name="connsiteX1" fmla="*/ 600075 w 2695575"/>
            <a:gd name="connsiteY1" fmla="*/ 1501857 h 4521282"/>
            <a:gd name="connsiteX2" fmla="*/ 1114425 w 2695575"/>
            <a:gd name="connsiteY2" fmla="*/ 1892382 h 4521282"/>
            <a:gd name="connsiteX3" fmla="*/ 1114425 w 2695575"/>
            <a:gd name="connsiteY3" fmla="*/ 4009159 h 4521282"/>
            <a:gd name="connsiteX4" fmla="*/ 0 w 2695575"/>
            <a:gd name="connsiteY4" fmla="*/ 4009159 h 4521282"/>
            <a:gd name="connsiteX5" fmla="*/ 0 w 2695575"/>
            <a:gd name="connsiteY5" fmla="*/ 4521282 h 4521282"/>
            <a:gd name="connsiteX6" fmla="*/ 2695575 w 2695575"/>
            <a:gd name="connsiteY6" fmla="*/ 4521282 h 4521282"/>
            <a:gd name="connsiteX7" fmla="*/ 2695575 w 2695575"/>
            <a:gd name="connsiteY7" fmla="*/ 3987140 h 4521282"/>
            <a:gd name="connsiteX8" fmla="*/ 1562100 w 2695575"/>
            <a:gd name="connsiteY8" fmla="*/ 4018684 h 4521282"/>
            <a:gd name="connsiteX9" fmla="*/ 1562100 w 2695575"/>
            <a:gd name="connsiteY9" fmla="*/ 1873332 h 4521282"/>
            <a:gd name="connsiteX10" fmla="*/ 2009775 w 2695575"/>
            <a:gd name="connsiteY10" fmla="*/ 1520907 h 4521282"/>
            <a:gd name="connsiteX11" fmla="*/ 2009775 w 2695575"/>
            <a:gd name="connsiteY11" fmla="*/ 1235157 h 4521282"/>
            <a:gd name="connsiteX12" fmla="*/ 857250 w 2695575"/>
            <a:gd name="connsiteY12" fmla="*/ 1235157 h 4521282"/>
            <a:gd name="connsiteX13" fmla="*/ 857250 w 2695575"/>
            <a:gd name="connsiteY13" fmla="*/ 0 h 4521282"/>
            <a:gd name="connsiteX14" fmla="*/ 600075 w 2695575"/>
            <a:gd name="connsiteY14" fmla="*/ 0 h 4521282"/>
            <a:gd name="connsiteX0" fmla="*/ 600075 w 2695575"/>
            <a:gd name="connsiteY0" fmla="*/ 0 h 4521282"/>
            <a:gd name="connsiteX1" fmla="*/ 600075 w 2695575"/>
            <a:gd name="connsiteY1" fmla="*/ 1501857 h 4521282"/>
            <a:gd name="connsiteX2" fmla="*/ 1114425 w 2695575"/>
            <a:gd name="connsiteY2" fmla="*/ 1892382 h 4521282"/>
            <a:gd name="connsiteX3" fmla="*/ 1114425 w 2695575"/>
            <a:gd name="connsiteY3" fmla="*/ 4009159 h 4521282"/>
            <a:gd name="connsiteX4" fmla="*/ 0 w 2695575"/>
            <a:gd name="connsiteY4" fmla="*/ 4009159 h 4521282"/>
            <a:gd name="connsiteX5" fmla="*/ 0 w 2695575"/>
            <a:gd name="connsiteY5" fmla="*/ 4521282 h 4521282"/>
            <a:gd name="connsiteX6" fmla="*/ 2695575 w 2695575"/>
            <a:gd name="connsiteY6" fmla="*/ 4521282 h 4521282"/>
            <a:gd name="connsiteX7" fmla="*/ 2695575 w 2695575"/>
            <a:gd name="connsiteY7" fmla="*/ 3987140 h 4521282"/>
            <a:gd name="connsiteX8" fmla="*/ 1562100 w 2695575"/>
            <a:gd name="connsiteY8" fmla="*/ 3987140 h 4521282"/>
            <a:gd name="connsiteX9" fmla="*/ 1562100 w 2695575"/>
            <a:gd name="connsiteY9" fmla="*/ 1873332 h 4521282"/>
            <a:gd name="connsiteX10" fmla="*/ 2009775 w 2695575"/>
            <a:gd name="connsiteY10" fmla="*/ 1520907 h 4521282"/>
            <a:gd name="connsiteX11" fmla="*/ 2009775 w 2695575"/>
            <a:gd name="connsiteY11" fmla="*/ 1235157 h 4521282"/>
            <a:gd name="connsiteX12" fmla="*/ 857250 w 2695575"/>
            <a:gd name="connsiteY12" fmla="*/ 1235157 h 4521282"/>
            <a:gd name="connsiteX13" fmla="*/ 857250 w 2695575"/>
            <a:gd name="connsiteY13" fmla="*/ 0 h 4521282"/>
            <a:gd name="connsiteX14" fmla="*/ 600075 w 2695575"/>
            <a:gd name="connsiteY14" fmla="*/ 0 h 4521282"/>
            <a:gd name="connsiteX0" fmla="*/ 600075 w 2695575"/>
            <a:gd name="connsiteY0" fmla="*/ 0 h 4521282"/>
            <a:gd name="connsiteX1" fmla="*/ 600075 w 2695575"/>
            <a:gd name="connsiteY1" fmla="*/ 1501857 h 4521282"/>
            <a:gd name="connsiteX2" fmla="*/ 1114425 w 2695575"/>
            <a:gd name="connsiteY2" fmla="*/ 1892382 h 4521282"/>
            <a:gd name="connsiteX3" fmla="*/ 1114425 w 2695575"/>
            <a:gd name="connsiteY3" fmla="*/ 3977615 h 4521282"/>
            <a:gd name="connsiteX4" fmla="*/ 0 w 2695575"/>
            <a:gd name="connsiteY4" fmla="*/ 4009159 h 4521282"/>
            <a:gd name="connsiteX5" fmla="*/ 0 w 2695575"/>
            <a:gd name="connsiteY5" fmla="*/ 4521282 h 4521282"/>
            <a:gd name="connsiteX6" fmla="*/ 2695575 w 2695575"/>
            <a:gd name="connsiteY6" fmla="*/ 4521282 h 4521282"/>
            <a:gd name="connsiteX7" fmla="*/ 2695575 w 2695575"/>
            <a:gd name="connsiteY7" fmla="*/ 3987140 h 4521282"/>
            <a:gd name="connsiteX8" fmla="*/ 1562100 w 2695575"/>
            <a:gd name="connsiteY8" fmla="*/ 3987140 h 4521282"/>
            <a:gd name="connsiteX9" fmla="*/ 1562100 w 2695575"/>
            <a:gd name="connsiteY9" fmla="*/ 1873332 h 4521282"/>
            <a:gd name="connsiteX10" fmla="*/ 2009775 w 2695575"/>
            <a:gd name="connsiteY10" fmla="*/ 1520907 h 4521282"/>
            <a:gd name="connsiteX11" fmla="*/ 2009775 w 2695575"/>
            <a:gd name="connsiteY11" fmla="*/ 1235157 h 4521282"/>
            <a:gd name="connsiteX12" fmla="*/ 857250 w 2695575"/>
            <a:gd name="connsiteY12" fmla="*/ 1235157 h 4521282"/>
            <a:gd name="connsiteX13" fmla="*/ 857250 w 2695575"/>
            <a:gd name="connsiteY13" fmla="*/ 0 h 4521282"/>
            <a:gd name="connsiteX14" fmla="*/ 600075 w 2695575"/>
            <a:gd name="connsiteY14" fmla="*/ 0 h 4521282"/>
            <a:gd name="connsiteX0" fmla="*/ 600075 w 2695575"/>
            <a:gd name="connsiteY0" fmla="*/ 0 h 4521282"/>
            <a:gd name="connsiteX1" fmla="*/ 600075 w 2695575"/>
            <a:gd name="connsiteY1" fmla="*/ 1501857 h 4521282"/>
            <a:gd name="connsiteX2" fmla="*/ 1114425 w 2695575"/>
            <a:gd name="connsiteY2" fmla="*/ 1892382 h 4521282"/>
            <a:gd name="connsiteX3" fmla="*/ 1114425 w 2695575"/>
            <a:gd name="connsiteY3" fmla="*/ 3977615 h 4521282"/>
            <a:gd name="connsiteX4" fmla="*/ 0 w 2695575"/>
            <a:gd name="connsiteY4" fmla="*/ 3977615 h 4521282"/>
            <a:gd name="connsiteX5" fmla="*/ 0 w 2695575"/>
            <a:gd name="connsiteY5" fmla="*/ 4521282 h 4521282"/>
            <a:gd name="connsiteX6" fmla="*/ 2695575 w 2695575"/>
            <a:gd name="connsiteY6" fmla="*/ 4521282 h 4521282"/>
            <a:gd name="connsiteX7" fmla="*/ 2695575 w 2695575"/>
            <a:gd name="connsiteY7" fmla="*/ 3987140 h 4521282"/>
            <a:gd name="connsiteX8" fmla="*/ 1562100 w 2695575"/>
            <a:gd name="connsiteY8" fmla="*/ 3987140 h 4521282"/>
            <a:gd name="connsiteX9" fmla="*/ 1562100 w 2695575"/>
            <a:gd name="connsiteY9" fmla="*/ 1873332 h 4521282"/>
            <a:gd name="connsiteX10" fmla="*/ 2009775 w 2695575"/>
            <a:gd name="connsiteY10" fmla="*/ 1520907 h 4521282"/>
            <a:gd name="connsiteX11" fmla="*/ 2009775 w 2695575"/>
            <a:gd name="connsiteY11" fmla="*/ 1235157 h 4521282"/>
            <a:gd name="connsiteX12" fmla="*/ 857250 w 2695575"/>
            <a:gd name="connsiteY12" fmla="*/ 1235157 h 4521282"/>
            <a:gd name="connsiteX13" fmla="*/ 857250 w 2695575"/>
            <a:gd name="connsiteY13" fmla="*/ 0 h 4521282"/>
            <a:gd name="connsiteX14" fmla="*/ 600075 w 2695575"/>
            <a:gd name="connsiteY14" fmla="*/ 0 h 4521282"/>
            <a:gd name="connsiteX0" fmla="*/ 600075 w 2695575"/>
            <a:gd name="connsiteY0" fmla="*/ 0 h 4615913"/>
            <a:gd name="connsiteX1" fmla="*/ 600075 w 2695575"/>
            <a:gd name="connsiteY1" fmla="*/ 1501857 h 4615913"/>
            <a:gd name="connsiteX2" fmla="*/ 1114425 w 2695575"/>
            <a:gd name="connsiteY2" fmla="*/ 1892382 h 4615913"/>
            <a:gd name="connsiteX3" fmla="*/ 1114425 w 2695575"/>
            <a:gd name="connsiteY3" fmla="*/ 3977615 h 4615913"/>
            <a:gd name="connsiteX4" fmla="*/ 0 w 2695575"/>
            <a:gd name="connsiteY4" fmla="*/ 3977615 h 4615913"/>
            <a:gd name="connsiteX5" fmla="*/ 0 w 2695575"/>
            <a:gd name="connsiteY5" fmla="*/ 4521282 h 4615913"/>
            <a:gd name="connsiteX6" fmla="*/ 2695575 w 2695575"/>
            <a:gd name="connsiteY6" fmla="*/ 4615913 h 4615913"/>
            <a:gd name="connsiteX7" fmla="*/ 2695575 w 2695575"/>
            <a:gd name="connsiteY7" fmla="*/ 3987140 h 4615913"/>
            <a:gd name="connsiteX8" fmla="*/ 1562100 w 2695575"/>
            <a:gd name="connsiteY8" fmla="*/ 3987140 h 4615913"/>
            <a:gd name="connsiteX9" fmla="*/ 1562100 w 2695575"/>
            <a:gd name="connsiteY9" fmla="*/ 1873332 h 4615913"/>
            <a:gd name="connsiteX10" fmla="*/ 2009775 w 2695575"/>
            <a:gd name="connsiteY10" fmla="*/ 1520907 h 4615913"/>
            <a:gd name="connsiteX11" fmla="*/ 2009775 w 2695575"/>
            <a:gd name="connsiteY11" fmla="*/ 1235157 h 4615913"/>
            <a:gd name="connsiteX12" fmla="*/ 857250 w 2695575"/>
            <a:gd name="connsiteY12" fmla="*/ 1235157 h 4615913"/>
            <a:gd name="connsiteX13" fmla="*/ 857250 w 2695575"/>
            <a:gd name="connsiteY13" fmla="*/ 0 h 4615913"/>
            <a:gd name="connsiteX14" fmla="*/ 600075 w 2695575"/>
            <a:gd name="connsiteY14" fmla="*/ 0 h 4615913"/>
            <a:gd name="connsiteX0" fmla="*/ 600075 w 2695575"/>
            <a:gd name="connsiteY0" fmla="*/ 0 h 4615914"/>
            <a:gd name="connsiteX1" fmla="*/ 600075 w 2695575"/>
            <a:gd name="connsiteY1" fmla="*/ 1501857 h 4615914"/>
            <a:gd name="connsiteX2" fmla="*/ 1114425 w 2695575"/>
            <a:gd name="connsiteY2" fmla="*/ 1892382 h 4615914"/>
            <a:gd name="connsiteX3" fmla="*/ 1114425 w 2695575"/>
            <a:gd name="connsiteY3" fmla="*/ 3977615 h 4615914"/>
            <a:gd name="connsiteX4" fmla="*/ 0 w 2695575"/>
            <a:gd name="connsiteY4" fmla="*/ 3977615 h 4615914"/>
            <a:gd name="connsiteX5" fmla="*/ 0 w 2695575"/>
            <a:gd name="connsiteY5" fmla="*/ 4615914 h 4615914"/>
            <a:gd name="connsiteX6" fmla="*/ 2695575 w 2695575"/>
            <a:gd name="connsiteY6" fmla="*/ 4615913 h 4615914"/>
            <a:gd name="connsiteX7" fmla="*/ 2695575 w 2695575"/>
            <a:gd name="connsiteY7" fmla="*/ 3987140 h 4615914"/>
            <a:gd name="connsiteX8" fmla="*/ 1562100 w 2695575"/>
            <a:gd name="connsiteY8" fmla="*/ 3987140 h 4615914"/>
            <a:gd name="connsiteX9" fmla="*/ 1562100 w 2695575"/>
            <a:gd name="connsiteY9" fmla="*/ 1873332 h 4615914"/>
            <a:gd name="connsiteX10" fmla="*/ 2009775 w 2695575"/>
            <a:gd name="connsiteY10" fmla="*/ 1520907 h 4615914"/>
            <a:gd name="connsiteX11" fmla="*/ 2009775 w 2695575"/>
            <a:gd name="connsiteY11" fmla="*/ 1235157 h 4615914"/>
            <a:gd name="connsiteX12" fmla="*/ 857250 w 2695575"/>
            <a:gd name="connsiteY12" fmla="*/ 1235157 h 4615914"/>
            <a:gd name="connsiteX13" fmla="*/ 857250 w 2695575"/>
            <a:gd name="connsiteY13" fmla="*/ 0 h 4615914"/>
            <a:gd name="connsiteX14" fmla="*/ 600075 w 2695575"/>
            <a:gd name="connsiteY14" fmla="*/ 0 h 4615914"/>
            <a:gd name="connsiteX0" fmla="*/ 600075 w 2695575"/>
            <a:gd name="connsiteY0" fmla="*/ 0 h 4615914"/>
            <a:gd name="connsiteX1" fmla="*/ 600075 w 2695575"/>
            <a:gd name="connsiteY1" fmla="*/ 1512372 h 4615914"/>
            <a:gd name="connsiteX2" fmla="*/ 1114425 w 2695575"/>
            <a:gd name="connsiteY2" fmla="*/ 1892382 h 4615914"/>
            <a:gd name="connsiteX3" fmla="*/ 1114425 w 2695575"/>
            <a:gd name="connsiteY3" fmla="*/ 3977615 h 4615914"/>
            <a:gd name="connsiteX4" fmla="*/ 0 w 2695575"/>
            <a:gd name="connsiteY4" fmla="*/ 3977615 h 4615914"/>
            <a:gd name="connsiteX5" fmla="*/ 0 w 2695575"/>
            <a:gd name="connsiteY5" fmla="*/ 4615914 h 4615914"/>
            <a:gd name="connsiteX6" fmla="*/ 2695575 w 2695575"/>
            <a:gd name="connsiteY6" fmla="*/ 4615913 h 4615914"/>
            <a:gd name="connsiteX7" fmla="*/ 2695575 w 2695575"/>
            <a:gd name="connsiteY7" fmla="*/ 3987140 h 4615914"/>
            <a:gd name="connsiteX8" fmla="*/ 1562100 w 2695575"/>
            <a:gd name="connsiteY8" fmla="*/ 3987140 h 4615914"/>
            <a:gd name="connsiteX9" fmla="*/ 1562100 w 2695575"/>
            <a:gd name="connsiteY9" fmla="*/ 1873332 h 4615914"/>
            <a:gd name="connsiteX10" fmla="*/ 2009775 w 2695575"/>
            <a:gd name="connsiteY10" fmla="*/ 1520907 h 4615914"/>
            <a:gd name="connsiteX11" fmla="*/ 2009775 w 2695575"/>
            <a:gd name="connsiteY11" fmla="*/ 1235157 h 4615914"/>
            <a:gd name="connsiteX12" fmla="*/ 857250 w 2695575"/>
            <a:gd name="connsiteY12" fmla="*/ 1235157 h 4615914"/>
            <a:gd name="connsiteX13" fmla="*/ 857250 w 2695575"/>
            <a:gd name="connsiteY13" fmla="*/ 0 h 4615914"/>
            <a:gd name="connsiteX14" fmla="*/ 600075 w 2695575"/>
            <a:gd name="connsiteY14" fmla="*/ 0 h 4615914"/>
            <a:gd name="connsiteX0" fmla="*/ 600075 w 2695575"/>
            <a:gd name="connsiteY0" fmla="*/ 0 h 4615914"/>
            <a:gd name="connsiteX1" fmla="*/ 600075 w 2695575"/>
            <a:gd name="connsiteY1" fmla="*/ 1533401 h 4615914"/>
            <a:gd name="connsiteX2" fmla="*/ 1114425 w 2695575"/>
            <a:gd name="connsiteY2" fmla="*/ 1892382 h 4615914"/>
            <a:gd name="connsiteX3" fmla="*/ 1114425 w 2695575"/>
            <a:gd name="connsiteY3" fmla="*/ 3977615 h 4615914"/>
            <a:gd name="connsiteX4" fmla="*/ 0 w 2695575"/>
            <a:gd name="connsiteY4" fmla="*/ 3977615 h 4615914"/>
            <a:gd name="connsiteX5" fmla="*/ 0 w 2695575"/>
            <a:gd name="connsiteY5" fmla="*/ 4615914 h 4615914"/>
            <a:gd name="connsiteX6" fmla="*/ 2695575 w 2695575"/>
            <a:gd name="connsiteY6" fmla="*/ 4615913 h 4615914"/>
            <a:gd name="connsiteX7" fmla="*/ 2695575 w 2695575"/>
            <a:gd name="connsiteY7" fmla="*/ 3987140 h 4615914"/>
            <a:gd name="connsiteX8" fmla="*/ 1562100 w 2695575"/>
            <a:gd name="connsiteY8" fmla="*/ 3987140 h 4615914"/>
            <a:gd name="connsiteX9" fmla="*/ 1562100 w 2695575"/>
            <a:gd name="connsiteY9" fmla="*/ 1873332 h 4615914"/>
            <a:gd name="connsiteX10" fmla="*/ 2009775 w 2695575"/>
            <a:gd name="connsiteY10" fmla="*/ 1520907 h 4615914"/>
            <a:gd name="connsiteX11" fmla="*/ 2009775 w 2695575"/>
            <a:gd name="connsiteY11" fmla="*/ 1235157 h 4615914"/>
            <a:gd name="connsiteX12" fmla="*/ 857250 w 2695575"/>
            <a:gd name="connsiteY12" fmla="*/ 1235157 h 4615914"/>
            <a:gd name="connsiteX13" fmla="*/ 857250 w 2695575"/>
            <a:gd name="connsiteY13" fmla="*/ 0 h 4615914"/>
            <a:gd name="connsiteX14" fmla="*/ 600075 w 2695575"/>
            <a:gd name="connsiteY14" fmla="*/ 0 h 4615914"/>
            <a:gd name="connsiteX0" fmla="*/ 600075 w 2695575"/>
            <a:gd name="connsiteY0" fmla="*/ 0 h 4615914"/>
            <a:gd name="connsiteX1" fmla="*/ 600075 w 2695575"/>
            <a:gd name="connsiteY1" fmla="*/ 1533401 h 4615914"/>
            <a:gd name="connsiteX2" fmla="*/ 1114425 w 2695575"/>
            <a:gd name="connsiteY2" fmla="*/ 1892382 h 4615914"/>
            <a:gd name="connsiteX3" fmla="*/ 1114425 w 2695575"/>
            <a:gd name="connsiteY3" fmla="*/ 3977615 h 4615914"/>
            <a:gd name="connsiteX4" fmla="*/ 0 w 2695575"/>
            <a:gd name="connsiteY4" fmla="*/ 3977615 h 4615914"/>
            <a:gd name="connsiteX5" fmla="*/ 0 w 2695575"/>
            <a:gd name="connsiteY5" fmla="*/ 4615914 h 4615914"/>
            <a:gd name="connsiteX6" fmla="*/ 2695575 w 2695575"/>
            <a:gd name="connsiteY6" fmla="*/ 4615913 h 4615914"/>
            <a:gd name="connsiteX7" fmla="*/ 2695575 w 2695575"/>
            <a:gd name="connsiteY7" fmla="*/ 3987140 h 4615914"/>
            <a:gd name="connsiteX8" fmla="*/ 1562100 w 2695575"/>
            <a:gd name="connsiteY8" fmla="*/ 3987140 h 4615914"/>
            <a:gd name="connsiteX9" fmla="*/ 1562100 w 2695575"/>
            <a:gd name="connsiteY9" fmla="*/ 1904876 h 4615914"/>
            <a:gd name="connsiteX10" fmla="*/ 2009775 w 2695575"/>
            <a:gd name="connsiteY10" fmla="*/ 1520907 h 4615914"/>
            <a:gd name="connsiteX11" fmla="*/ 2009775 w 2695575"/>
            <a:gd name="connsiteY11" fmla="*/ 1235157 h 4615914"/>
            <a:gd name="connsiteX12" fmla="*/ 857250 w 2695575"/>
            <a:gd name="connsiteY12" fmla="*/ 1235157 h 4615914"/>
            <a:gd name="connsiteX13" fmla="*/ 857250 w 2695575"/>
            <a:gd name="connsiteY13" fmla="*/ 0 h 4615914"/>
            <a:gd name="connsiteX14" fmla="*/ 600075 w 2695575"/>
            <a:gd name="connsiteY14" fmla="*/ 0 h 4615914"/>
            <a:gd name="connsiteX0" fmla="*/ 600075 w 2695575"/>
            <a:gd name="connsiteY0" fmla="*/ 0 h 4615914"/>
            <a:gd name="connsiteX1" fmla="*/ 600075 w 2695575"/>
            <a:gd name="connsiteY1" fmla="*/ 1533401 h 4615914"/>
            <a:gd name="connsiteX2" fmla="*/ 1114425 w 2695575"/>
            <a:gd name="connsiteY2" fmla="*/ 1892382 h 4615914"/>
            <a:gd name="connsiteX3" fmla="*/ 1114425 w 2695575"/>
            <a:gd name="connsiteY3" fmla="*/ 3977615 h 4615914"/>
            <a:gd name="connsiteX4" fmla="*/ 0 w 2695575"/>
            <a:gd name="connsiteY4" fmla="*/ 3977615 h 4615914"/>
            <a:gd name="connsiteX5" fmla="*/ 0 w 2695575"/>
            <a:gd name="connsiteY5" fmla="*/ 4615914 h 4615914"/>
            <a:gd name="connsiteX6" fmla="*/ 2695575 w 2695575"/>
            <a:gd name="connsiteY6" fmla="*/ 4615913 h 4615914"/>
            <a:gd name="connsiteX7" fmla="*/ 2695575 w 2695575"/>
            <a:gd name="connsiteY7" fmla="*/ 3987140 h 4615914"/>
            <a:gd name="connsiteX8" fmla="*/ 1562100 w 2695575"/>
            <a:gd name="connsiteY8" fmla="*/ 3987140 h 4615914"/>
            <a:gd name="connsiteX9" fmla="*/ 1562100 w 2695575"/>
            <a:gd name="connsiteY9" fmla="*/ 1894361 h 4615914"/>
            <a:gd name="connsiteX10" fmla="*/ 2009775 w 2695575"/>
            <a:gd name="connsiteY10" fmla="*/ 1520907 h 4615914"/>
            <a:gd name="connsiteX11" fmla="*/ 2009775 w 2695575"/>
            <a:gd name="connsiteY11" fmla="*/ 1235157 h 4615914"/>
            <a:gd name="connsiteX12" fmla="*/ 857250 w 2695575"/>
            <a:gd name="connsiteY12" fmla="*/ 1235157 h 4615914"/>
            <a:gd name="connsiteX13" fmla="*/ 857250 w 2695575"/>
            <a:gd name="connsiteY13" fmla="*/ 0 h 4615914"/>
            <a:gd name="connsiteX14" fmla="*/ 600075 w 2695575"/>
            <a:gd name="connsiteY14" fmla="*/ 0 h 4615914"/>
            <a:gd name="connsiteX0" fmla="*/ 857250 w 2695575"/>
            <a:gd name="connsiteY0" fmla="*/ 0 h 4615914"/>
            <a:gd name="connsiteX1" fmla="*/ 600075 w 2695575"/>
            <a:gd name="connsiteY1" fmla="*/ 0 h 4615914"/>
            <a:gd name="connsiteX2" fmla="*/ 600075 w 2695575"/>
            <a:gd name="connsiteY2" fmla="*/ 1533401 h 4615914"/>
            <a:gd name="connsiteX3" fmla="*/ 1114425 w 2695575"/>
            <a:gd name="connsiteY3" fmla="*/ 1892382 h 4615914"/>
            <a:gd name="connsiteX4" fmla="*/ 1114425 w 2695575"/>
            <a:gd name="connsiteY4" fmla="*/ 3977615 h 4615914"/>
            <a:gd name="connsiteX5" fmla="*/ 0 w 2695575"/>
            <a:gd name="connsiteY5" fmla="*/ 3977615 h 4615914"/>
            <a:gd name="connsiteX6" fmla="*/ 0 w 2695575"/>
            <a:gd name="connsiteY6" fmla="*/ 4615914 h 4615914"/>
            <a:gd name="connsiteX7" fmla="*/ 2695575 w 2695575"/>
            <a:gd name="connsiteY7" fmla="*/ 4615913 h 4615914"/>
            <a:gd name="connsiteX8" fmla="*/ 2695575 w 2695575"/>
            <a:gd name="connsiteY8" fmla="*/ 3987140 h 4615914"/>
            <a:gd name="connsiteX9" fmla="*/ 1562100 w 2695575"/>
            <a:gd name="connsiteY9" fmla="*/ 3987140 h 4615914"/>
            <a:gd name="connsiteX10" fmla="*/ 1562100 w 2695575"/>
            <a:gd name="connsiteY10" fmla="*/ 1894361 h 4615914"/>
            <a:gd name="connsiteX11" fmla="*/ 2009775 w 2695575"/>
            <a:gd name="connsiteY11" fmla="*/ 1520907 h 4615914"/>
            <a:gd name="connsiteX12" fmla="*/ 2009775 w 2695575"/>
            <a:gd name="connsiteY12" fmla="*/ 1235157 h 4615914"/>
            <a:gd name="connsiteX13" fmla="*/ 857250 w 2695575"/>
            <a:gd name="connsiteY13" fmla="*/ 1235157 h 4615914"/>
            <a:gd name="connsiteX14" fmla="*/ 948690 w 2695575"/>
            <a:gd name="connsiteY14" fmla="*/ 100940 h 4615914"/>
            <a:gd name="connsiteX0" fmla="*/ 857250 w 2695575"/>
            <a:gd name="connsiteY0" fmla="*/ 0 h 4615914"/>
            <a:gd name="connsiteX1" fmla="*/ 600075 w 2695575"/>
            <a:gd name="connsiteY1" fmla="*/ 0 h 4615914"/>
            <a:gd name="connsiteX2" fmla="*/ 600075 w 2695575"/>
            <a:gd name="connsiteY2" fmla="*/ 1533401 h 4615914"/>
            <a:gd name="connsiteX3" fmla="*/ 1114425 w 2695575"/>
            <a:gd name="connsiteY3" fmla="*/ 1892382 h 4615914"/>
            <a:gd name="connsiteX4" fmla="*/ 1114425 w 2695575"/>
            <a:gd name="connsiteY4" fmla="*/ 3977615 h 4615914"/>
            <a:gd name="connsiteX5" fmla="*/ 0 w 2695575"/>
            <a:gd name="connsiteY5" fmla="*/ 3977615 h 4615914"/>
            <a:gd name="connsiteX6" fmla="*/ 0 w 2695575"/>
            <a:gd name="connsiteY6" fmla="*/ 4615914 h 4615914"/>
            <a:gd name="connsiteX7" fmla="*/ 2695575 w 2695575"/>
            <a:gd name="connsiteY7" fmla="*/ 4615913 h 4615914"/>
            <a:gd name="connsiteX8" fmla="*/ 2695575 w 2695575"/>
            <a:gd name="connsiteY8" fmla="*/ 3987140 h 4615914"/>
            <a:gd name="connsiteX9" fmla="*/ 1562100 w 2695575"/>
            <a:gd name="connsiteY9" fmla="*/ 3987140 h 4615914"/>
            <a:gd name="connsiteX10" fmla="*/ 1562100 w 2695575"/>
            <a:gd name="connsiteY10" fmla="*/ 1894361 h 4615914"/>
            <a:gd name="connsiteX11" fmla="*/ 2009775 w 2695575"/>
            <a:gd name="connsiteY11" fmla="*/ 1520907 h 4615914"/>
            <a:gd name="connsiteX12" fmla="*/ 2009775 w 2695575"/>
            <a:gd name="connsiteY12" fmla="*/ 1235157 h 4615914"/>
            <a:gd name="connsiteX13" fmla="*/ 857250 w 2695575"/>
            <a:gd name="connsiteY13" fmla="*/ 1235157 h 4615914"/>
            <a:gd name="connsiteX0" fmla="*/ 857250 w 2695575"/>
            <a:gd name="connsiteY0" fmla="*/ 0 h 4615914"/>
            <a:gd name="connsiteX1" fmla="*/ 600075 w 2695575"/>
            <a:gd name="connsiteY1" fmla="*/ 0 h 4615914"/>
            <a:gd name="connsiteX2" fmla="*/ 600075 w 2695575"/>
            <a:gd name="connsiteY2" fmla="*/ 1533401 h 4615914"/>
            <a:gd name="connsiteX3" fmla="*/ 1114425 w 2695575"/>
            <a:gd name="connsiteY3" fmla="*/ 1892382 h 4615914"/>
            <a:gd name="connsiteX4" fmla="*/ 1114425 w 2695575"/>
            <a:gd name="connsiteY4" fmla="*/ 3977615 h 4615914"/>
            <a:gd name="connsiteX5" fmla="*/ 0 w 2695575"/>
            <a:gd name="connsiteY5" fmla="*/ 3977615 h 4615914"/>
            <a:gd name="connsiteX6" fmla="*/ 0 w 2695575"/>
            <a:gd name="connsiteY6" fmla="*/ 4615914 h 4615914"/>
            <a:gd name="connsiteX7" fmla="*/ 2695575 w 2695575"/>
            <a:gd name="connsiteY7" fmla="*/ 4615913 h 4615914"/>
            <a:gd name="connsiteX8" fmla="*/ 2695575 w 2695575"/>
            <a:gd name="connsiteY8" fmla="*/ 3987140 h 4615914"/>
            <a:gd name="connsiteX9" fmla="*/ 1562100 w 2695575"/>
            <a:gd name="connsiteY9" fmla="*/ 3987140 h 4615914"/>
            <a:gd name="connsiteX10" fmla="*/ 1562100 w 2695575"/>
            <a:gd name="connsiteY10" fmla="*/ 1894361 h 4615914"/>
            <a:gd name="connsiteX11" fmla="*/ 2009775 w 2695575"/>
            <a:gd name="connsiteY11" fmla="*/ 1520907 h 4615914"/>
            <a:gd name="connsiteX12" fmla="*/ 2009775 w 2695575"/>
            <a:gd name="connsiteY12" fmla="*/ 1235157 h 4615914"/>
            <a:gd name="connsiteX0" fmla="*/ 857250 w 2695575"/>
            <a:gd name="connsiteY0" fmla="*/ 0 h 4615914"/>
            <a:gd name="connsiteX1" fmla="*/ 600075 w 2695575"/>
            <a:gd name="connsiteY1" fmla="*/ 0 h 4615914"/>
            <a:gd name="connsiteX2" fmla="*/ 600075 w 2695575"/>
            <a:gd name="connsiteY2" fmla="*/ 1533401 h 4615914"/>
            <a:gd name="connsiteX3" fmla="*/ 1114425 w 2695575"/>
            <a:gd name="connsiteY3" fmla="*/ 1892382 h 4615914"/>
            <a:gd name="connsiteX4" fmla="*/ 1114425 w 2695575"/>
            <a:gd name="connsiteY4" fmla="*/ 3977615 h 4615914"/>
            <a:gd name="connsiteX5" fmla="*/ 0 w 2695575"/>
            <a:gd name="connsiteY5" fmla="*/ 3977615 h 4615914"/>
            <a:gd name="connsiteX6" fmla="*/ 0 w 2695575"/>
            <a:gd name="connsiteY6" fmla="*/ 4615914 h 4615914"/>
            <a:gd name="connsiteX7" fmla="*/ 2695575 w 2695575"/>
            <a:gd name="connsiteY7" fmla="*/ 4615913 h 4615914"/>
            <a:gd name="connsiteX8" fmla="*/ 2695575 w 2695575"/>
            <a:gd name="connsiteY8" fmla="*/ 3987140 h 4615914"/>
            <a:gd name="connsiteX9" fmla="*/ 1562100 w 2695575"/>
            <a:gd name="connsiteY9" fmla="*/ 3987140 h 4615914"/>
            <a:gd name="connsiteX10" fmla="*/ 1562100 w 2695575"/>
            <a:gd name="connsiteY10" fmla="*/ 1894361 h 4615914"/>
            <a:gd name="connsiteX11" fmla="*/ 2009775 w 2695575"/>
            <a:gd name="connsiteY11" fmla="*/ 1520907 h 4615914"/>
            <a:gd name="connsiteX0" fmla="*/ 857250 w 2695575"/>
            <a:gd name="connsiteY0" fmla="*/ 0 h 4615914"/>
            <a:gd name="connsiteX1" fmla="*/ 600075 w 2695575"/>
            <a:gd name="connsiteY1" fmla="*/ 0 h 4615914"/>
            <a:gd name="connsiteX2" fmla="*/ 600075 w 2695575"/>
            <a:gd name="connsiteY2" fmla="*/ 1533401 h 4615914"/>
            <a:gd name="connsiteX3" fmla="*/ 1114425 w 2695575"/>
            <a:gd name="connsiteY3" fmla="*/ 1892382 h 4615914"/>
            <a:gd name="connsiteX4" fmla="*/ 1114425 w 2695575"/>
            <a:gd name="connsiteY4" fmla="*/ 3977615 h 4615914"/>
            <a:gd name="connsiteX5" fmla="*/ 0 w 2695575"/>
            <a:gd name="connsiteY5" fmla="*/ 3977615 h 4615914"/>
            <a:gd name="connsiteX6" fmla="*/ 0 w 2695575"/>
            <a:gd name="connsiteY6" fmla="*/ 4615914 h 4615914"/>
            <a:gd name="connsiteX7" fmla="*/ 2695575 w 2695575"/>
            <a:gd name="connsiteY7" fmla="*/ 4615913 h 4615914"/>
            <a:gd name="connsiteX8" fmla="*/ 2695575 w 2695575"/>
            <a:gd name="connsiteY8" fmla="*/ 3987140 h 4615914"/>
            <a:gd name="connsiteX9" fmla="*/ 1562100 w 2695575"/>
            <a:gd name="connsiteY9" fmla="*/ 3987140 h 4615914"/>
            <a:gd name="connsiteX10" fmla="*/ 1562100 w 2695575"/>
            <a:gd name="connsiteY10" fmla="*/ 1894361 h 4615914"/>
            <a:gd name="connsiteX0" fmla="*/ 600075 w 2695575"/>
            <a:gd name="connsiteY0" fmla="*/ 0 h 4615914"/>
            <a:gd name="connsiteX1" fmla="*/ 600075 w 2695575"/>
            <a:gd name="connsiteY1" fmla="*/ 1533401 h 4615914"/>
            <a:gd name="connsiteX2" fmla="*/ 1114425 w 2695575"/>
            <a:gd name="connsiteY2" fmla="*/ 1892382 h 4615914"/>
            <a:gd name="connsiteX3" fmla="*/ 1114425 w 2695575"/>
            <a:gd name="connsiteY3" fmla="*/ 3977615 h 4615914"/>
            <a:gd name="connsiteX4" fmla="*/ 0 w 2695575"/>
            <a:gd name="connsiteY4" fmla="*/ 3977615 h 4615914"/>
            <a:gd name="connsiteX5" fmla="*/ 0 w 2695575"/>
            <a:gd name="connsiteY5" fmla="*/ 4615914 h 4615914"/>
            <a:gd name="connsiteX6" fmla="*/ 2695575 w 2695575"/>
            <a:gd name="connsiteY6" fmla="*/ 4615913 h 4615914"/>
            <a:gd name="connsiteX7" fmla="*/ 2695575 w 2695575"/>
            <a:gd name="connsiteY7" fmla="*/ 3987140 h 4615914"/>
            <a:gd name="connsiteX8" fmla="*/ 1562100 w 2695575"/>
            <a:gd name="connsiteY8" fmla="*/ 3987140 h 4615914"/>
            <a:gd name="connsiteX9" fmla="*/ 1562100 w 2695575"/>
            <a:gd name="connsiteY9" fmla="*/ 1894361 h 4615914"/>
            <a:gd name="connsiteX0" fmla="*/ 600075 w 2695575"/>
            <a:gd name="connsiteY0" fmla="*/ 0 h 3082513"/>
            <a:gd name="connsiteX1" fmla="*/ 1114425 w 2695575"/>
            <a:gd name="connsiteY1" fmla="*/ 358981 h 3082513"/>
            <a:gd name="connsiteX2" fmla="*/ 1114425 w 2695575"/>
            <a:gd name="connsiteY2" fmla="*/ 2444214 h 3082513"/>
            <a:gd name="connsiteX3" fmla="*/ 0 w 2695575"/>
            <a:gd name="connsiteY3" fmla="*/ 2444214 h 3082513"/>
            <a:gd name="connsiteX4" fmla="*/ 0 w 2695575"/>
            <a:gd name="connsiteY4" fmla="*/ 3082513 h 3082513"/>
            <a:gd name="connsiteX5" fmla="*/ 2695575 w 2695575"/>
            <a:gd name="connsiteY5" fmla="*/ 3082512 h 3082513"/>
            <a:gd name="connsiteX6" fmla="*/ 2695575 w 2695575"/>
            <a:gd name="connsiteY6" fmla="*/ 2453739 h 3082513"/>
            <a:gd name="connsiteX7" fmla="*/ 1562100 w 2695575"/>
            <a:gd name="connsiteY7" fmla="*/ 2453739 h 3082513"/>
            <a:gd name="connsiteX8" fmla="*/ 1562100 w 2695575"/>
            <a:gd name="connsiteY8" fmla="*/ 360960 h 3082513"/>
            <a:gd name="connsiteX0" fmla="*/ 1114425 w 2695575"/>
            <a:gd name="connsiteY0" fmla="*/ 0 h 2723532"/>
            <a:gd name="connsiteX1" fmla="*/ 1114425 w 2695575"/>
            <a:gd name="connsiteY1" fmla="*/ 2085233 h 2723532"/>
            <a:gd name="connsiteX2" fmla="*/ 0 w 2695575"/>
            <a:gd name="connsiteY2" fmla="*/ 2085233 h 2723532"/>
            <a:gd name="connsiteX3" fmla="*/ 0 w 2695575"/>
            <a:gd name="connsiteY3" fmla="*/ 2723532 h 2723532"/>
            <a:gd name="connsiteX4" fmla="*/ 2695575 w 2695575"/>
            <a:gd name="connsiteY4" fmla="*/ 2723531 h 2723532"/>
            <a:gd name="connsiteX5" fmla="*/ 2695575 w 2695575"/>
            <a:gd name="connsiteY5" fmla="*/ 2094758 h 2723532"/>
            <a:gd name="connsiteX6" fmla="*/ 1562100 w 2695575"/>
            <a:gd name="connsiteY6" fmla="*/ 2094758 h 2723532"/>
            <a:gd name="connsiteX7" fmla="*/ 1562100 w 2695575"/>
            <a:gd name="connsiteY7" fmla="*/ 1979 h 2723532"/>
            <a:gd name="connsiteX0" fmla="*/ 1114425 w 2695575"/>
            <a:gd name="connsiteY0" fmla="*/ 1144113 h 2721553"/>
            <a:gd name="connsiteX1" fmla="*/ 1114425 w 2695575"/>
            <a:gd name="connsiteY1" fmla="*/ 2083254 h 2721553"/>
            <a:gd name="connsiteX2" fmla="*/ 0 w 2695575"/>
            <a:gd name="connsiteY2" fmla="*/ 2083254 h 2721553"/>
            <a:gd name="connsiteX3" fmla="*/ 0 w 2695575"/>
            <a:gd name="connsiteY3" fmla="*/ 2721553 h 2721553"/>
            <a:gd name="connsiteX4" fmla="*/ 2695575 w 2695575"/>
            <a:gd name="connsiteY4" fmla="*/ 2721552 h 2721553"/>
            <a:gd name="connsiteX5" fmla="*/ 2695575 w 2695575"/>
            <a:gd name="connsiteY5" fmla="*/ 2092779 h 2721553"/>
            <a:gd name="connsiteX6" fmla="*/ 1562100 w 2695575"/>
            <a:gd name="connsiteY6" fmla="*/ 2092779 h 2721553"/>
            <a:gd name="connsiteX7" fmla="*/ 1562100 w 2695575"/>
            <a:gd name="connsiteY7" fmla="*/ 0 h 2721553"/>
            <a:gd name="connsiteX0" fmla="*/ 1114425 w 2695575"/>
            <a:gd name="connsiteY0" fmla="*/ 19050 h 1596490"/>
            <a:gd name="connsiteX1" fmla="*/ 1114425 w 2695575"/>
            <a:gd name="connsiteY1" fmla="*/ 958191 h 1596490"/>
            <a:gd name="connsiteX2" fmla="*/ 0 w 2695575"/>
            <a:gd name="connsiteY2" fmla="*/ 958191 h 1596490"/>
            <a:gd name="connsiteX3" fmla="*/ 0 w 2695575"/>
            <a:gd name="connsiteY3" fmla="*/ 1596490 h 1596490"/>
            <a:gd name="connsiteX4" fmla="*/ 2695575 w 2695575"/>
            <a:gd name="connsiteY4" fmla="*/ 1596489 h 1596490"/>
            <a:gd name="connsiteX5" fmla="*/ 2695575 w 2695575"/>
            <a:gd name="connsiteY5" fmla="*/ 967716 h 1596490"/>
            <a:gd name="connsiteX6" fmla="*/ 1562100 w 2695575"/>
            <a:gd name="connsiteY6" fmla="*/ 967716 h 1596490"/>
            <a:gd name="connsiteX7" fmla="*/ 1562100 w 2695575"/>
            <a:gd name="connsiteY7" fmla="*/ 0 h 1596490"/>
            <a:gd name="connsiteX0" fmla="*/ 1114425 w 2695575"/>
            <a:gd name="connsiteY0" fmla="*/ 19050 h 1596490"/>
            <a:gd name="connsiteX1" fmla="*/ 1114425 w 2695575"/>
            <a:gd name="connsiteY1" fmla="*/ 958191 h 1596490"/>
            <a:gd name="connsiteX2" fmla="*/ 0 w 2695575"/>
            <a:gd name="connsiteY2" fmla="*/ 958191 h 1596490"/>
            <a:gd name="connsiteX3" fmla="*/ 0 w 2695575"/>
            <a:gd name="connsiteY3" fmla="*/ 1596490 h 1596490"/>
            <a:gd name="connsiteX4" fmla="*/ 2695575 w 2695575"/>
            <a:gd name="connsiteY4" fmla="*/ 1596489 h 1596490"/>
            <a:gd name="connsiteX5" fmla="*/ 2695575 w 2695575"/>
            <a:gd name="connsiteY5" fmla="*/ 967716 h 1596490"/>
            <a:gd name="connsiteX6" fmla="*/ 1914525 w 2695575"/>
            <a:gd name="connsiteY6" fmla="*/ 957202 h 1596490"/>
            <a:gd name="connsiteX7" fmla="*/ 1562100 w 2695575"/>
            <a:gd name="connsiteY7" fmla="*/ 0 h 1596490"/>
            <a:gd name="connsiteX0" fmla="*/ 1114425 w 2695575"/>
            <a:gd name="connsiteY0" fmla="*/ 29565 h 1607005"/>
            <a:gd name="connsiteX1" fmla="*/ 1114425 w 2695575"/>
            <a:gd name="connsiteY1" fmla="*/ 968706 h 1607005"/>
            <a:gd name="connsiteX2" fmla="*/ 0 w 2695575"/>
            <a:gd name="connsiteY2" fmla="*/ 968706 h 1607005"/>
            <a:gd name="connsiteX3" fmla="*/ 0 w 2695575"/>
            <a:gd name="connsiteY3" fmla="*/ 1607005 h 1607005"/>
            <a:gd name="connsiteX4" fmla="*/ 2695575 w 2695575"/>
            <a:gd name="connsiteY4" fmla="*/ 1607004 h 1607005"/>
            <a:gd name="connsiteX5" fmla="*/ 2695575 w 2695575"/>
            <a:gd name="connsiteY5" fmla="*/ 978231 h 1607005"/>
            <a:gd name="connsiteX6" fmla="*/ 1914525 w 2695575"/>
            <a:gd name="connsiteY6" fmla="*/ 967717 h 1607005"/>
            <a:gd name="connsiteX7" fmla="*/ 1905000 w 2695575"/>
            <a:gd name="connsiteY7" fmla="*/ 0 h 1607005"/>
            <a:gd name="connsiteX0" fmla="*/ 1114425 w 2695575"/>
            <a:gd name="connsiteY0" fmla="*/ 29565 h 1607005"/>
            <a:gd name="connsiteX1" fmla="*/ 1466850 w 2695575"/>
            <a:gd name="connsiteY1" fmla="*/ 968706 h 1607005"/>
            <a:gd name="connsiteX2" fmla="*/ 0 w 2695575"/>
            <a:gd name="connsiteY2" fmla="*/ 968706 h 1607005"/>
            <a:gd name="connsiteX3" fmla="*/ 0 w 2695575"/>
            <a:gd name="connsiteY3" fmla="*/ 1607005 h 1607005"/>
            <a:gd name="connsiteX4" fmla="*/ 2695575 w 2695575"/>
            <a:gd name="connsiteY4" fmla="*/ 1607004 h 1607005"/>
            <a:gd name="connsiteX5" fmla="*/ 2695575 w 2695575"/>
            <a:gd name="connsiteY5" fmla="*/ 978231 h 1607005"/>
            <a:gd name="connsiteX6" fmla="*/ 1914525 w 2695575"/>
            <a:gd name="connsiteY6" fmla="*/ 967717 h 1607005"/>
            <a:gd name="connsiteX7" fmla="*/ 1905000 w 2695575"/>
            <a:gd name="connsiteY7" fmla="*/ 0 h 1607005"/>
            <a:gd name="connsiteX0" fmla="*/ 1457325 w 2695575"/>
            <a:gd name="connsiteY0" fmla="*/ 8535 h 1607005"/>
            <a:gd name="connsiteX1" fmla="*/ 1466850 w 2695575"/>
            <a:gd name="connsiteY1" fmla="*/ 968706 h 1607005"/>
            <a:gd name="connsiteX2" fmla="*/ 0 w 2695575"/>
            <a:gd name="connsiteY2" fmla="*/ 968706 h 1607005"/>
            <a:gd name="connsiteX3" fmla="*/ 0 w 2695575"/>
            <a:gd name="connsiteY3" fmla="*/ 1607005 h 1607005"/>
            <a:gd name="connsiteX4" fmla="*/ 2695575 w 2695575"/>
            <a:gd name="connsiteY4" fmla="*/ 1607004 h 1607005"/>
            <a:gd name="connsiteX5" fmla="*/ 2695575 w 2695575"/>
            <a:gd name="connsiteY5" fmla="*/ 978231 h 1607005"/>
            <a:gd name="connsiteX6" fmla="*/ 1914525 w 2695575"/>
            <a:gd name="connsiteY6" fmla="*/ 967717 h 1607005"/>
            <a:gd name="connsiteX7" fmla="*/ 1905000 w 2695575"/>
            <a:gd name="connsiteY7" fmla="*/ 0 h 1607005"/>
            <a:gd name="connsiteX0" fmla="*/ 1457325 w 2695575"/>
            <a:gd name="connsiteY0" fmla="*/ 8535 h 1607005"/>
            <a:gd name="connsiteX1" fmla="*/ 1381125 w 2695575"/>
            <a:gd name="connsiteY1" fmla="*/ 968706 h 1607005"/>
            <a:gd name="connsiteX2" fmla="*/ 0 w 2695575"/>
            <a:gd name="connsiteY2" fmla="*/ 968706 h 1607005"/>
            <a:gd name="connsiteX3" fmla="*/ 0 w 2695575"/>
            <a:gd name="connsiteY3" fmla="*/ 1607005 h 1607005"/>
            <a:gd name="connsiteX4" fmla="*/ 2695575 w 2695575"/>
            <a:gd name="connsiteY4" fmla="*/ 1607004 h 1607005"/>
            <a:gd name="connsiteX5" fmla="*/ 2695575 w 2695575"/>
            <a:gd name="connsiteY5" fmla="*/ 978231 h 1607005"/>
            <a:gd name="connsiteX6" fmla="*/ 1914525 w 2695575"/>
            <a:gd name="connsiteY6" fmla="*/ 967717 h 1607005"/>
            <a:gd name="connsiteX7" fmla="*/ 1905000 w 2695575"/>
            <a:gd name="connsiteY7" fmla="*/ 0 h 1607005"/>
            <a:gd name="connsiteX0" fmla="*/ 1381125 w 2695575"/>
            <a:gd name="connsiteY0" fmla="*/ 0 h 1608984"/>
            <a:gd name="connsiteX1" fmla="*/ 1381125 w 2695575"/>
            <a:gd name="connsiteY1" fmla="*/ 970685 h 1608984"/>
            <a:gd name="connsiteX2" fmla="*/ 0 w 2695575"/>
            <a:gd name="connsiteY2" fmla="*/ 970685 h 1608984"/>
            <a:gd name="connsiteX3" fmla="*/ 0 w 2695575"/>
            <a:gd name="connsiteY3" fmla="*/ 1608984 h 1608984"/>
            <a:gd name="connsiteX4" fmla="*/ 2695575 w 2695575"/>
            <a:gd name="connsiteY4" fmla="*/ 1608983 h 1608984"/>
            <a:gd name="connsiteX5" fmla="*/ 2695575 w 2695575"/>
            <a:gd name="connsiteY5" fmla="*/ 980210 h 1608984"/>
            <a:gd name="connsiteX6" fmla="*/ 1914525 w 2695575"/>
            <a:gd name="connsiteY6" fmla="*/ 969696 h 1608984"/>
            <a:gd name="connsiteX7" fmla="*/ 1905000 w 2695575"/>
            <a:gd name="connsiteY7" fmla="*/ 1979 h 1608984"/>
            <a:gd name="connsiteX0" fmla="*/ 1381125 w 2695575"/>
            <a:gd name="connsiteY0" fmla="*/ 0 h 1608984"/>
            <a:gd name="connsiteX1" fmla="*/ 1381125 w 2695575"/>
            <a:gd name="connsiteY1" fmla="*/ 970685 h 1608984"/>
            <a:gd name="connsiteX2" fmla="*/ 0 w 2695575"/>
            <a:gd name="connsiteY2" fmla="*/ 970685 h 1608984"/>
            <a:gd name="connsiteX3" fmla="*/ 0 w 2695575"/>
            <a:gd name="connsiteY3" fmla="*/ 1608984 h 1608984"/>
            <a:gd name="connsiteX4" fmla="*/ 2695575 w 2695575"/>
            <a:gd name="connsiteY4" fmla="*/ 1608983 h 1608984"/>
            <a:gd name="connsiteX5" fmla="*/ 2695575 w 2695575"/>
            <a:gd name="connsiteY5" fmla="*/ 980210 h 1608984"/>
            <a:gd name="connsiteX6" fmla="*/ 1914525 w 2695575"/>
            <a:gd name="connsiteY6" fmla="*/ 969696 h 1608984"/>
            <a:gd name="connsiteX7" fmla="*/ 1905000 w 2695575"/>
            <a:gd name="connsiteY7" fmla="*/ 1979 h 1608984"/>
            <a:gd name="connsiteX0" fmla="*/ 1381125 w 2695575"/>
            <a:gd name="connsiteY0" fmla="*/ 0 h 1608984"/>
            <a:gd name="connsiteX1" fmla="*/ 1381125 w 2695575"/>
            <a:gd name="connsiteY1" fmla="*/ 970685 h 1608984"/>
            <a:gd name="connsiteX2" fmla="*/ 0 w 2695575"/>
            <a:gd name="connsiteY2" fmla="*/ 970685 h 1608984"/>
            <a:gd name="connsiteX3" fmla="*/ 0 w 2695575"/>
            <a:gd name="connsiteY3" fmla="*/ 1608984 h 1608984"/>
            <a:gd name="connsiteX4" fmla="*/ 2695575 w 2695575"/>
            <a:gd name="connsiteY4" fmla="*/ 1608983 h 1608984"/>
            <a:gd name="connsiteX5" fmla="*/ 2695575 w 2695575"/>
            <a:gd name="connsiteY5" fmla="*/ 980210 h 1608984"/>
            <a:gd name="connsiteX6" fmla="*/ 1914525 w 2695575"/>
            <a:gd name="connsiteY6" fmla="*/ 990725 h 1608984"/>
            <a:gd name="connsiteX7" fmla="*/ 1905000 w 2695575"/>
            <a:gd name="connsiteY7" fmla="*/ 1979 h 1608984"/>
            <a:gd name="connsiteX0" fmla="*/ 1381125 w 2695575"/>
            <a:gd name="connsiteY0" fmla="*/ 0 h 1608984"/>
            <a:gd name="connsiteX1" fmla="*/ 1381125 w 2695575"/>
            <a:gd name="connsiteY1" fmla="*/ 970685 h 1608984"/>
            <a:gd name="connsiteX2" fmla="*/ 0 w 2695575"/>
            <a:gd name="connsiteY2" fmla="*/ 970685 h 1608984"/>
            <a:gd name="connsiteX3" fmla="*/ 0 w 2695575"/>
            <a:gd name="connsiteY3" fmla="*/ 1608984 h 1608984"/>
            <a:gd name="connsiteX4" fmla="*/ 2695575 w 2695575"/>
            <a:gd name="connsiteY4" fmla="*/ 1608983 h 1608984"/>
            <a:gd name="connsiteX5" fmla="*/ 2695575 w 2695575"/>
            <a:gd name="connsiteY5" fmla="*/ 980210 h 1608984"/>
            <a:gd name="connsiteX6" fmla="*/ 1914525 w 2695575"/>
            <a:gd name="connsiteY6" fmla="*/ 980210 h 1608984"/>
            <a:gd name="connsiteX7" fmla="*/ 1905000 w 2695575"/>
            <a:gd name="connsiteY7" fmla="*/ 1979 h 1608984"/>
            <a:gd name="connsiteX0" fmla="*/ 1381125 w 2695575"/>
            <a:gd name="connsiteY0" fmla="*/ 0 h 1608984"/>
            <a:gd name="connsiteX1" fmla="*/ 1085850 w 2695575"/>
            <a:gd name="connsiteY1" fmla="*/ 970685 h 1608984"/>
            <a:gd name="connsiteX2" fmla="*/ 0 w 2695575"/>
            <a:gd name="connsiteY2" fmla="*/ 970685 h 1608984"/>
            <a:gd name="connsiteX3" fmla="*/ 0 w 2695575"/>
            <a:gd name="connsiteY3" fmla="*/ 1608984 h 1608984"/>
            <a:gd name="connsiteX4" fmla="*/ 2695575 w 2695575"/>
            <a:gd name="connsiteY4" fmla="*/ 1608983 h 1608984"/>
            <a:gd name="connsiteX5" fmla="*/ 2695575 w 2695575"/>
            <a:gd name="connsiteY5" fmla="*/ 980210 h 1608984"/>
            <a:gd name="connsiteX6" fmla="*/ 1914525 w 2695575"/>
            <a:gd name="connsiteY6" fmla="*/ 980210 h 1608984"/>
            <a:gd name="connsiteX7" fmla="*/ 1905000 w 2695575"/>
            <a:gd name="connsiteY7" fmla="*/ 1979 h 1608984"/>
            <a:gd name="connsiteX0" fmla="*/ 1095375 w 2695575"/>
            <a:gd name="connsiteY0" fmla="*/ 0 h 1608984"/>
            <a:gd name="connsiteX1" fmla="*/ 1085850 w 2695575"/>
            <a:gd name="connsiteY1" fmla="*/ 970685 h 1608984"/>
            <a:gd name="connsiteX2" fmla="*/ 0 w 2695575"/>
            <a:gd name="connsiteY2" fmla="*/ 970685 h 1608984"/>
            <a:gd name="connsiteX3" fmla="*/ 0 w 2695575"/>
            <a:gd name="connsiteY3" fmla="*/ 1608984 h 1608984"/>
            <a:gd name="connsiteX4" fmla="*/ 2695575 w 2695575"/>
            <a:gd name="connsiteY4" fmla="*/ 1608983 h 1608984"/>
            <a:gd name="connsiteX5" fmla="*/ 2695575 w 2695575"/>
            <a:gd name="connsiteY5" fmla="*/ 980210 h 1608984"/>
            <a:gd name="connsiteX6" fmla="*/ 1914525 w 2695575"/>
            <a:gd name="connsiteY6" fmla="*/ 980210 h 1608984"/>
            <a:gd name="connsiteX7" fmla="*/ 1905000 w 2695575"/>
            <a:gd name="connsiteY7" fmla="*/ 1979 h 1608984"/>
            <a:gd name="connsiteX0" fmla="*/ 1095375 w 2695575"/>
            <a:gd name="connsiteY0" fmla="*/ 0 h 1608984"/>
            <a:gd name="connsiteX1" fmla="*/ 1085850 w 2695575"/>
            <a:gd name="connsiteY1" fmla="*/ 970685 h 1608984"/>
            <a:gd name="connsiteX2" fmla="*/ 0 w 2695575"/>
            <a:gd name="connsiteY2" fmla="*/ 970685 h 1608984"/>
            <a:gd name="connsiteX3" fmla="*/ 0 w 2695575"/>
            <a:gd name="connsiteY3" fmla="*/ 1608984 h 1608984"/>
            <a:gd name="connsiteX4" fmla="*/ 2695575 w 2695575"/>
            <a:gd name="connsiteY4" fmla="*/ 1608983 h 1608984"/>
            <a:gd name="connsiteX5" fmla="*/ 2695575 w 2695575"/>
            <a:gd name="connsiteY5" fmla="*/ 980210 h 1608984"/>
            <a:gd name="connsiteX6" fmla="*/ 1914525 w 2695575"/>
            <a:gd name="connsiteY6" fmla="*/ 980210 h 1608984"/>
            <a:gd name="connsiteX7" fmla="*/ 1905000 w 2695575"/>
            <a:gd name="connsiteY7" fmla="*/ 1979 h 1608984"/>
            <a:gd name="connsiteX0" fmla="*/ 1085850 w 2695575"/>
            <a:gd name="connsiteY0" fmla="*/ 8536 h 1607005"/>
            <a:gd name="connsiteX1" fmla="*/ 1085850 w 2695575"/>
            <a:gd name="connsiteY1" fmla="*/ 968706 h 1607005"/>
            <a:gd name="connsiteX2" fmla="*/ 0 w 2695575"/>
            <a:gd name="connsiteY2" fmla="*/ 968706 h 1607005"/>
            <a:gd name="connsiteX3" fmla="*/ 0 w 2695575"/>
            <a:gd name="connsiteY3" fmla="*/ 1607005 h 1607005"/>
            <a:gd name="connsiteX4" fmla="*/ 2695575 w 2695575"/>
            <a:gd name="connsiteY4" fmla="*/ 1607004 h 1607005"/>
            <a:gd name="connsiteX5" fmla="*/ 2695575 w 2695575"/>
            <a:gd name="connsiteY5" fmla="*/ 978231 h 1607005"/>
            <a:gd name="connsiteX6" fmla="*/ 1914525 w 2695575"/>
            <a:gd name="connsiteY6" fmla="*/ 978231 h 1607005"/>
            <a:gd name="connsiteX7" fmla="*/ 1905000 w 2695575"/>
            <a:gd name="connsiteY7" fmla="*/ 0 h 1607005"/>
            <a:gd name="connsiteX0" fmla="*/ 1085850 w 2695575"/>
            <a:gd name="connsiteY0" fmla="*/ 8536 h 1607005"/>
            <a:gd name="connsiteX1" fmla="*/ 1085850 w 2695575"/>
            <a:gd name="connsiteY1" fmla="*/ 968706 h 1607005"/>
            <a:gd name="connsiteX2" fmla="*/ 0 w 2695575"/>
            <a:gd name="connsiteY2" fmla="*/ 968706 h 1607005"/>
            <a:gd name="connsiteX3" fmla="*/ 0 w 2695575"/>
            <a:gd name="connsiteY3" fmla="*/ 1607005 h 1607005"/>
            <a:gd name="connsiteX4" fmla="*/ 2695575 w 2695575"/>
            <a:gd name="connsiteY4" fmla="*/ 1607004 h 1607005"/>
            <a:gd name="connsiteX5" fmla="*/ 2695575 w 2695575"/>
            <a:gd name="connsiteY5" fmla="*/ 978231 h 1607005"/>
            <a:gd name="connsiteX6" fmla="*/ 1666875 w 2695575"/>
            <a:gd name="connsiteY6" fmla="*/ 988746 h 1607005"/>
            <a:gd name="connsiteX7" fmla="*/ 1905000 w 2695575"/>
            <a:gd name="connsiteY7" fmla="*/ 0 h 1607005"/>
            <a:gd name="connsiteX0" fmla="*/ 1085850 w 2695575"/>
            <a:gd name="connsiteY0" fmla="*/ 40080 h 1638549"/>
            <a:gd name="connsiteX1" fmla="*/ 1085850 w 2695575"/>
            <a:gd name="connsiteY1" fmla="*/ 1000250 h 1638549"/>
            <a:gd name="connsiteX2" fmla="*/ 0 w 2695575"/>
            <a:gd name="connsiteY2" fmla="*/ 1000250 h 1638549"/>
            <a:gd name="connsiteX3" fmla="*/ 0 w 2695575"/>
            <a:gd name="connsiteY3" fmla="*/ 1638549 h 1638549"/>
            <a:gd name="connsiteX4" fmla="*/ 2695575 w 2695575"/>
            <a:gd name="connsiteY4" fmla="*/ 1638548 h 1638549"/>
            <a:gd name="connsiteX5" fmla="*/ 2695575 w 2695575"/>
            <a:gd name="connsiteY5" fmla="*/ 1009775 h 1638549"/>
            <a:gd name="connsiteX6" fmla="*/ 1666875 w 2695575"/>
            <a:gd name="connsiteY6" fmla="*/ 1020290 h 1638549"/>
            <a:gd name="connsiteX7" fmla="*/ 1666875 w 2695575"/>
            <a:gd name="connsiteY7" fmla="*/ 0 h 1638549"/>
            <a:gd name="connsiteX0" fmla="*/ 1085850 w 2695575"/>
            <a:gd name="connsiteY0" fmla="*/ 40080 h 1638549"/>
            <a:gd name="connsiteX1" fmla="*/ 1085850 w 2695575"/>
            <a:gd name="connsiteY1" fmla="*/ 1000250 h 1638549"/>
            <a:gd name="connsiteX2" fmla="*/ 0 w 2695575"/>
            <a:gd name="connsiteY2" fmla="*/ 1000250 h 1638549"/>
            <a:gd name="connsiteX3" fmla="*/ 0 w 2695575"/>
            <a:gd name="connsiteY3" fmla="*/ 1638549 h 1638549"/>
            <a:gd name="connsiteX4" fmla="*/ 2695575 w 2695575"/>
            <a:gd name="connsiteY4" fmla="*/ 1638548 h 1638549"/>
            <a:gd name="connsiteX5" fmla="*/ 2695575 w 2695575"/>
            <a:gd name="connsiteY5" fmla="*/ 1009775 h 1638549"/>
            <a:gd name="connsiteX6" fmla="*/ 1666875 w 2695575"/>
            <a:gd name="connsiteY6" fmla="*/ 1020290 h 1638549"/>
            <a:gd name="connsiteX7" fmla="*/ 1666875 w 2695575"/>
            <a:gd name="connsiteY7" fmla="*/ 0 h 1638549"/>
            <a:gd name="connsiteX0" fmla="*/ 1085850 w 2695575"/>
            <a:gd name="connsiteY0" fmla="*/ 40080 h 1638549"/>
            <a:gd name="connsiteX1" fmla="*/ 1085850 w 2695575"/>
            <a:gd name="connsiteY1" fmla="*/ 1000250 h 1638549"/>
            <a:gd name="connsiteX2" fmla="*/ 0 w 2695575"/>
            <a:gd name="connsiteY2" fmla="*/ 1000250 h 1638549"/>
            <a:gd name="connsiteX3" fmla="*/ 0 w 2695575"/>
            <a:gd name="connsiteY3" fmla="*/ 1638549 h 1638549"/>
            <a:gd name="connsiteX4" fmla="*/ 2695575 w 2695575"/>
            <a:gd name="connsiteY4" fmla="*/ 1638548 h 1638549"/>
            <a:gd name="connsiteX5" fmla="*/ 2695575 w 2695575"/>
            <a:gd name="connsiteY5" fmla="*/ 1009775 h 1638549"/>
            <a:gd name="connsiteX6" fmla="*/ 1666875 w 2695575"/>
            <a:gd name="connsiteY6" fmla="*/ 1020290 h 1638549"/>
            <a:gd name="connsiteX7" fmla="*/ 1666875 w 2695575"/>
            <a:gd name="connsiteY7" fmla="*/ 0 h 1638549"/>
            <a:gd name="connsiteX0" fmla="*/ 1085850 w 2695575"/>
            <a:gd name="connsiteY0" fmla="*/ 40080 h 1638549"/>
            <a:gd name="connsiteX1" fmla="*/ 1085850 w 2695575"/>
            <a:gd name="connsiteY1" fmla="*/ 1000250 h 1638549"/>
            <a:gd name="connsiteX2" fmla="*/ 0 w 2695575"/>
            <a:gd name="connsiteY2" fmla="*/ 1000250 h 1638549"/>
            <a:gd name="connsiteX3" fmla="*/ 0 w 2695575"/>
            <a:gd name="connsiteY3" fmla="*/ 1638549 h 1638549"/>
            <a:gd name="connsiteX4" fmla="*/ 2695575 w 2695575"/>
            <a:gd name="connsiteY4" fmla="*/ 1638548 h 1638549"/>
            <a:gd name="connsiteX5" fmla="*/ 2695575 w 2695575"/>
            <a:gd name="connsiteY5" fmla="*/ 1009775 h 1638549"/>
            <a:gd name="connsiteX6" fmla="*/ 1666875 w 2695575"/>
            <a:gd name="connsiteY6" fmla="*/ 1009775 h 1638549"/>
            <a:gd name="connsiteX7" fmla="*/ 1666875 w 2695575"/>
            <a:gd name="connsiteY7" fmla="*/ 0 h 163854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695575" h="1638549">
              <a:moveTo>
                <a:pt x="1085850" y="40080"/>
              </a:moveTo>
              <a:lnTo>
                <a:pt x="1085850" y="1000250"/>
              </a:lnTo>
              <a:lnTo>
                <a:pt x="0" y="1000250"/>
              </a:lnTo>
              <a:lnTo>
                <a:pt x="0" y="1638549"/>
              </a:lnTo>
              <a:lnTo>
                <a:pt x="2695575" y="1638548"/>
              </a:lnTo>
              <a:lnTo>
                <a:pt x="2695575" y="1009775"/>
              </a:lnTo>
              <a:lnTo>
                <a:pt x="1666875" y="1009775"/>
              </a:lnTo>
              <a:lnTo>
                <a:pt x="1666875" y="0"/>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381000</xdr:colOff>
      <xdr:row>15</xdr:row>
      <xdr:rowOff>152399</xdr:rowOff>
    </xdr:from>
    <xdr:to>
      <xdr:col>2</xdr:col>
      <xdr:colOff>285750</xdr:colOff>
      <xdr:row>19</xdr:row>
      <xdr:rowOff>104774</xdr:rowOff>
    </xdr:to>
    <xdr:sp macro="" textlink="">
      <xdr:nvSpPr>
        <xdr:cNvPr id="3" name="Freeform 2"/>
        <xdr:cNvSpPr/>
      </xdr:nvSpPr>
      <xdr:spPr>
        <a:xfrm>
          <a:off x="895350" y="3314699"/>
          <a:ext cx="419100" cy="714375"/>
        </a:xfrm>
        <a:custGeom>
          <a:avLst/>
          <a:gdLst>
            <a:gd name="connsiteX0" fmla="*/ 0 w 361950"/>
            <a:gd name="connsiteY0" fmla="*/ 790575 h 790575"/>
            <a:gd name="connsiteX1" fmla="*/ 0 w 361950"/>
            <a:gd name="connsiteY1" fmla="*/ 0 h 790575"/>
            <a:gd name="connsiteX2" fmla="*/ 361950 w 361950"/>
            <a:gd name="connsiteY2" fmla="*/ 0 h 790575"/>
            <a:gd name="connsiteX3" fmla="*/ 361950 w 361950"/>
            <a:gd name="connsiteY3" fmla="*/ 790575 h 790575"/>
          </a:gdLst>
          <a:ahLst/>
          <a:cxnLst>
            <a:cxn ang="0">
              <a:pos x="connsiteX0" y="connsiteY0"/>
            </a:cxn>
            <a:cxn ang="0">
              <a:pos x="connsiteX1" y="connsiteY1"/>
            </a:cxn>
            <a:cxn ang="0">
              <a:pos x="connsiteX2" y="connsiteY2"/>
            </a:cxn>
            <a:cxn ang="0">
              <a:pos x="connsiteX3" y="connsiteY3"/>
            </a:cxn>
          </a:cxnLst>
          <a:rect l="l" t="t" r="r" b="b"/>
          <a:pathLst>
            <a:path w="361950" h="790575">
              <a:moveTo>
                <a:pt x="0" y="790575"/>
              </a:moveTo>
              <a:lnTo>
                <a:pt x="0" y="0"/>
              </a:lnTo>
              <a:lnTo>
                <a:pt x="361950" y="0"/>
              </a:lnTo>
              <a:lnTo>
                <a:pt x="361950" y="790575"/>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371475</xdr:colOff>
      <xdr:row>15</xdr:row>
      <xdr:rowOff>152399</xdr:rowOff>
    </xdr:from>
    <xdr:to>
      <xdr:col>5</xdr:col>
      <xdr:colOff>276225</xdr:colOff>
      <xdr:row>19</xdr:row>
      <xdr:rowOff>76200</xdr:rowOff>
    </xdr:to>
    <xdr:sp macro="" textlink="">
      <xdr:nvSpPr>
        <xdr:cNvPr id="4" name="Freeform 3"/>
        <xdr:cNvSpPr/>
      </xdr:nvSpPr>
      <xdr:spPr>
        <a:xfrm>
          <a:off x="2428875" y="3314699"/>
          <a:ext cx="419100" cy="685801"/>
        </a:xfrm>
        <a:custGeom>
          <a:avLst/>
          <a:gdLst>
            <a:gd name="connsiteX0" fmla="*/ 0 w 361950"/>
            <a:gd name="connsiteY0" fmla="*/ 790575 h 790575"/>
            <a:gd name="connsiteX1" fmla="*/ 0 w 361950"/>
            <a:gd name="connsiteY1" fmla="*/ 0 h 790575"/>
            <a:gd name="connsiteX2" fmla="*/ 361950 w 361950"/>
            <a:gd name="connsiteY2" fmla="*/ 0 h 790575"/>
            <a:gd name="connsiteX3" fmla="*/ 361950 w 361950"/>
            <a:gd name="connsiteY3" fmla="*/ 790575 h 790575"/>
          </a:gdLst>
          <a:ahLst/>
          <a:cxnLst>
            <a:cxn ang="0">
              <a:pos x="connsiteX0" y="connsiteY0"/>
            </a:cxn>
            <a:cxn ang="0">
              <a:pos x="connsiteX1" y="connsiteY1"/>
            </a:cxn>
            <a:cxn ang="0">
              <a:pos x="connsiteX2" y="connsiteY2"/>
            </a:cxn>
            <a:cxn ang="0">
              <a:pos x="connsiteX3" y="connsiteY3"/>
            </a:cxn>
          </a:cxnLst>
          <a:rect l="l" t="t" r="r" b="b"/>
          <a:pathLst>
            <a:path w="361950" h="790575">
              <a:moveTo>
                <a:pt x="0" y="790575"/>
              </a:moveTo>
              <a:lnTo>
                <a:pt x="0" y="0"/>
              </a:lnTo>
              <a:lnTo>
                <a:pt x="361950" y="0"/>
              </a:lnTo>
              <a:lnTo>
                <a:pt x="361950" y="790575"/>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0</xdr:colOff>
      <xdr:row>11</xdr:row>
      <xdr:rowOff>19049</xdr:rowOff>
    </xdr:from>
    <xdr:to>
      <xdr:col>1</xdr:col>
      <xdr:colOff>0</xdr:colOff>
      <xdr:row>13</xdr:row>
      <xdr:rowOff>142875</xdr:rowOff>
    </xdr:to>
    <xdr:cxnSp macro="">
      <xdr:nvCxnSpPr>
        <xdr:cNvPr id="5" name="Straight Connector 4"/>
        <xdr:cNvCxnSpPr/>
      </xdr:nvCxnSpPr>
      <xdr:spPr>
        <a:xfrm>
          <a:off x="514350" y="2419349"/>
          <a:ext cx="0" cy="504826"/>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13</xdr:row>
      <xdr:rowOff>9525</xdr:rowOff>
    </xdr:from>
    <xdr:to>
      <xdr:col>7</xdr:col>
      <xdr:colOff>0</xdr:colOff>
      <xdr:row>15</xdr:row>
      <xdr:rowOff>168525</xdr:rowOff>
    </xdr:to>
    <xdr:cxnSp macro="">
      <xdr:nvCxnSpPr>
        <xdr:cNvPr id="6" name="Straight Connector 5"/>
        <xdr:cNvCxnSpPr/>
      </xdr:nvCxnSpPr>
      <xdr:spPr>
        <a:xfrm flipV="1">
          <a:off x="3600450" y="2790825"/>
          <a:ext cx="0" cy="54000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11</xdr:row>
      <xdr:rowOff>190499</xdr:rowOff>
    </xdr:from>
    <xdr:to>
      <xdr:col>6</xdr:col>
      <xdr:colOff>104775</xdr:colOff>
      <xdr:row>11</xdr:row>
      <xdr:rowOff>190499</xdr:rowOff>
    </xdr:to>
    <xdr:cxnSp macro="">
      <xdr:nvCxnSpPr>
        <xdr:cNvPr id="7" name="Straight Connector 6"/>
        <xdr:cNvCxnSpPr/>
      </xdr:nvCxnSpPr>
      <xdr:spPr>
        <a:xfrm>
          <a:off x="2200275" y="2590799"/>
          <a:ext cx="99060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91524</xdr:colOff>
      <xdr:row>11</xdr:row>
      <xdr:rowOff>190499</xdr:rowOff>
    </xdr:from>
    <xdr:to>
      <xdr:col>4</xdr:col>
      <xdr:colOff>129624</xdr:colOff>
      <xdr:row>11</xdr:row>
      <xdr:rowOff>190499</xdr:rowOff>
    </xdr:to>
    <xdr:cxnSp macro="">
      <xdr:nvCxnSpPr>
        <xdr:cNvPr id="8" name="Straight Connector 7"/>
        <xdr:cNvCxnSpPr/>
      </xdr:nvCxnSpPr>
      <xdr:spPr>
        <a:xfrm>
          <a:off x="1632089" y="2410238"/>
          <a:ext cx="551622"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11</xdr:row>
      <xdr:rowOff>190499</xdr:rowOff>
    </xdr:from>
    <xdr:to>
      <xdr:col>3</xdr:col>
      <xdr:colOff>57150</xdr:colOff>
      <xdr:row>11</xdr:row>
      <xdr:rowOff>190499</xdr:rowOff>
    </xdr:to>
    <xdr:cxnSp macro="">
      <xdr:nvCxnSpPr>
        <xdr:cNvPr id="9" name="Straight Connector 8"/>
        <xdr:cNvCxnSpPr/>
      </xdr:nvCxnSpPr>
      <xdr:spPr>
        <a:xfrm>
          <a:off x="533400" y="2590799"/>
          <a:ext cx="106680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504825</xdr:colOff>
      <xdr:row>12</xdr:row>
      <xdr:rowOff>180974</xdr:rowOff>
    </xdr:from>
    <xdr:to>
      <xdr:col>7</xdr:col>
      <xdr:colOff>57150</xdr:colOff>
      <xdr:row>12</xdr:row>
      <xdr:rowOff>180974</xdr:rowOff>
    </xdr:to>
    <xdr:cxnSp macro="">
      <xdr:nvCxnSpPr>
        <xdr:cNvPr id="10" name="Straight Connector 9"/>
        <xdr:cNvCxnSpPr/>
      </xdr:nvCxnSpPr>
      <xdr:spPr>
        <a:xfrm>
          <a:off x="3076575" y="2771774"/>
          <a:ext cx="5810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11</xdr:row>
      <xdr:rowOff>85724</xdr:rowOff>
    </xdr:from>
    <xdr:to>
      <xdr:col>6</xdr:col>
      <xdr:colOff>123825</xdr:colOff>
      <xdr:row>13</xdr:row>
      <xdr:rowOff>171450</xdr:rowOff>
    </xdr:to>
    <xdr:cxnSp macro="">
      <xdr:nvCxnSpPr>
        <xdr:cNvPr id="11" name="Straight Connector 10"/>
        <xdr:cNvCxnSpPr/>
      </xdr:nvCxnSpPr>
      <xdr:spPr>
        <a:xfrm>
          <a:off x="3209925" y="2486024"/>
          <a:ext cx="0" cy="466726"/>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15</xdr:row>
      <xdr:rowOff>180974</xdr:rowOff>
    </xdr:from>
    <xdr:to>
      <xdr:col>7</xdr:col>
      <xdr:colOff>57150</xdr:colOff>
      <xdr:row>15</xdr:row>
      <xdr:rowOff>180974</xdr:rowOff>
    </xdr:to>
    <xdr:cxnSp macro="">
      <xdr:nvCxnSpPr>
        <xdr:cNvPr id="12" name="Straight Connector 11"/>
        <xdr:cNvCxnSpPr/>
      </xdr:nvCxnSpPr>
      <xdr:spPr>
        <a:xfrm>
          <a:off x="3095625" y="3343274"/>
          <a:ext cx="56197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314325</xdr:colOff>
      <xdr:row>10</xdr:row>
      <xdr:rowOff>0</xdr:rowOff>
    </xdr:from>
    <xdr:to>
      <xdr:col>3</xdr:col>
      <xdr:colOff>314325</xdr:colOff>
      <xdr:row>18</xdr:row>
      <xdr:rowOff>95250</xdr:rowOff>
    </xdr:to>
    <xdr:cxnSp macro="">
      <xdr:nvCxnSpPr>
        <xdr:cNvPr id="13" name="Straight Connector 12"/>
        <xdr:cNvCxnSpPr/>
      </xdr:nvCxnSpPr>
      <xdr:spPr>
        <a:xfrm>
          <a:off x="1857375" y="2066925"/>
          <a:ext cx="0" cy="1762125"/>
        </a:xfrm>
        <a:prstGeom prst="line">
          <a:avLst/>
        </a:prstGeom>
        <a:ln w="9525">
          <a:solidFill>
            <a:schemeClr val="tx2"/>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412072</xdr:colOff>
      <xdr:row>4</xdr:row>
      <xdr:rowOff>118320</xdr:rowOff>
    </xdr:from>
    <xdr:to>
      <xdr:col>3</xdr:col>
      <xdr:colOff>392451</xdr:colOff>
      <xdr:row>17</xdr:row>
      <xdr:rowOff>128353</xdr:rowOff>
    </xdr:to>
    <xdr:sp macro="" textlink="">
      <xdr:nvSpPr>
        <xdr:cNvPr id="30" name="Rectangle 29"/>
        <xdr:cNvSpPr/>
      </xdr:nvSpPr>
      <xdr:spPr>
        <a:xfrm>
          <a:off x="412072" y="927945"/>
          <a:ext cx="1523429" cy="3562858"/>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twoCellAnchor>
    <xdr:from>
      <xdr:col>1</xdr:col>
      <xdr:colOff>119830</xdr:colOff>
      <xdr:row>5</xdr:row>
      <xdr:rowOff>23062</xdr:rowOff>
    </xdr:from>
    <xdr:to>
      <xdr:col>3</xdr:col>
      <xdr:colOff>154681</xdr:colOff>
      <xdr:row>5</xdr:row>
      <xdr:rowOff>23062</xdr:rowOff>
    </xdr:to>
    <xdr:cxnSp macro="">
      <xdr:nvCxnSpPr>
        <xdr:cNvPr id="31" name="Straight Connector 30"/>
        <xdr:cNvCxnSpPr/>
      </xdr:nvCxnSpPr>
      <xdr:spPr>
        <a:xfrm>
          <a:off x="634180" y="1023187"/>
          <a:ext cx="1063551" cy="0"/>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4459</xdr:colOff>
      <xdr:row>5</xdr:row>
      <xdr:rowOff>33320</xdr:rowOff>
    </xdr:from>
    <xdr:to>
      <xdr:col>1</xdr:col>
      <xdr:colOff>4459</xdr:colOff>
      <xdr:row>17</xdr:row>
      <xdr:rowOff>15525</xdr:rowOff>
    </xdr:to>
    <xdr:cxnSp macro="">
      <xdr:nvCxnSpPr>
        <xdr:cNvPr id="32" name="Straight Connector 31"/>
        <xdr:cNvCxnSpPr/>
      </xdr:nvCxnSpPr>
      <xdr:spPr>
        <a:xfrm flipV="1">
          <a:off x="518809" y="1033445"/>
          <a:ext cx="0" cy="3344530"/>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305121</xdr:colOff>
      <xdr:row>5</xdr:row>
      <xdr:rowOff>23062</xdr:rowOff>
    </xdr:from>
    <xdr:to>
      <xdr:col>3</xdr:col>
      <xdr:colOff>305121</xdr:colOff>
      <xdr:row>17</xdr:row>
      <xdr:rowOff>25782</xdr:rowOff>
    </xdr:to>
    <xdr:cxnSp macro="">
      <xdr:nvCxnSpPr>
        <xdr:cNvPr id="33" name="Straight Connector 32"/>
        <xdr:cNvCxnSpPr/>
      </xdr:nvCxnSpPr>
      <xdr:spPr>
        <a:xfrm flipV="1">
          <a:off x="1848171" y="1023187"/>
          <a:ext cx="0" cy="3365045"/>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101493</xdr:colOff>
      <xdr:row>17</xdr:row>
      <xdr:rowOff>15525</xdr:rowOff>
    </xdr:from>
    <xdr:to>
      <xdr:col>3</xdr:col>
      <xdr:colOff>173018</xdr:colOff>
      <xdr:row>17</xdr:row>
      <xdr:rowOff>15525</xdr:rowOff>
    </xdr:to>
    <xdr:cxnSp macro="">
      <xdr:nvCxnSpPr>
        <xdr:cNvPr id="34" name="Straight Connector 33"/>
        <xdr:cNvCxnSpPr/>
      </xdr:nvCxnSpPr>
      <xdr:spPr>
        <a:xfrm>
          <a:off x="615843" y="4377975"/>
          <a:ext cx="1100225" cy="0"/>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392451</xdr:colOff>
      <xdr:row>17</xdr:row>
      <xdr:rowOff>42783</xdr:rowOff>
    </xdr:from>
    <xdr:to>
      <xdr:col>3</xdr:col>
      <xdr:colOff>392451</xdr:colOff>
      <xdr:row>19</xdr:row>
      <xdr:rowOff>104623</xdr:rowOff>
    </xdr:to>
    <xdr:cxnSp macro="">
      <xdr:nvCxnSpPr>
        <xdr:cNvPr id="39" name="Straight Connector 38"/>
        <xdr:cNvCxnSpPr/>
      </xdr:nvCxnSpPr>
      <xdr:spPr>
        <a:xfrm>
          <a:off x="1935501" y="4405233"/>
          <a:ext cx="0" cy="49999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412073</xdr:colOff>
      <xdr:row>17</xdr:row>
      <xdr:rowOff>179637</xdr:rowOff>
    </xdr:from>
    <xdr:to>
      <xdr:col>0</xdr:col>
      <xdr:colOff>412073</xdr:colOff>
      <xdr:row>19</xdr:row>
      <xdr:rowOff>120999</xdr:rowOff>
    </xdr:to>
    <xdr:cxnSp macro="">
      <xdr:nvCxnSpPr>
        <xdr:cNvPr id="40" name="Straight Connector 39"/>
        <xdr:cNvCxnSpPr/>
      </xdr:nvCxnSpPr>
      <xdr:spPr>
        <a:xfrm>
          <a:off x="412073" y="4542087"/>
          <a:ext cx="0" cy="379512"/>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450641</xdr:colOff>
      <xdr:row>18</xdr:row>
      <xdr:rowOff>214639</xdr:rowOff>
    </xdr:from>
    <xdr:to>
      <xdr:col>3</xdr:col>
      <xdr:colOff>365272</xdr:colOff>
      <xdr:row>18</xdr:row>
      <xdr:rowOff>214639</xdr:rowOff>
    </xdr:to>
    <xdr:cxnSp macro="">
      <xdr:nvCxnSpPr>
        <xdr:cNvPr id="41" name="Straight Connector 40"/>
        <xdr:cNvCxnSpPr/>
      </xdr:nvCxnSpPr>
      <xdr:spPr>
        <a:xfrm>
          <a:off x="450641" y="4796164"/>
          <a:ext cx="1457681"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469722</xdr:colOff>
      <xdr:row>4</xdr:row>
      <xdr:rowOff>97806</xdr:rowOff>
    </xdr:from>
    <xdr:to>
      <xdr:col>5</xdr:col>
      <xdr:colOff>101743</xdr:colOff>
      <xdr:row>17</xdr:row>
      <xdr:rowOff>138610</xdr:rowOff>
    </xdr:to>
    <xdr:grpSp>
      <xdr:nvGrpSpPr>
        <xdr:cNvPr id="46" name="Group 45"/>
        <xdr:cNvGrpSpPr>
          <a:grpSpLocks/>
        </xdr:cNvGrpSpPr>
      </xdr:nvGrpSpPr>
      <xdr:grpSpPr bwMode="auto">
        <a:xfrm>
          <a:off x="2127072" y="897906"/>
          <a:ext cx="736921" cy="2555404"/>
          <a:chOff x="1800225" y="800100"/>
          <a:chExt cx="352425" cy="2095500"/>
        </a:xfrm>
      </xdr:grpSpPr>
      <xdr:cxnSp macro="">
        <xdr:nvCxnSpPr>
          <xdr:cNvPr id="47" name="Straight Connector 46"/>
          <xdr:cNvCxnSpPr/>
        </xdr:nvCxnSpPr>
        <xdr:spPr>
          <a:xfrm>
            <a:off x="1800225" y="805582"/>
            <a:ext cx="3524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xdr:cNvCxnSpPr/>
        </xdr:nvCxnSpPr>
        <xdr:spPr>
          <a:xfrm>
            <a:off x="1800225" y="2895600"/>
            <a:ext cx="3524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xdr:cNvCxnSpPr/>
        </xdr:nvCxnSpPr>
        <xdr:spPr>
          <a:xfrm>
            <a:off x="2109200" y="800100"/>
            <a:ext cx="0" cy="2088397"/>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276225</xdr:colOff>
      <xdr:row>8</xdr:row>
      <xdr:rowOff>26604</xdr:rowOff>
    </xdr:from>
    <xdr:to>
      <xdr:col>6</xdr:col>
      <xdr:colOff>142875</xdr:colOff>
      <xdr:row>8</xdr:row>
      <xdr:rowOff>26604</xdr:rowOff>
    </xdr:to>
    <xdr:cxnSp macro="">
      <xdr:nvCxnSpPr>
        <xdr:cNvPr id="50" name="Straight Connector 49"/>
        <xdr:cNvCxnSpPr/>
      </xdr:nvCxnSpPr>
      <xdr:spPr>
        <a:xfrm flipH="1">
          <a:off x="276225" y="1664904"/>
          <a:ext cx="2952750" cy="0"/>
        </a:xfrm>
        <a:prstGeom prst="line">
          <a:avLst/>
        </a:prstGeom>
        <a:ln w="9525">
          <a:solidFill>
            <a:schemeClr val="tx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460518</xdr:colOff>
      <xdr:row>10</xdr:row>
      <xdr:rowOff>102124</xdr:rowOff>
    </xdr:from>
    <xdr:to>
      <xdr:col>3</xdr:col>
      <xdr:colOff>130461</xdr:colOff>
      <xdr:row>13</xdr:row>
      <xdr:rowOff>169456</xdr:rowOff>
    </xdr:to>
    <xdr:grpSp>
      <xdr:nvGrpSpPr>
        <xdr:cNvPr id="52" name="Group 51"/>
        <xdr:cNvGrpSpPr>
          <a:grpSpLocks/>
        </xdr:cNvGrpSpPr>
      </xdr:nvGrpSpPr>
      <xdr:grpSpPr bwMode="auto">
        <a:xfrm>
          <a:off x="1012968" y="2083324"/>
          <a:ext cx="774843" cy="638832"/>
          <a:chOff x="2257425" y="3667125"/>
          <a:chExt cx="685799" cy="742950"/>
        </a:xfrm>
      </xdr:grpSpPr>
      <xdr:sp macro="" textlink="">
        <xdr:nvSpPr>
          <xdr:cNvPr id="53" name="Freeform 52"/>
          <xdr:cNvSpPr/>
        </xdr:nvSpPr>
        <xdr:spPr>
          <a:xfrm>
            <a:off x="2419350" y="3667125"/>
            <a:ext cx="523874" cy="533400"/>
          </a:xfrm>
          <a:custGeom>
            <a:avLst/>
            <a:gdLst>
              <a:gd name="connsiteX0" fmla="*/ 0 w 981075"/>
              <a:gd name="connsiteY0" fmla="*/ 0 h 942975"/>
              <a:gd name="connsiteX1" fmla="*/ 0 w 981075"/>
              <a:gd name="connsiteY1" fmla="*/ 942975 h 942975"/>
              <a:gd name="connsiteX2" fmla="*/ 981075 w 981075"/>
              <a:gd name="connsiteY2" fmla="*/ 942975 h 942975"/>
            </a:gdLst>
            <a:ahLst/>
            <a:cxnLst>
              <a:cxn ang="0">
                <a:pos x="connsiteX0" y="connsiteY0"/>
              </a:cxn>
              <a:cxn ang="0">
                <a:pos x="connsiteX1" y="connsiteY1"/>
              </a:cxn>
              <a:cxn ang="0">
                <a:pos x="connsiteX2" y="connsiteY2"/>
              </a:cxn>
            </a:cxnLst>
            <a:rect l="l" t="t" r="r" b="b"/>
            <a:pathLst>
              <a:path w="981075" h="942975">
                <a:moveTo>
                  <a:pt x="0" y="0"/>
                </a:moveTo>
                <a:lnTo>
                  <a:pt x="0" y="942975"/>
                </a:lnTo>
                <a:lnTo>
                  <a:pt x="981075" y="942975"/>
                </a:lnTo>
              </a:path>
            </a:pathLst>
          </a:custGeom>
          <a:noFill/>
          <a:ln w="9525">
            <a:solidFill>
              <a:schemeClr val="tx2"/>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sp macro="" textlink="">
        <xdr:nvSpPr>
          <xdr:cNvPr id="54" name="TextBox 53"/>
          <xdr:cNvSpPr txBox="1"/>
        </xdr:nvSpPr>
        <xdr:spPr>
          <a:xfrm>
            <a:off x="2257425" y="3743325"/>
            <a:ext cx="133350"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L</a:t>
            </a:r>
          </a:p>
        </xdr:txBody>
      </xdr:sp>
      <xdr:sp macro="" textlink="">
        <xdr:nvSpPr>
          <xdr:cNvPr id="55" name="TextBox 54"/>
          <xdr:cNvSpPr txBox="1"/>
        </xdr:nvSpPr>
        <xdr:spPr>
          <a:xfrm>
            <a:off x="2752724" y="4229100"/>
            <a:ext cx="133350"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T</a:t>
            </a:r>
          </a:p>
        </xdr:txBody>
      </xdr:sp>
    </xdr:grpSp>
    <xdr:clientData/>
  </xdr:twoCellAnchor>
  <xdr:twoCellAnchor>
    <xdr:from>
      <xdr:col>5</xdr:col>
      <xdr:colOff>114299</xdr:colOff>
      <xdr:row>7</xdr:row>
      <xdr:rowOff>66680</xdr:rowOff>
    </xdr:from>
    <xdr:to>
      <xdr:col>5</xdr:col>
      <xdr:colOff>274722</xdr:colOff>
      <xdr:row>8</xdr:row>
      <xdr:rowOff>131848</xdr:rowOff>
    </xdr:to>
    <xdr:sp macro="" textlink="">
      <xdr:nvSpPr>
        <xdr:cNvPr id="56" name="Arc 55"/>
        <xdr:cNvSpPr>
          <a:spLocks noChangeAspect="1"/>
        </xdr:cNvSpPr>
      </xdr:nvSpPr>
      <xdr:spPr bwMode="auto">
        <a:xfrm>
          <a:off x="2686049" y="1514480"/>
          <a:ext cx="160423" cy="255668"/>
        </a:xfrm>
        <a:prstGeom prst="arc">
          <a:avLst>
            <a:gd name="adj1" fmla="val 3378596"/>
            <a:gd name="adj2" fmla="val 19709723"/>
          </a:avLst>
        </a:prstGeom>
        <a:noFill/>
        <a:ln w="9525" cap="flat" cmpd="sng" algn="ctr">
          <a:solidFill>
            <a:schemeClr val="accent1">
              <a:lumMod val="50000"/>
            </a:schemeClr>
          </a:solidFill>
          <a:prstDash val="solid"/>
          <a:round/>
          <a:headEnd type="stealth" w="med" len="med"/>
          <a:tailEnd type="none" w="med" len="med"/>
        </a:ln>
        <a:effectLst/>
        <a:extLst/>
      </xdr:spPr>
      <xdr:txBody>
        <a:bodyPr vertOverflow="clip" horzOverflow="clip" rtlCol="0" anchor="t"/>
        <a:lstStyle/>
        <a:p>
          <a:pPr algn="l"/>
          <a:endParaRPr lang="en-IN" sz="1100"/>
        </a:p>
      </xdr:txBody>
    </xdr:sp>
    <xdr:clientData/>
  </xdr:twoCellAnchor>
  <xdr:twoCellAnchor>
    <xdr:from>
      <xdr:col>2</xdr:col>
      <xdr:colOff>123825</xdr:colOff>
      <xdr:row>2</xdr:row>
      <xdr:rowOff>95250</xdr:rowOff>
    </xdr:from>
    <xdr:to>
      <xdr:col>2</xdr:col>
      <xdr:colOff>123825</xdr:colOff>
      <xdr:row>21</xdr:row>
      <xdr:rowOff>0</xdr:rowOff>
    </xdr:to>
    <xdr:cxnSp macro="">
      <xdr:nvCxnSpPr>
        <xdr:cNvPr id="58" name="Straight Connector 57"/>
        <xdr:cNvCxnSpPr/>
      </xdr:nvCxnSpPr>
      <xdr:spPr>
        <a:xfrm>
          <a:off x="1152525" y="476250"/>
          <a:ext cx="0" cy="4762500"/>
        </a:xfrm>
        <a:prstGeom prst="line">
          <a:avLst/>
        </a:prstGeom>
        <a:ln w="9525">
          <a:solidFill>
            <a:schemeClr val="tx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476249</xdr:colOff>
      <xdr:row>3</xdr:row>
      <xdr:rowOff>19049</xdr:rowOff>
    </xdr:from>
    <xdr:to>
      <xdr:col>2</xdr:col>
      <xdr:colOff>276225</xdr:colOff>
      <xdr:row>4</xdr:row>
      <xdr:rowOff>8022</xdr:rowOff>
    </xdr:to>
    <xdr:sp macro="" textlink="">
      <xdr:nvSpPr>
        <xdr:cNvPr id="59" name="Arc 58"/>
        <xdr:cNvSpPr>
          <a:spLocks noChangeAspect="1"/>
        </xdr:cNvSpPr>
      </xdr:nvSpPr>
      <xdr:spPr bwMode="auto">
        <a:xfrm>
          <a:off x="990599" y="638174"/>
          <a:ext cx="314326" cy="179473"/>
        </a:xfrm>
        <a:prstGeom prst="arc">
          <a:avLst>
            <a:gd name="adj1" fmla="val 8026294"/>
            <a:gd name="adj2" fmla="val 2046237"/>
          </a:avLst>
        </a:prstGeom>
        <a:noFill/>
        <a:ln w="9525" cap="flat" cmpd="sng" algn="ctr">
          <a:solidFill>
            <a:schemeClr val="accent1">
              <a:lumMod val="50000"/>
            </a:schemeClr>
          </a:solidFill>
          <a:prstDash val="solid"/>
          <a:round/>
          <a:headEnd type="stealth" w="med" len="med"/>
          <a:tailEnd type="none" w="med" len="med"/>
        </a:ln>
        <a:effectLst/>
        <a:extLst/>
      </xdr:spPr>
      <xdr:txBody>
        <a:bodyPr vertOverflow="clip" horzOverflow="clip" rtlCol="0" anchor="t"/>
        <a:lstStyle/>
        <a:p>
          <a:pPr algn="l"/>
          <a:endParaRPr lang="en-IN" sz="11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409575</xdr:colOff>
      <xdr:row>2</xdr:row>
      <xdr:rowOff>104775</xdr:rowOff>
    </xdr:from>
    <xdr:to>
      <xdr:col>3</xdr:col>
      <xdr:colOff>361950</xdr:colOff>
      <xdr:row>16</xdr:row>
      <xdr:rowOff>104775</xdr:rowOff>
    </xdr:to>
    <xdr:sp macro="" textlink="">
      <xdr:nvSpPr>
        <xdr:cNvPr id="2" name="Rectangle 1"/>
        <xdr:cNvSpPr/>
      </xdr:nvSpPr>
      <xdr:spPr>
        <a:xfrm>
          <a:off x="409575" y="485775"/>
          <a:ext cx="1495425" cy="289560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114300</xdr:colOff>
      <xdr:row>3</xdr:row>
      <xdr:rowOff>9525</xdr:rowOff>
    </xdr:from>
    <xdr:to>
      <xdr:col>3</xdr:col>
      <xdr:colOff>165600</xdr:colOff>
      <xdr:row>3</xdr:row>
      <xdr:rowOff>9525</xdr:rowOff>
    </xdr:to>
    <xdr:cxnSp macro="">
      <xdr:nvCxnSpPr>
        <xdr:cNvPr id="3" name="Straight Connector 2"/>
        <xdr:cNvCxnSpPr/>
      </xdr:nvCxnSpPr>
      <xdr:spPr>
        <a:xfrm>
          <a:off x="628650" y="609600"/>
          <a:ext cx="1080000" cy="0"/>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3</xdr:row>
      <xdr:rowOff>9526</xdr:rowOff>
    </xdr:from>
    <xdr:to>
      <xdr:col>1</xdr:col>
      <xdr:colOff>0</xdr:colOff>
      <xdr:row>16</xdr:row>
      <xdr:rowOff>9525</xdr:rowOff>
    </xdr:to>
    <xdr:cxnSp macro="">
      <xdr:nvCxnSpPr>
        <xdr:cNvPr id="4" name="Straight Connector 3"/>
        <xdr:cNvCxnSpPr/>
      </xdr:nvCxnSpPr>
      <xdr:spPr>
        <a:xfrm flipV="1">
          <a:off x="514350" y="609601"/>
          <a:ext cx="0" cy="2676524"/>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276225</xdr:colOff>
      <xdr:row>3</xdr:row>
      <xdr:rowOff>0</xdr:rowOff>
    </xdr:from>
    <xdr:to>
      <xdr:col>3</xdr:col>
      <xdr:colOff>276225</xdr:colOff>
      <xdr:row>16</xdr:row>
      <xdr:rowOff>7500</xdr:rowOff>
    </xdr:to>
    <xdr:cxnSp macro="">
      <xdr:nvCxnSpPr>
        <xdr:cNvPr id="5" name="Straight Connector 4"/>
        <xdr:cNvCxnSpPr/>
      </xdr:nvCxnSpPr>
      <xdr:spPr>
        <a:xfrm flipV="1">
          <a:off x="1819275" y="600075"/>
          <a:ext cx="0" cy="2684025"/>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123825</xdr:colOff>
      <xdr:row>16</xdr:row>
      <xdr:rowOff>0</xdr:rowOff>
    </xdr:from>
    <xdr:to>
      <xdr:col>3</xdr:col>
      <xdr:colOff>175125</xdr:colOff>
      <xdr:row>16</xdr:row>
      <xdr:rowOff>0</xdr:rowOff>
    </xdr:to>
    <xdr:cxnSp macro="">
      <xdr:nvCxnSpPr>
        <xdr:cNvPr id="6" name="Straight Connector 5"/>
        <xdr:cNvCxnSpPr/>
      </xdr:nvCxnSpPr>
      <xdr:spPr>
        <a:xfrm>
          <a:off x="638175" y="3276600"/>
          <a:ext cx="1080000" cy="0"/>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361950</xdr:colOff>
      <xdr:row>16</xdr:row>
      <xdr:rowOff>163924</xdr:rowOff>
    </xdr:from>
    <xdr:to>
      <xdr:col>3</xdr:col>
      <xdr:colOff>361950</xdr:colOff>
      <xdr:row>18</xdr:row>
      <xdr:rowOff>114300</xdr:rowOff>
    </xdr:to>
    <xdr:cxnSp macro="">
      <xdr:nvCxnSpPr>
        <xdr:cNvPr id="7" name="Straight Connector 6"/>
        <xdr:cNvCxnSpPr/>
      </xdr:nvCxnSpPr>
      <xdr:spPr>
        <a:xfrm>
          <a:off x="1905000" y="3440524"/>
          <a:ext cx="0" cy="331376"/>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409576</xdr:colOff>
      <xdr:row>16</xdr:row>
      <xdr:rowOff>152399</xdr:rowOff>
    </xdr:from>
    <xdr:to>
      <xdr:col>0</xdr:col>
      <xdr:colOff>409576</xdr:colOff>
      <xdr:row>18</xdr:row>
      <xdr:rowOff>119874</xdr:rowOff>
    </xdr:to>
    <xdr:cxnSp macro="">
      <xdr:nvCxnSpPr>
        <xdr:cNvPr id="8" name="Straight Connector 7"/>
        <xdr:cNvCxnSpPr/>
      </xdr:nvCxnSpPr>
      <xdr:spPr>
        <a:xfrm>
          <a:off x="409576" y="3428999"/>
          <a:ext cx="0" cy="34847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447435</xdr:colOff>
      <xdr:row>18</xdr:row>
      <xdr:rowOff>4623</xdr:rowOff>
    </xdr:from>
    <xdr:to>
      <xdr:col>3</xdr:col>
      <xdr:colOff>335270</xdr:colOff>
      <xdr:row>18</xdr:row>
      <xdr:rowOff>4623</xdr:rowOff>
    </xdr:to>
    <xdr:cxnSp macro="">
      <xdr:nvCxnSpPr>
        <xdr:cNvPr id="9" name="Straight Connector 8"/>
        <xdr:cNvCxnSpPr/>
      </xdr:nvCxnSpPr>
      <xdr:spPr>
        <a:xfrm>
          <a:off x="447435" y="3662223"/>
          <a:ext cx="143088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423448</xdr:colOff>
      <xdr:row>2</xdr:row>
      <xdr:rowOff>104775</xdr:rowOff>
    </xdr:from>
    <xdr:to>
      <xdr:col>4</xdr:col>
      <xdr:colOff>152400</xdr:colOff>
      <xdr:row>16</xdr:row>
      <xdr:rowOff>118725</xdr:rowOff>
    </xdr:to>
    <xdr:grpSp>
      <xdr:nvGrpSpPr>
        <xdr:cNvPr id="10" name="Group 9"/>
        <xdr:cNvGrpSpPr/>
      </xdr:nvGrpSpPr>
      <xdr:grpSpPr>
        <a:xfrm>
          <a:off x="1766473" y="485775"/>
          <a:ext cx="176627" cy="2909550"/>
          <a:chOff x="1800225" y="800100"/>
          <a:chExt cx="352425" cy="2095500"/>
        </a:xfrm>
      </xdr:grpSpPr>
      <xdr:cxnSp macro="">
        <xdr:nvCxnSpPr>
          <xdr:cNvPr id="11" name="Straight Connector 10"/>
          <xdr:cNvCxnSpPr/>
        </xdr:nvCxnSpPr>
        <xdr:spPr>
          <a:xfrm>
            <a:off x="1800225" y="800100"/>
            <a:ext cx="3524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xdr:cNvCxnSpPr/>
        </xdr:nvCxnSpPr>
        <xdr:spPr>
          <a:xfrm>
            <a:off x="1800225" y="2895600"/>
            <a:ext cx="3524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xdr:cNvCxnSpPr/>
        </xdr:nvCxnSpPr>
        <xdr:spPr>
          <a:xfrm>
            <a:off x="2013303" y="800100"/>
            <a:ext cx="0" cy="208800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495300</xdr:colOff>
      <xdr:row>6</xdr:row>
      <xdr:rowOff>142875</xdr:rowOff>
    </xdr:from>
    <xdr:to>
      <xdr:col>3</xdr:col>
      <xdr:colOff>152399</xdr:colOff>
      <xdr:row>10</xdr:row>
      <xdr:rowOff>123825</xdr:rowOff>
    </xdr:to>
    <xdr:grpSp>
      <xdr:nvGrpSpPr>
        <xdr:cNvPr id="14" name="Group 13"/>
        <xdr:cNvGrpSpPr/>
      </xdr:nvGrpSpPr>
      <xdr:grpSpPr>
        <a:xfrm>
          <a:off x="895350" y="1343025"/>
          <a:ext cx="600074" cy="838200"/>
          <a:chOff x="2257425" y="3667125"/>
          <a:chExt cx="685799" cy="742950"/>
        </a:xfrm>
      </xdr:grpSpPr>
      <xdr:sp macro="" textlink="">
        <xdr:nvSpPr>
          <xdr:cNvPr id="15" name="Freeform 14"/>
          <xdr:cNvSpPr/>
        </xdr:nvSpPr>
        <xdr:spPr>
          <a:xfrm>
            <a:off x="2419349" y="3667125"/>
            <a:ext cx="523875" cy="533400"/>
          </a:xfrm>
          <a:custGeom>
            <a:avLst/>
            <a:gdLst>
              <a:gd name="connsiteX0" fmla="*/ 0 w 981075"/>
              <a:gd name="connsiteY0" fmla="*/ 0 h 942975"/>
              <a:gd name="connsiteX1" fmla="*/ 0 w 981075"/>
              <a:gd name="connsiteY1" fmla="*/ 942975 h 942975"/>
              <a:gd name="connsiteX2" fmla="*/ 981075 w 981075"/>
              <a:gd name="connsiteY2" fmla="*/ 942975 h 942975"/>
            </a:gdLst>
            <a:ahLst/>
            <a:cxnLst>
              <a:cxn ang="0">
                <a:pos x="connsiteX0" y="connsiteY0"/>
              </a:cxn>
              <a:cxn ang="0">
                <a:pos x="connsiteX1" y="connsiteY1"/>
              </a:cxn>
              <a:cxn ang="0">
                <a:pos x="connsiteX2" y="connsiteY2"/>
              </a:cxn>
            </a:cxnLst>
            <a:rect l="l" t="t" r="r" b="b"/>
            <a:pathLst>
              <a:path w="981075" h="942975">
                <a:moveTo>
                  <a:pt x="0" y="0"/>
                </a:moveTo>
                <a:lnTo>
                  <a:pt x="0" y="942975"/>
                </a:lnTo>
                <a:lnTo>
                  <a:pt x="981075" y="942975"/>
                </a:lnTo>
              </a:path>
            </a:pathLst>
          </a:custGeom>
          <a:noFill/>
          <a:ln w="9525">
            <a:solidFill>
              <a:schemeClr val="tx2"/>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sp macro="" textlink="">
        <xdr:nvSpPr>
          <xdr:cNvPr id="16" name="TextBox 15"/>
          <xdr:cNvSpPr txBox="1"/>
        </xdr:nvSpPr>
        <xdr:spPr>
          <a:xfrm>
            <a:off x="2257425" y="3743325"/>
            <a:ext cx="133350"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T</a:t>
            </a:r>
          </a:p>
        </xdr:txBody>
      </xdr:sp>
      <xdr:sp macro="" textlink="">
        <xdr:nvSpPr>
          <xdr:cNvPr id="17" name="TextBox 16"/>
          <xdr:cNvSpPr txBox="1"/>
        </xdr:nvSpPr>
        <xdr:spPr>
          <a:xfrm>
            <a:off x="2752725" y="4229100"/>
            <a:ext cx="133350"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L</a:t>
            </a:r>
          </a:p>
        </xdr:txBody>
      </xdr:sp>
    </xdr:grpSp>
    <xdr:clientData/>
  </xdr:twoCellAnchor>
  <xdr:twoCellAnchor>
    <xdr:from>
      <xdr:col>2</xdr:col>
      <xdr:colOff>142875</xdr:colOff>
      <xdr:row>1</xdr:row>
      <xdr:rowOff>95250</xdr:rowOff>
    </xdr:from>
    <xdr:to>
      <xdr:col>2</xdr:col>
      <xdr:colOff>142875</xdr:colOff>
      <xdr:row>19</xdr:row>
      <xdr:rowOff>38100</xdr:rowOff>
    </xdr:to>
    <xdr:cxnSp macro="">
      <xdr:nvCxnSpPr>
        <xdr:cNvPr id="35" name="Straight Connector 34"/>
        <xdr:cNvCxnSpPr/>
      </xdr:nvCxnSpPr>
      <xdr:spPr>
        <a:xfrm>
          <a:off x="1171575" y="285750"/>
          <a:ext cx="0" cy="3600450"/>
        </a:xfrm>
        <a:prstGeom prst="line">
          <a:avLst/>
        </a:prstGeom>
        <a:ln w="9525">
          <a:solidFill>
            <a:schemeClr val="tx2"/>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161925</xdr:colOff>
      <xdr:row>9</xdr:row>
      <xdr:rowOff>0</xdr:rowOff>
    </xdr:from>
    <xdr:to>
      <xdr:col>4</xdr:col>
      <xdr:colOff>438150</xdr:colOff>
      <xdr:row>9</xdr:row>
      <xdr:rowOff>0</xdr:rowOff>
    </xdr:to>
    <xdr:cxnSp macro="">
      <xdr:nvCxnSpPr>
        <xdr:cNvPr id="37" name="Straight Connector 36"/>
        <xdr:cNvCxnSpPr/>
      </xdr:nvCxnSpPr>
      <xdr:spPr>
        <a:xfrm>
          <a:off x="161925" y="1819275"/>
          <a:ext cx="2333625" cy="0"/>
        </a:xfrm>
        <a:prstGeom prst="line">
          <a:avLst/>
        </a:prstGeom>
        <a:ln w="9525">
          <a:solidFill>
            <a:schemeClr val="tx2"/>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38100</xdr:colOff>
      <xdr:row>104</xdr:row>
      <xdr:rowOff>161925</xdr:rowOff>
    </xdr:from>
    <xdr:to>
      <xdr:col>2</xdr:col>
      <xdr:colOff>495300</xdr:colOff>
      <xdr:row>107</xdr:row>
      <xdr:rowOff>28575</xdr:rowOff>
    </xdr:to>
    <xdr:sp macro="" textlink="">
      <xdr:nvSpPr>
        <xdr:cNvPr id="2" name="Double Bracket 1"/>
        <xdr:cNvSpPr/>
      </xdr:nvSpPr>
      <xdr:spPr>
        <a:xfrm>
          <a:off x="1066800" y="21240750"/>
          <a:ext cx="457200" cy="533400"/>
        </a:xfrm>
        <a:prstGeom prst="bracketPair">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19050</xdr:colOff>
      <xdr:row>104</xdr:row>
      <xdr:rowOff>190500</xdr:rowOff>
    </xdr:from>
    <xdr:to>
      <xdr:col>4</xdr:col>
      <xdr:colOff>476250</xdr:colOff>
      <xdr:row>107</xdr:row>
      <xdr:rowOff>57150</xdr:rowOff>
    </xdr:to>
    <xdr:sp macro="" textlink="">
      <xdr:nvSpPr>
        <xdr:cNvPr id="3" name="Double Bracket 2"/>
        <xdr:cNvSpPr/>
      </xdr:nvSpPr>
      <xdr:spPr>
        <a:xfrm>
          <a:off x="2076450" y="21269325"/>
          <a:ext cx="457200" cy="533400"/>
        </a:xfrm>
        <a:prstGeom prst="bracketPair">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495300</xdr:colOff>
      <xdr:row>69</xdr:row>
      <xdr:rowOff>180975</xdr:rowOff>
    </xdr:from>
    <xdr:to>
      <xdr:col>2</xdr:col>
      <xdr:colOff>66675</xdr:colOff>
      <xdr:row>72</xdr:row>
      <xdr:rowOff>38100</xdr:rowOff>
    </xdr:to>
    <xdr:sp macro="" textlink="">
      <xdr:nvSpPr>
        <xdr:cNvPr id="4" name="Left Brace 3"/>
        <xdr:cNvSpPr/>
      </xdr:nvSpPr>
      <xdr:spPr>
        <a:xfrm>
          <a:off x="1009650" y="13801725"/>
          <a:ext cx="85725" cy="485775"/>
        </a:xfrm>
        <a:prstGeom prst="leftBrace">
          <a:avLst>
            <a:gd name="adj1" fmla="val 28333"/>
            <a:gd name="adj2"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twoCellAnchor>
    <xdr:from>
      <xdr:col>1</xdr:col>
      <xdr:colOff>504825</xdr:colOff>
      <xdr:row>77</xdr:row>
      <xdr:rowOff>9524</xdr:rowOff>
    </xdr:from>
    <xdr:to>
      <xdr:col>2</xdr:col>
      <xdr:colOff>76200</xdr:colOff>
      <xdr:row>79</xdr:row>
      <xdr:rowOff>221474</xdr:rowOff>
    </xdr:to>
    <xdr:sp macro="" textlink="">
      <xdr:nvSpPr>
        <xdr:cNvPr id="5" name="Left Brace 4"/>
        <xdr:cNvSpPr/>
      </xdr:nvSpPr>
      <xdr:spPr>
        <a:xfrm>
          <a:off x="1019175" y="15287624"/>
          <a:ext cx="85725" cy="612000"/>
        </a:xfrm>
        <a:prstGeom prst="leftBrace">
          <a:avLst>
            <a:gd name="adj1" fmla="val 28333"/>
            <a:gd name="adj2"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twoCellAnchor>
    <xdr:from>
      <xdr:col>1</xdr:col>
      <xdr:colOff>504825</xdr:colOff>
      <xdr:row>88</xdr:row>
      <xdr:rowOff>180975</xdr:rowOff>
    </xdr:from>
    <xdr:to>
      <xdr:col>2</xdr:col>
      <xdr:colOff>66675</xdr:colOff>
      <xdr:row>91</xdr:row>
      <xdr:rowOff>19050</xdr:rowOff>
    </xdr:to>
    <xdr:sp macro="" textlink="">
      <xdr:nvSpPr>
        <xdr:cNvPr id="6" name="AutoShape 42"/>
        <xdr:cNvSpPr>
          <a:spLocks/>
        </xdr:cNvSpPr>
      </xdr:nvSpPr>
      <xdr:spPr bwMode="auto">
        <a:xfrm>
          <a:off x="1019175" y="17668875"/>
          <a:ext cx="76200" cy="428625"/>
        </a:xfrm>
        <a:prstGeom prst="leftBrace">
          <a:avLst>
            <a:gd name="adj1" fmla="val 39167"/>
            <a:gd name="adj2"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a:lstStyle/>
        <a:p>
          <a:endParaRPr lang="en-US"/>
        </a:p>
      </xdr:txBody>
    </xdr:sp>
    <xdr:clientData/>
  </xdr:twoCellAnchor>
  <xdr:twoCellAnchor>
    <xdr:from>
      <xdr:col>2</xdr:col>
      <xdr:colOff>495300</xdr:colOff>
      <xdr:row>94</xdr:row>
      <xdr:rowOff>0</xdr:rowOff>
    </xdr:from>
    <xdr:to>
      <xdr:col>3</xdr:col>
      <xdr:colOff>85725</xdr:colOff>
      <xdr:row>95</xdr:row>
      <xdr:rowOff>180975</xdr:rowOff>
    </xdr:to>
    <xdr:sp macro="" textlink="">
      <xdr:nvSpPr>
        <xdr:cNvPr id="7" name="Freeform 23"/>
        <xdr:cNvSpPr>
          <a:spLocks/>
        </xdr:cNvSpPr>
      </xdr:nvSpPr>
      <xdr:spPr bwMode="auto">
        <a:xfrm>
          <a:off x="1524000" y="18659475"/>
          <a:ext cx="104775" cy="381000"/>
        </a:xfrm>
        <a:custGeom>
          <a:avLst/>
          <a:gdLst>
            <a:gd name="T0" fmla="*/ 187121602 w 64"/>
            <a:gd name="T1" fmla="*/ 0 h 72"/>
            <a:gd name="T2" fmla="*/ 0 w 64"/>
            <a:gd name="T3" fmla="*/ 0 h 72"/>
            <a:gd name="T4" fmla="*/ 0 w 64"/>
            <a:gd name="T5" fmla="*/ 1713706250 h 72"/>
            <a:gd name="T6" fmla="*/ 187121602 w 64"/>
            <a:gd name="T7" fmla="*/ 1713706250 h 72"/>
            <a:gd name="T8" fmla="*/ 0 60000 65536"/>
            <a:gd name="T9" fmla="*/ 0 60000 65536"/>
            <a:gd name="T10" fmla="*/ 0 60000 65536"/>
            <a:gd name="T11" fmla="*/ 0 60000 65536"/>
            <a:gd name="T12" fmla="*/ 0 w 64"/>
            <a:gd name="T13" fmla="*/ 0 h 72"/>
            <a:gd name="T14" fmla="*/ 64 w 64"/>
            <a:gd name="T15" fmla="*/ 72 h 72"/>
          </a:gdLst>
          <a:ahLst/>
          <a:cxnLst>
            <a:cxn ang="T8">
              <a:pos x="T0" y="T1"/>
            </a:cxn>
            <a:cxn ang="T9">
              <a:pos x="T2" y="T3"/>
            </a:cxn>
            <a:cxn ang="T10">
              <a:pos x="T4" y="T5"/>
            </a:cxn>
            <a:cxn ang="T11">
              <a:pos x="T6" y="T7"/>
            </a:cxn>
          </a:cxnLst>
          <a:rect l="T12" t="T13" r="T14" b="T15"/>
          <a:pathLst>
            <a:path w="64" h="72">
              <a:moveTo>
                <a:pt x="64" y="0"/>
              </a:moveTo>
              <a:lnTo>
                <a:pt x="0" y="0"/>
              </a:lnTo>
              <a:lnTo>
                <a:pt x="0" y="72"/>
              </a:lnTo>
              <a:lnTo>
                <a:pt x="64" y="72"/>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4</xdr:col>
      <xdr:colOff>447675</xdr:colOff>
      <xdr:row>94</xdr:row>
      <xdr:rowOff>0</xdr:rowOff>
    </xdr:from>
    <xdr:to>
      <xdr:col>5</xdr:col>
      <xdr:colOff>47625</xdr:colOff>
      <xdr:row>95</xdr:row>
      <xdr:rowOff>161925</xdr:rowOff>
    </xdr:to>
    <xdr:sp macro="" textlink="">
      <xdr:nvSpPr>
        <xdr:cNvPr id="8" name="Freeform 24"/>
        <xdr:cNvSpPr>
          <a:spLocks/>
        </xdr:cNvSpPr>
      </xdr:nvSpPr>
      <xdr:spPr bwMode="auto">
        <a:xfrm flipH="1">
          <a:off x="2505075" y="18659475"/>
          <a:ext cx="114300" cy="361950"/>
        </a:xfrm>
        <a:custGeom>
          <a:avLst/>
          <a:gdLst>
            <a:gd name="T0" fmla="*/ 204132656 w 64"/>
            <a:gd name="T1" fmla="*/ 0 h 72"/>
            <a:gd name="T2" fmla="*/ 0 w 64"/>
            <a:gd name="T3" fmla="*/ 0 h 72"/>
            <a:gd name="T4" fmla="*/ 0 w 64"/>
            <a:gd name="T5" fmla="*/ 1628020938 h 72"/>
            <a:gd name="T6" fmla="*/ 204132656 w 64"/>
            <a:gd name="T7" fmla="*/ 1628020938 h 72"/>
            <a:gd name="T8" fmla="*/ 0 60000 65536"/>
            <a:gd name="T9" fmla="*/ 0 60000 65536"/>
            <a:gd name="T10" fmla="*/ 0 60000 65536"/>
            <a:gd name="T11" fmla="*/ 0 60000 65536"/>
            <a:gd name="T12" fmla="*/ 0 w 64"/>
            <a:gd name="T13" fmla="*/ 0 h 72"/>
            <a:gd name="T14" fmla="*/ 64 w 64"/>
            <a:gd name="T15" fmla="*/ 72 h 72"/>
          </a:gdLst>
          <a:ahLst/>
          <a:cxnLst>
            <a:cxn ang="T8">
              <a:pos x="T0" y="T1"/>
            </a:cxn>
            <a:cxn ang="T9">
              <a:pos x="T2" y="T3"/>
            </a:cxn>
            <a:cxn ang="T10">
              <a:pos x="T4" y="T5"/>
            </a:cxn>
            <a:cxn ang="T11">
              <a:pos x="T6" y="T7"/>
            </a:cxn>
          </a:cxnLst>
          <a:rect l="T12" t="T13" r="T14" b="T15"/>
          <a:pathLst>
            <a:path w="64" h="72">
              <a:moveTo>
                <a:pt x="64" y="0"/>
              </a:moveTo>
              <a:lnTo>
                <a:pt x="0" y="0"/>
              </a:lnTo>
              <a:lnTo>
                <a:pt x="0" y="72"/>
              </a:lnTo>
              <a:lnTo>
                <a:pt x="64" y="72"/>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1</xdr:col>
      <xdr:colOff>325531</xdr:colOff>
      <xdr:row>94</xdr:row>
      <xdr:rowOff>0</xdr:rowOff>
    </xdr:from>
    <xdr:to>
      <xdr:col>1</xdr:col>
      <xdr:colOff>435909</xdr:colOff>
      <xdr:row>99</xdr:row>
      <xdr:rowOff>0</xdr:rowOff>
    </xdr:to>
    <xdr:sp macro="" textlink="">
      <xdr:nvSpPr>
        <xdr:cNvPr id="9" name="AutoShape 28"/>
        <xdr:cNvSpPr>
          <a:spLocks/>
        </xdr:cNvSpPr>
      </xdr:nvSpPr>
      <xdr:spPr bwMode="auto">
        <a:xfrm>
          <a:off x="839881" y="18659475"/>
          <a:ext cx="110378" cy="1114425"/>
        </a:xfrm>
        <a:prstGeom prst="leftBrace">
          <a:avLst>
            <a:gd name="adj1" fmla="val 54688"/>
            <a:gd name="adj2"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a:lstStyle/>
        <a:p>
          <a:endParaRPr lang="en-US"/>
        </a:p>
      </xdr:txBody>
    </xdr:sp>
    <xdr:clientData/>
  </xdr:twoCellAnchor>
  <xdr:twoCellAnchor>
    <xdr:from>
      <xdr:col>3</xdr:col>
      <xdr:colOff>28575</xdr:colOff>
      <xdr:row>96</xdr:row>
      <xdr:rowOff>190500</xdr:rowOff>
    </xdr:from>
    <xdr:to>
      <xdr:col>3</xdr:col>
      <xdr:colOff>161925</xdr:colOff>
      <xdr:row>99</xdr:row>
      <xdr:rowOff>0</xdr:rowOff>
    </xdr:to>
    <xdr:sp macro="" textlink="">
      <xdr:nvSpPr>
        <xdr:cNvPr id="10" name="Freeform 23"/>
        <xdr:cNvSpPr>
          <a:spLocks/>
        </xdr:cNvSpPr>
      </xdr:nvSpPr>
      <xdr:spPr bwMode="auto">
        <a:xfrm>
          <a:off x="1571625" y="19250025"/>
          <a:ext cx="133350" cy="447675"/>
        </a:xfrm>
        <a:custGeom>
          <a:avLst/>
          <a:gdLst>
            <a:gd name="T0" fmla="*/ 238156552 w 64"/>
            <a:gd name="T1" fmla="*/ 0 h 72"/>
            <a:gd name="T2" fmla="*/ 0 w 64"/>
            <a:gd name="T3" fmla="*/ 0 h 72"/>
            <a:gd name="T4" fmla="*/ 0 w 64"/>
            <a:gd name="T5" fmla="*/ 2013609342 h 72"/>
            <a:gd name="T6" fmla="*/ 238156552 w 64"/>
            <a:gd name="T7" fmla="*/ 2013609342 h 72"/>
            <a:gd name="T8" fmla="*/ 0 60000 65536"/>
            <a:gd name="T9" fmla="*/ 0 60000 65536"/>
            <a:gd name="T10" fmla="*/ 0 60000 65536"/>
            <a:gd name="T11" fmla="*/ 0 60000 65536"/>
            <a:gd name="T12" fmla="*/ 0 w 64"/>
            <a:gd name="T13" fmla="*/ 0 h 72"/>
            <a:gd name="T14" fmla="*/ 64 w 64"/>
            <a:gd name="T15" fmla="*/ 72 h 72"/>
          </a:gdLst>
          <a:ahLst/>
          <a:cxnLst>
            <a:cxn ang="T8">
              <a:pos x="T0" y="T1"/>
            </a:cxn>
            <a:cxn ang="T9">
              <a:pos x="T2" y="T3"/>
            </a:cxn>
            <a:cxn ang="T10">
              <a:pos x="T4" y="T5"/>
            </a:cxn>
            <a:cxn ang="T11">
              <a:pos x="T6" y="T7"/>
            </a:cxn>
          </a:cxnLst>
          <a:rect l="T12" t="T13" r="T14" b="T15"/>
          <a:pathLst>
            <a:path w="64" h="72">
              <a:moveTo>
                <a:pt x="64" y="0"/>
              </a:moveTo>
              <a:lnTo>
                <a:pt x="0" y="0"/>
              </a:lnTo>
              <a:lnTo>
                <a:pt x="0" y="72"/>
              </a:lnTo>
              <a:lnTo>
                <a:pt x="64" y="72"/>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5</xdr:col>
      <xdr:colOff>104775</xdr:colOff>
      <xdr:row>96</xdr:row>
      <xdr:rowOff>161925</xdr:rowOff>
    </xdr:from>
    <xdr:to>
      <xdr:col>5</xdr:col>
      <xdr:colOff>219075</xdr:colOff>
      <xdr:row>99</xdr:row>
      <xdr:rowOff>0</xdr:rowOff>
    </xdr:to>
    <xdr:sp macro="" textlink="">
      <xdr:nvSpPr>
        <xdr:cNvPr id="11" name="Freeform 24"/>
        <xdr:cNvSpPr>
          <a:spLocks/>
        </xdr:cNvSpPr>
      </xdr:nvSpPr>
      <xdr:spPr bwMode="auto">
        <a:xfrm flipH="1">
          <a:off x="2676525" y="19221450"/>
          <a:ext cx="114300" cy="476250"/>
        </a:xfrm>
        <a:custGeom>
          <a:avLst/>
          <a:gdLst>
            <a:gd name="T0" fmla="*/ 204138014 w 64"/>
            <a:gd name="T1" fmla="*/ 0 h 72"/>
            <a:gd name="T2" fmla="*/ 0 w 64"/>
            <a:gd name="T3" fmla="*/ 0 h 72"/>
            <a:gd name="T4" fmla="*/ 0 w 64"/>
            <a:gd name="T5" fmla="*/ 2142132813 h 72"/>
            <a:gd name="T6" fmla="*/ 204138014 w 64"/>
            <a:gd name="T7" fmla="*/ 2142132813 h 72"/>
            <a:gd name="T8" fmla="*/ 0 60000 65536"/>
            <a:gd name="T9" fmla="*/ 0 60000 65536"/>
            <a:gd name="T10" fmla="*/ 0 60000 65536"/>
            <a:gd name="T11" fmla="*/ 0 60000 65536"/>
            <a:gd name="T12" fmla="*/ 0 w 64"/>
            <a:gd name="T13" fmla="*/ 0 h 72"/>
            <a:gd name="T14" fmla="*/ 64 w 64"/>
            <a:gd name="T15" fmla="*/ 72 h 72"/>
          </a:gdLst>
          <a:ahLst/>
          <a:cxnLst>
            <a:cxn ang="T8">
              <a:pos x="T0" y="T1"/>
            </a:cxn>
            <a:cxn ang="T9">
              <a:pos x="T2" y="T3"/>
            </a:cxn>
            <a:cxn ang="T10">
              <a:pos x="T4" y="T5"/>
            </a:cxn>
            <a:cxn ang="T11">
              <a:pos x="T6" y="T7"/>
            </a:cxn>
          </a:cxnLst>
          <a:rect l="T12" t="T13" r="T14" b="T15"/>
          <a:pathLst>
            <a:path w="64" h="72">
              <a:moveTo>
                <a:pt x="64" y="0"/>
              </a:moveTo>
              <a:lnTo>
                <a:pt x="0" y="0"/>
              </a:lnTo>
              <a:lnTo>
                <a:pt x="0" y="72"/>
              </a:lnTo>
              <a:lnTo>
                <a:pt x="64" y="72"/>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1</xdr:col>
      <xdr:colOff>504825</xdr:colOff>
      <xdr:row>81</xdr:row>
      <xdr:rowOff>9524</xdr:rowOff>
    </xdr:from>
    <xdr:to>
      <xdr:col>2</xdr:col>
      <xdr:colOff>76200</xdr:colOff>
      <xdr:row>83</xdr:row>
      <xdr:rowOff>221474</xdr:rowOff>
    </xdr:to>
    <xdr:sp macro="" textlink="">
      <xdr:nvSpPr>
        <xdr:cNvPr id="12" name="Left Brace 11"/>
        <xdr:cNvSpPr/>
      </xdr:nvSpPr>
      <xdr:spPr>
        <a:xfrm>
          <a:off x="1019175" y="16106774"/>
          <a:ext cx="85725" cy="592950"/>
        </a:xfrm>
        <a:prstGeom prst="leftBrace">
          <a:avLst>
            <a:gd name="adj1" fmla="val 28333"/>
            <a:gd name="adj2"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twoCellAnchor>
    <xdr:from>
      <xdr:col>4</xdr:col>
      <xdr:colOff>19048</xdr:colOff>
      <xdr:row>33</xdr:row>
      <xdr:rowOff>0</xdr:rowOff>
    </xdr:from>
    <xdr:to>
      <xdr:col>12</xdr:col>
      <xdr:colOff>133349</xdr:colOff>
      <xdr:row>47</xdr:row>
      <xdr:rowOff>129540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412072</xdr:colOff>
      <xdr:row>4</xdr:row>
      <xdr:rowOff>118320</xdr:rowOff>
    </xdr:from>
    <xdr:to>
      <xdr:col>3</xdr:col>
      <xdr:colOff>392451</xdr:colOff>
      <xdr:row>22</xdr:row>
      <xdr:rowOff>128353</xdr:rowOff>
    </xdr:to>
    <xdr:sp macro="" textlink="">
      <xdr:nvSpPr>
        <xdr:cNvPr id="14" name="Rectangle 13"/>
        <xdr:cNvSpPr/>
      </xdr:nvSpPr>
      <xdr:spPr>
        <a:xfrm>
          <a:off x="412072" y="927945"/>
          <a:ext cx="1523429" cy="3562858"/>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twoCellAnchor>
    <xdr:from>
      <xdr:col>1</xdr:col>
      <xdr:colOff>119830</xdr:colOff>
      <xdr:row>5</xdr:row>
      <xdr:rowOff>23062</xdr:rowOff>
    </xdr:from>
    <xdr:to>
      <xdr:col>3</xdr:col>
      <xdr:colOff>154681</xdr:colOff>
      <xdr:row>5</xdr:row>
      <xdr:rowOff>23062</xdr:rowOff>
    </xdr:to>
    <xdr:cxnSp macro="">
      <xdr:nvCxnSpPr>
        <xdr:cNvPr id="15" name="Straight Connector 14"/>
        <xdr:cNvCxnSpPr/>
      </xdr:nvCxnSpPr>
      <xdr:spPr>
        <a:xfrm>
          <a:off x="634180" y="1023187"/>
          <a:ext cx="1063551" cy="0"/>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4459</xdr:colOff>
      <xdr:row>5</xdr:row>
      <xdr:rowOff>33320</xdr:rowOff>
    </xdr:from>
    <xdr:to>
      <xdr:col>1</xdr:col>
      <xdr:colOff>4459</xdr:colOff>
      <xdr:row>22</xdr:row>
      <xdr:rowOff>15525</xdr:rowOff>
    </xdr:to>
    <xdr:cxnSp macro="">
      <xdr:nvCxnSpPr>
        <xdr:cNvPr id="16" name="Straight Connector 15"/>
        <xdr:cNvCxnSpPr/>
      </xdr:nvCxnSpPr>
      <xdr:spPr>
        <a:xfrm flipV="1">
          <a:off x="518809" y="1033445"/>
          <a:ext cx="0" cy="3344530"/>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305121</xdr:colOff>
      <xdr:row>5</xdr:row>
      <xdr:rowOff>23062</xdr:rowOff>
    </xdr:from>
    <xdr:to>
      <xdr:col>3</xdr:col>
      <xdr:colOff>305121</xdr:colOff>
      <xdr:row>22</xdr:row>
      <xdr:rowOff>25782</xdr:rowOff>
    </xdr:to>
    <xdr:cxnSp macro="">
      <xdr:nvCxnSpPr>
        <xdr:cNvPr id="17" name="Straight Connector 16"/>
        <xdr:cNvCxnSpPr/>
      </xdr:nvCxnSpPr>
      <xdr:spPr>
        <a:xfrm flipV="1">
          <a:off x="1848171" y="1023187"/>
          <a:ext cx="0" cy="3365045"/>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101493</xdr:colOff>
      <xdr:row>22</xdr:row>
      <xdr:rowOff>15525</xdr:rowOff>
    </xdr:from>
    <xdr:to>
      <xdr:col>3</xdr:col>
      <xdr:colOff>173018</xdr:colOff>
      <xdr:row>22</xdr:row>
      <xdr:rowOff>15525</xdr:rowOff>
    </xdr:to>
    <xdr:cxnSp macro="">
      <xdr:nvCxnSpPr>
        <xdr:cNvPr id="18" name="Straight Connector 17"/>
        <xdr:cNvCxnSpPr/>
      </xdr:nvCxnSpPr>
      <xdr:spPr>
        <a:xfrm>
          <a:off x="615843" y="4377975"/>
          <a:ext cx="1100225" cy="0"/>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101494</xdr:colOff>
      <xdr:row>21</xdr:row>
      <xdr:rowOff>154740</xdr:rowOff>
    </xdr:from>
    <xdr:to>
      <xdr:col>3</xdr:col>
      <xdr:colOff>178979</xdr:colOff>
      <xdr:row>23</xdr:row>
      <xdr:rowOff>75587</xdr:rowOff>
    </xdr:to>
    <xdr:grpSp>
      <xdr:nvGrpSpPr>
        <xdr:cNvPr id="19" name="Group 18"/>
        <xdr:cNvGrpSpPr>
          <a:grpSpLocks/>
        </xdr:cNvGrpSpPr>
      </xdr:nvGrpSpPr>
      <xdr:grpSpPr bwMode="auto">
        <a:xfrm flipV="1">
          <a:off x="615844" y="4317165"/>
          <a:ext cx="1106185" cy="358997"/>
          <a:chOff x="894424" y="526077"/>
          <a:chExt cx="759133" cy="371906"/>
        </a:xfrm>
      </xdr:grpSpPr>
      <xdr:cxnSp macro="">
        <xdr:nvCxnSpPr>
          <xdr:cNvPr id="20" name="Straight Connector 19"/>
          <xdr:cNvCxnSpPr/>
        </xdr:nvCxnSpPr>
        <xdr:spPr>
          <a:xfrm flipV="1">
            <a:off x="1653557" y="536703"/>
            <a:ext cx="0" cy="350654"/>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xdr:cNvCxnSpPr/>
        </xdr:nvCxnSpPr>
        <xdr:spPr>
          <a:xfrm flipV="1">
            <a:off x="894424" y="526077"/>
            <a:ext cx="0" cy="371906"/>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flipV="1">
            <a:off x="914401" y="600458"/>
            <a:ext cx="73915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392451</xdr:colOff>
      <xdr:row>22</xdr:row>
      <xdr:rowOff>42783</xdr:rowOff>
    </xdr:from>
    <xdr:to>
      <xdr:col>3</xdr:col>
      <xdr:colOff>392451</xdr:colOff>
      <xdr:row>24</xdr:row>
      <xdr:rowOff>104623</xdr:rowOff>
    </xdr:to>
    <xdr:cxnSp macro="">
      <xdr:nvCxnSpPr>
        <xdr:cNvPr id="23" name="Straight Connector 22"/>
        <xdr:cNvCxnSpPr/>
      </xdr:nvCxnSpPr>
      <xdr:spPr>
        <a:xfrm>
          <a:off x="1935501" y="4405233"/>
          <a:ext cx="0" cy="49999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412073</xdr:colOff>
      <xdr:row>22</xdr:row>
      <xdr:rowOff>179637</xdr:rowOff>
    </xdr:from>
    <xdr:to>
      <xdr:col>0</xdr:col>
      <xdr:colOff>412073</xdr:colOff>
      <xdr:row>24</xdr:row>
      <xdr:rowOff>120999</xdr:rowOff>
    </xdr:to>
    <xdr:cxnSp macro="">
      <xdr:nvCxnSpPr>
        <xdr:cNvPr id="24" name="Straight Connector 23"/>
        <xdr:cNvCxnSpPr/>
      </xdr:nvCxnSpPr>
      <xdr:spPr>
        <a:xfrm>
          <a:off x="412073" y="4542087"/>
          <a:ext cx="0" cy="379512"/>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450641</xdr:colOff>
      <xdr:row>23</xdr:row>
      <xdr:rowOff>214639</xdr:rowOff>
    </xdr:from>
    <xdr:to>
      <xdr:col>3</xdr:col>
      <xdr:colOff>365272</xdr:colOff>
      <xdr:row>23</xdr:row>
      <xdr:rowOff>214639</xdr:rowOff>
    </xdr:to>
    <xdr:cxnSp macro="">
      <xdr:nvCxnSpPr>
        <xdr:cNvPr id="25" name="Straight Connector 24"/>
        <xdr:cNvCxnSpPr/>
      </xdr:nvCxnSpPr>
      <xdr:spPr>
        <a:xfrm>
          <a:off x="450641" y="4796164"/>
          <a:ext cx="1457681"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304942</xdr:colOff>
      <xdr:row>5</xdr:row>
      <xdr:rowOff>23062</xdr:rowOff>
    </xdr:from>
    <xdr:to>
      <xdr:col>4</xdr:col>
      <xdr:colOff>92290</xdr:colOff>
      <xdr:row>22</xdr:row>
      <xdr:rowOff>25785</xdr:rowOff>
    </xdr:to>
    <xdr:grpSp>
      <xdr:nvGrpSpPr>
        <xdr:cNvPr id="26" name="Group 25"/>
        <xdr:cNvGrpSpPr>
          <a:grpSpLocks/>
        </xdr:cNvGrpSpPr>
      </xdr:nvGrpSpPr>
      <xdr:grpSpPr bwMode="auto">
        <a:xfrm>
          <a:off x="1847992" y="1013662"/>
          <a:ext cx="301698" cy="3393623"/>
          <a:chOff x="1705341" y="818458"/>
          <a:chExt cx="487976" cy="2064293"/>
        </a:xfrm>
      </xdr:grpSpPr>
      <xdr:cxnSp macro="">
        <xdr:nvCxnSpPr>
          <xdr:cNvPr id="27" name="Straight Connector 26"/>
          <xdr:cNvCxnSpPr/>
        </xdr:nvCxnSpPr>
        <xdr:spPr>
          <a:xfrm>
            <a:off x="1705341" y="818459"/>
            <a:ext cx="487976"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xdr:cNvCxnSpPr/>
        </xdr:nvCxnSpPr>
        <xdr:spPr>
          <a:xfrm>
            <a:off x="1705341" y="2882751"/>
            <a:ext cx="48797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xdr:nvCxnSpPr>
        <xdr:spPr>
          <a:xfrm>
            <a:off x="2057766" y="818458"/>
            <a:ext cx="0" cy="2064292"/>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450672</xdr:colOff>
      <xdr:row>4</xdr:row>
      <xdr:rowOff>97806</xdr:rowOff>
    </xdr:from>
    <xdr:to>
      <xdr:col>5</xdr:col>
      <xdr:colOff>82693</xdr:colOff>
      <xdr:row>22</xdr:row>
      <xdr:rowOff>138610</xdr:rowOff>
    </xdr:to>
    <xdr:grpSp>
      <xdr:nvGrpSpPr>
        <xdr:cNvPr id="30" name="Group 29"/>
        <xdr:cNvGrpSpPr>
          <a:grpSpLocks/>
        </xdr:cNvGrpSpPr>
      </xdr:nvGrpSpPr>
      <xdr:grpSpPr bwMode="auto">
        <a:xfrm>
          <a:off x="1993722" y="897906"/>
          <a:ext cx="660721" cy="3622204"/>
          <a:chOff x="1800225" y="800100"/>
          <a:chExt cx="352425" cy="2095500"/>
        </a:xfrm>
      </xdr:grpSpPr>
      <xdr:cxnSp macro="">
        <xdr:nvCxnSpPr>
          <xdr:cNvPr id="31" name="Straight Connector 30"/>
          <xdr:cNvCxnSpPr/>
        </xdr:nvCxnSpPr>
        <xdr:spPr>
          <a:xfrm>
            <a:off x="1800225" y="805582"/>
            <a:ext cx="3524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xdr:cNvCxnSpPr/>
        </xdr:nvCxnSpPr>
        <xdr:spPr>
          <a:xfrm>
            <a:off x="1800225" y="2895600"/>
            <a:ext cx="3524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xdr:cNvCxnSpPr/>
        </xdr:nvCxnSpPr>
        <xdr:spPr>
          <a:xfrm>
            <a:off x="2109200" y="800100"/>
            <a:ext cx="0" cy="2088397"/>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276225</xdr:colOff>
      <xdr:row>8</xdr:row>
      <xdr:rowOff>26604</xdr:rowOff>
    </xdr:from>
    <xdr:to>
      <xdr:col>6</xdr:col>
      <xdr:colOff>142875</xdr:colOff>
      <xdr:row>8</xdr:row>
      <xdr:rowOff>26604</xdr:rowOff>
    </xdr:to>
    <xdr:cxnSp macro="">
      <xdr:nvCxnSpPr>
        <xdr:cNvPr id="34" name="Straight Connector 33"/>
        <xdr:cNvCxnSpPr/>
      </xdr:nvCxnSpPr>
      <xdr:spPr>
        <a:xfrm flipH="1">
          <a:off x="276225" y="1664904"/>
          <a:ext cx="2952750" cy="0"/>
        </a:xfrm>
        <a:prstGeom prst="line">
          <a:avLst/>
        </a:prstGeom>
        <a:ln w="9525">
          <a:solidFill>
            <a:schemeClr val="tx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199205</xdr:colOff>
      <xdr:row>4</xdr:row>
      <xdr:rowOff>114459</xdr:rowOff>
    </xdr:from>
    <xdr:to>
      <xdr:col>4</xdr:col>
      <xdr:colOff>199205</xdr:colOff>
      <xdr:row>8</xdr:row>
      <xdr:rowOff>7372</xdr:rowOff>
    </xdr:to>
    <xdr:cxnSp macro="">
      <xdr:nvCxnSpPr>
        <xdr:cNvPr id="35" name="Straight Connector 34"/>
        <xdr:cNvCxnSpPr/>
      </xdr:nvCxnSpPr>
      <xdr:spPr>
        <a:xfrm flipV="1">
          <a:off x="2256605" y="924084"/>
          <a:ext cx="0" cy="721588"/>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460518</xdr:colOff>
      <xdr:row>10</xdr:row>
      <xdr:rowOff>102124</xdr:rowOff>
    </xdr:from>
    <xdr:to>
      <xdr:col>3</xdr:col>
      <xdr:colOff>130461</xdr:colOff>
      <xdr:row>16</xdr:row>
      <xdr:rowOff>169456</xdr:rowOff>
    </xdr:to>
    <xdr:grpSp>
      <xdr:nvGrpSpPr>
        <xdr:cNvPr id="36" name="Group 35"/>
        <xdr:cNvGrpSpPr>
          <a:grpSpLocks/>
        </xdr:cNvGrpSpPr>
      </xdr:nvGrpSpPr>
      <xdr:grpSpPr bwMode="auto">
        <a:xfrm>
          <a:off x="974868" y="2111899"/>
          <a:ext cx="698643" cy="1238907"/>
          <a:chOff x="2257425" y="3667125"/>
          <a:chExt cx="685799" cy="742950"/>
        </a:xfrm>
      </xdr:grpSpPr>
      <xdr:sp macro="" textlink="">
        <xdr:nvSpPr>
          <xdr:cNvPr id="37" name="Freeform 36"/>
          <xdr:cNvSpPr/>
        </xdr:nvSpPr>
        <xdr:spPr>
          <a:xfrm>
            <a:off x="2419350" y="3667125"/>
            <a:ext cx="523874" cy="533400"/>
          </a:xfrm>
          <a:custGeom>
            <a:avLst/>
            <a:gdLst>
              <a:gd name="connsiteX0" fmla="*/ 0 w 981075"/>
              <a:gd name="connsiteY0" fmla="*/ 0 h 942975"/>
              <a:gd name="connsiteX1" fmla="*/ 0 w 981075"/>
              <a:gd name="connsiteY1" fmla="*/ 942975 h 942975"/>
              <a:gd name="connsiteX2" fmla="*/ 981075 w 981075"/>
              <a:gd name="connsiteY2" fmla="*/ 942975 h 942975"/>
            </a:gdLst>
            <a:ahLst/>
            <a:cxnLst>
              <a:cxn ang="0">
                <a:pos x="connsiteX0" y="connsiteY0"/>
              </a:cxn>
              <a:cxn ang="0">
                <a:pos x="connsiteX1" y="connsiteY1"/>
              </a:cxn>
              <a:cxn ang="0">
                <a:pos x="connsiteX2" y="connsiteY2"/>
              </a:cxn>
            </a:cxnLst>
            <a:rect l="l" t="t" r="r" b="b"/>
            <a:pathLst>
              <a:path w="981075" h="942975">
                <a:moveTo>
                  <a:pt x="0" y="0"/>
                </a:moveTo>
                <a:lnTo>
                  <a:pt x="0" y="942975"/>
                </a:lnTo>
                <a:lnTo>
                  <a:pt x="981075" y="942975"/>
                </a:lnTo>
              </a:path>
            </a:pathLst>
          </a:custGeom>
          <a:noFill/>
          <a:ln w="9525">
            <a:solidFill>
              <a:schemeClr val="tx2"/>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sp macro="" textlink="">
        <xdr:nvSpPr>
          <xdr:cNvPr id="38" name="TextBox 37"/>
          <xdr:cNvSpPr txBox="1"/>
        </xdr:nvSpPr>
        <xdr:spPr>
          <a:xfrm>
            <a:off x="2257425" y="3743325"/>
            <a:ext cx="133350"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L</a:t>
            </a:r>
          </a:p>
        </xdr:txBody>
      </xdr:sp>
      <xdr:sp macro="" textlink="">
        <xdr:nvSpPr>
          <xdr:cNvPr id="39" name="TextBox 38"/>
          <xdr:cNvSpPr txBox="1"/>
        </xdr:nvSpPr>
        <xdr:spPr>
          <a:xfrm>
            <a:off x="2752724" y="4229100"/>
            <a:ext cx="133350"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T</a:t>
            </a:r>
          </a:p>
        </xdr:txBody>
      </xdr:sp>
    </xdr:grpSp>
    <xdr:clientData/>
  </xdr:twoCellAnchor>
  <xdr:twoCellAnchor>
    <xdr:from>
      <xdr:col>5</xdr:col>
      <xdr:colOff>114299</xdr:colOff>
      <xdr:row>7</xdr:row>
      <xdr:rowOff>66680</xdr:rowOff>
    </xdr:from>
    <xdr:to>
      <xdr:col>5</xdr:col>
      <xdr:colOff>274722</xdr:colOff>
      <xdr:row>8</xdr:row>
      <xdr:rowOff>131848</xdr:rowOff>
    </xdr:to>
    <xdr:sp macro="" textlink="">
      <xdr:nvSpPr>
        <xdr:cNvPr id="40" name="Arc 39"/>
        <xdr:cNvSpPr>
          <a:spLocks noChangeAspect="1"/>
        </xdr:cNvSpPr>
      </xdr:nvSpPr>
      <xdr:spPr bwMode="auto">
        <a:xfrm>
          <a:off x="2686049" y="1514480"/>
          <a:ext cx="160423" cy="255668"/>
        </a:xfrm>
        <a:prstGeom prst="arc">
          <a:avLst>
            <a:gd name="adj1" fmla="val 3378596"/>
            <a:gd name="adj2" fmla="val 19709723"/>
          </a:avLst>
        </a:prstGeom>
        <a:noFill/>
        <a:ln w="9525" cap="flat" cmpd="sng" algn="ctr">
          <a:solidFill>
            <a:schemeClr val="accent1">
              <a:lumMod val="50000"/>
            </a:schemeClr>
          </a:solidFill>
          <a:prstDash val="solid"/>
          <a:round/>
          <a:headEnd type="stealth" w="med" len="med"/>
          <a:tailEnd type="none" w="med" len="med"/>
        </a:ln>
        <a:effectLst/>
        <a:extLst/>
      </xdr:spPr>
      <xdr:txBody>
        <a:bodyPr vertOverflow="clip" horzOverflow="clip" rtlCol="0" anchor="t"/>
        <a:lstStyle/>
        <a:p>
          <a:pPr algn="l"/>
          <a:endParaRPr lang="en-IN" sz="1100"/>
        </a:p>
      </xdr:txBody>
    </xdr:sp>
    <xdr:clientData/>
  </xdr:twoCellAnchor>
  <xdr:twoCellAnchor>
    <xdr:from>
      <xdr:col>4</xdr:col>
      <xdr:colOff>19049</xdr:colOff>
      <xdr:row>48</xdr:row>
      <xdr:rowOff>190499</xdr:rowOff>
    </xdr:from>
    <xdr:to>
      <xdr:col>12</xdr:col>
      <xdr:colOff>161925</xdr:colOff>
      <xdr:row>63</xdr:row>
      <xdr:rowOff>129539</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123825</xdr:colOff>
      <xdr:row>2</xdr:row>
      <xdr:rowOff>95250</xdr:rowOff>
    </xdr:from>
    <xdr:to>
      <xdr:col>2</xdr:col>
      <xdr:colOff>123825</xdr:colOff>
      <xdr:row>26</xdr:row>
      <xdr:rowOff>0</xdr:rowOff>
    </xdr:to>
    <xdr:cxnSp macro="">
      <xdr:nvCxnSpPr>
        <xdr:cNvPr id="42" name="Straight Connector 41"/>
        <xdr:cNvCxnSpPr/>
      </xdr:nvCxnSpPr>
      <xdr:spPr>
        <a:xfrm>
          <a:off x="1152525" y="476250"/>
          <a:ext cx="0" cy="4762500"/>
        </a:xfrm>
        <a:prstGeom prst="line">
          <a:avLst/>
        </a:prstGeom>
        <a:ln w="9525">
          <a:solidFill>
            <a:schemeClr val="tx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476249</xdr:colOff>
      <xdr:row>3</xdr:row>
      <xdr:rowOff>19049</xdr:rowOff>
    </xdr:from>
    <xdr:to>
      <xdr:col>2</xdr:col>
      <xdr:colOff>276225</xdr:colOff>
      <xdr:row>4</xdr:row>
      <xdr:rowOff>8022</xdr:rowOff>
    </xdr:to>
    <xdr:sp macro="" textlink="">
      <xdr:nvSpPr>
        <xdr:cNvPr id="43" name="Arc 42"/>
        <xdr:cNvSpPr>
          <a:spLocks noChangeAspect="1"/>
        </xdr:cNvSpPr>
      </xdr:nvSpPr>
      <xdr:spPr bwMode="auto">
        <a:xfrm>
          <a:off x="990599" y="638174"/>
          <a:ext cx="314326" cy="179473"/>
        </a:xfrm>
        <a:prstGeom prst="arc">
          <a:avLst>
            <a:gd name="adj1" fmla="val 8026294"/>
            <a:gd name="adj2" fmla="val 2046237"/>
          </a:avLst>
        </a:prstGeom>
        <a:noFill/>
        <a:ln w="9525" cap="flat" cmpd="sng" algn="ctr">
          <a:solidFill>
            <a:schemeClr val="accent1">
              <a:lumMod val="50000"/>
            </a:schemeClr>
          </a:solidFill>
          <a:prstDash val="solid"/>
          <a:round/>
          <a:headEnd type="stealth" w="med" len="med"/>
          <a:tailEnd type="none" w="med" len="med"/>
        </a:ln>
        <a:effectLst/>
        <a:extLst/>
      </xdr:spPr>
      <xdr:txBody>
        <a:bodyPr vertOverflow="clip" horzOverflow="clip" rtlCol="0" anchor="t"/>
        <a:lstStyle/>
        <a:p>
          <a:pPr algn="l"/>
          <a:endParaRPr lang="en-IN" sz="1100"/>
        </a:p>
      </xdr:txBody>
    </xdr:sp>
    <xdr:clientData/>
  </xdr:twoCellAnchor>
  <xdr:twoCellAnchor>
    <xdr:from>
      <xdr:col>1</xdr:col>
      <xdr:colOff>47625</xdr:colOff>
      <xdr:row>104</xdr:row>
      <xdr:rowOff>47626</xdr:rowOff>
    </xdr:from>
    <xdr:to>
      <xdr:col>1</xdr:col>
      <xdr:colOff>266700</xdr:colOff>
      <xdr:row>107</xdr:row>
      <xdr:rowOff>85726</xdr:rowOff>
    </xdr:to>
    <xdr:sp macro="" textlink="">
      <xdr:nvSpPr>
        <xdr:cNvPr id="44" name="Left Brace 43"/>
        <xdr:cNvSpPr/>
      </xdr:nvSpPr>
      <xdr:spPr>
        <a:xfrm>
          <a:off x="561975" y="21126451"/>
          <a:ext cx="219075" cy="704850"/>
        </a:xfrm>
        <a:prstGeom prst="leftBrace">
          <a:avLst>
            <a:gd name="adj1" fmla="val 17708"/>
            <a:gd name="adj2"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409576</xdr:colOff>
      <xdr:row>185</xdr:row>
      <xdr:rowOff>19051</xdr:rowOff>
    </xdr:from>
    <xdr:to>
      <xdr:col>5</xdr:col>
      <xdr:colOff>504825</xdr:colOff>
      <xdr:row>186</xdr:row>
      <xdr:rowOff>95251</xdr:rowOff>
    </xdr:to>
    <xdr:sp macro="" textlink="">
      <xdr:nvSpPr>
        <xdr:cNvPr id="45" name="Left Brace 44"/>
        <xdr:cNvSpPr/>
      </xdr:nvSpPr>
      <xdr:spPr>
        <a:xfrm>
          <a:off x="2981326" y="3829051"/>
          <a:ext cx="95249" cy="266700"/>
        </a:xfrm>
        <a:prstGeom prst="leftBrace">
          <a:avLst>
            <a:gd name="adj1" fmla="val 16954"/>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428626</xdr:colOff>
      <xdr:row>191</xdr:row>
      <xdr:rowOff>0</xdr:rowOff>
    </xdr:from>
    <xdr:to>
      <xdr:col>6</xdr:col>
      <xdr:colOff>9526</xdr:colOff>
      <xdr:row>193</xdr:row>
      <xdr:rowOff>0</xdr:rowOff>
    </xdr:to>
    <xdr:sp macro="" textlink="">
      <xdr:nvSpPr>
        <xdr:cNvPr id="46" name="Left Brace 45"/>
        <xdr:cNvSpPr/>
      </xdr:nvSpPr>
      <xdr:spPr>
        <a:xfrm>
          <a:off x="3000376" y="4953000"/>
          <a:ext cx="95250" cy="381000"/>
        </a:xfrm>
        <a:prstGeom prst="leftBrace">
          <a:avLst>
            <a:gd name="adj1" fmla="val 16954"/>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409576</xdr:colOff>
      <xdr:row>197</xdr:row>
      <xdr:rowOff>171451</xdr:rowOff>
    </xdr:from>
    <xdr:to>
      <xdr:col>5</xdr:col>
      <xdr:colOff>504826</xdr:colOff>
      <xdr:row>200</xdr:row>
      <xdr:rowOff>0</xdr:rowOff>
    </xdr:to>
    <xdr:sp macro="" textlink="">
      <xdr:nvSpPr>
        <xdr:cNvPr id="47" name="Left Brace 46"/>
        <xdr:cNvSpPr/>
      </xdr:nvSpPr>
      <xdr:spPr>
        <a:xfrm>
          <a:off x="2981326" y="6267451"/>
          <a:ext cx="95250" cy="400049"/>
        </a:xfrm>
        <a:prstGeom prst="leftBrace">
          <a:avLst>
            <a:gd name="adj1" fmla="val 16954"/>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342900</xdr:colOff>
      <xdr:row>283</xdr:row>
      <xdr:rowOff>152400</xdr:rowOff>
    </xdr:from>
    <xdr:to>
      <xdr:col>3</xdr:col>
      <xdr:colOff>504825</xdr:colOff>
      <xdr:row>286</xdr:row>
      <xdr:rowOff>9525</xdr:rowOff>
    </xdr:to>
    <xdr:sp macro="" textlink="">
      <xdr:nvSpPr>
        <xdr:cNvPr id="48" name="Left Brace 47"/>
        <xdr:cNvSpPr/>
      </xdr:nvSpPr>
      <xdr:spPr>
        <a:xfrm>
          <a:off x="2171700" y="13487400"/>
          <a:ext cx="161925" cy="428625"/>
        </a:xfrm>
        <a:prstGeom prst="leftBrace">
          <a:avLst>
            <a:gd name="adj1" fmla="val 22619"/>
            <a:gd name="adj2"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352425</xdr:colOff>
      <xdr:row>287</xdr:row>
      <xdr:rowOff>28575</xdr:rowOff>
    </xdr:from>
    <xdr:to>
      <xdr:col>3</xdr:col>
      <xdr:colOff>504825</xdr:colOff>
      <xdr:row>289</xdr:row>
      <xdr:rowOff>76200</xdr:rowOff>
    </xdr:to>
    <xdr:sp macro="" textlink="">
      <xdr:nvSpPr>
        <xdr:cNvPr id="49" name="Left Brace 48"/>
        <xdr:cNvSpPr/>
      </xdr:nvSpPr>
      <xdr:spPr>
        <a:xfrm>
          <a:off x="2181225" y="14125575"/>
          <a:ext cx="152400" cy="428625"/>
        </a:xfrm>
        <a:prstGeom prst="leftBrace">
          <a:avLst>
            <a:gd name="adj1" fmla="val 22619"/>
            <a:gd name="adj2"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xdr:col>
      <xdr:colOff>409575</xdr:colOff>
      <xdr:row>2</xdr:row>
      <xdr:rowOff>104775</xdr:rowOff>
    </xdr:from>
    <xdr:to>
      <xdr:col>4</xdr:col>
      <xdr:colOff>361950</xdr:colOff>
      <xdr:row>14</xdr:row>
      <xdr:rowOff>104775</xdr:rowOff>
    </xdr:to>
    <xdr:sp macro="" textlink="">
      <xdr:nvSpPr>
        <xdr:cNvPr id="21" name="Rectangle 20"/>
        <xdr:cNvSpPr/>
      </xdr:nvSpPr>
      <xdr:spPr>
        <a:xfrm>
          <a:off x="1019175" y="485775"/>
          <a:ext cx="1781175" cy="228600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114300</xdr:colOff>
      <xdr:row>3</xdr:row>
      <xdr:rowOff>9525</xdr:rowOff>
    </xdr:from>
    <xdr:to>
      <xdr:col>4</xdr:col>
      <xdr:colOff>165600</xdr:colOff>
      <xdr:row>3</xdr:row>
      <xdr:rowOff>9525</xdr:rowOff>
    </xdr:to>
    <xdr:cxnSp macro="">
      <xdr:nvCxnSpPr>
        <xdr:cNvPr id="22" name="Straight Connector 21"/>
        <xdr:cNvCxnSpPr/>
      </xdr:nvCxnSpPr>
      <xdr:spPr>
        <a:xfrm>
          <a:off x="1333500" y="581025"/>
          <a:ext cx="1270500" cy="0"/>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3</xdr:row>
      <xdr:rowOff>9526</xdr:rowOff>
    </xdr:from>
    <xdr:to>
      <xdr:col>2</xdr:col>
      <xdr:colOff>0</xdr:colOff>
      <xdr:row>14</xdr:row>
      <xdr:rowOff>9525</xdr:rowOff>
    </xdr:to>
    <xdr:cxnSp macro="">
      <xdr:nvCxnSpPr>
        <xdr:cNvPr id="23" name="Straight Connector 22"/>
        <xdr:cNvCxnSpPr/>
      </xdr:nvCxnSpPr>
      <xdr:spPr>
        <a:xfrm flipV="1">
          <a:off x="1219200" y="581026"/>
          <a:ext cx="0" cy="2095499"/>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3</xdr:row>
      <xdr:rowOff>0</xdr:rowOff>
    </xdr:from>
    <xdr:to>
      <xdr:col>4</xdr:col>
      <xdr:colOff>276225</xdr:colOff>
      <xdr:row>14</xdr:row>
      <xdr:rowOff>7500</xdr:rowOff>
    </xdr:to>
    <xdr:cxnSp macro="">
      <xdr:nvCxnSpPr>
        <xdr:cNvPr id="24" name="Straight Connector 23"/>
        <xdr:cNvCxnSpPr/>
      </xdr:nvCxnSpPr>
      <xdr:spPr>
        <a:xfrm flipV="1">
          <a:off x="2714625" y="571500"/>
          <a:ext cx="0" cy="2103000"/>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123825</xdr:colOff>
      <xdr:row>14</xdr:row>
      <xdr:rowOff>0</xdr:rowOff>
    </xdr:from>
    <xdr:to>
      <xdr:col>4</xdr:col>
      <xdr:colOff>175125</xdr:colOff>
      <xdr:row>14</xdr:row>
      <xdr:rowOff>0</xdr:rowOff>
    </xdr:to>
    <xdr:cxnSp macro="">
      <xdr:nvCxnSpPr>
        <xdr:cNvPr id="25" name="Straight Connector 24"/>
        <xdr:cNvCxnSpPr/>
      </xdr:nvCxnSpPr>
      <xdr:spPr>
        <a:xfrm>
          <a:off x="1343025" y="2667000"/>
          <a:ext cx="1270500" cy="0"/>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361950</xdr:colOff>
      <xdr:row>14</xdr:row>
      <xdr:rowOff>163924</xdr:rowOff>
    </xdr:from>
    <xdr:to>
      <xdr:col>4</xdr:col>
      <xdr:colOff>361950</xdr:colOff>
      <xdr:row>16</xdr:row>
      <xdr:rowOff>114300</xdr:rowOff>
    </xdr:to>
    <xdr:cxnSp macro="">
      <xdr:nvCxnSpPr>
        <xdr:cNvPr id="26" name="Straight Connector 25"/>
        <xdr:cNvCxnSpPr/>
      </xdr:nvCxnSpPr>
      <xdr:spPr>
        <a:xfrm>
          <a:off x="2800350" y="2830924"/>
          <a:ext cx="0" cy="331376"/>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409576</xdr:colOff>
      <xdr:row>14</xdr:row>
      <xdr:rowOff>152399</xdr:rowOff>
    </xdr:from>
    <xdr:to>
      <xdr:col>1</xdr:col>
      <xdr:colOff>409576</xdr:colOff>
      <xdr:row>16</xdr:row>
      <xdr:rowOff>119874</xdr:rowOff>
    </xdr:to>
    <xdr:cxnSp macro="">
      <xdr:nvCxnSpPr>
        <xdr:cNvPr id="27" name="Straight Connector 26"/>
        <xdr:cNvCxnSpPr/>
      </xdr:nvCxnSpPr>
      <xdr:spPr>
        <a:xfrm>
          <a:off x="1019176" y="2819399"/>
          <a:ext cx="0" cy="34847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447435</xdr:colOff>
      <xdr:row>16</xdr:row>
      <xdr:rowOff>4623</xdr:rowOff>
    </xdr:from>
    <xdr:to>
      <xdr:col>4</xdr:col>
      <xdr:colOff>335270</xdr:colOff>
      <xdr:row>16</xdr:row>
      <xdr:rowOff>4623</xdr:rowOff>
    </xdr:to>
    <xdr:cxnSp macro="">
      <xdr:nvCxnSpPr>
        <xdr:cNvPr id="32" name="Straight Connector 31"/>
        <xdr:cNvCxnSpPr/>
      </xdr:nvCxnSpPr>
      <xdr:spPr>
        <a:xfrm>
          <a:off x="1057035" y="3052623"/>
          <a:ext cx="171663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423448</xdr:colOff>
      <xdr:row>2</xdr:row>
      <xdr:rowOff>104775</xdr:rowOff>
    </xdr:from>
    <xdr:to>
      <xdr:col>5</xdr:col>
      <xdr:colOff>152400</xdr:colOff>
      <xdr:row>14</xdr:row>
      <xdr:rowOff>118725</xdr:rowOff>
    </xdr:to>
    <xdr:grpSp>
      <xdr:nvGrpSpPr>
        <xdr:cNvPr id="33" name="Group 32"/>
        <xdr:cNvGrpSpPr/>
      </xdr:nvGrpSpPr>
      <xdr:grpSpPr>
        <a:xfrm>
          <a:off x="2480848" y="485775"/>
          <a:ext cx="243302" cy="2299950"/>
          <a:chOff x="1800225" y="800100"/>
          <a:chExt cx="352425" cy="2095500"/>
        </a:xfrm>
      </xdr:grpSpPr>
      <xdr:cxnSp macro="">
        <xdr:nvCxnSpPr>
          <xdr:cNvPr id="34" name="Straight Connector 33"/>
          <xdr:cNvCxnSpPr/>
        </xdr:nvCxnSpPr>
        <xdr:spPr>
          <a:xfrm>
            <a:off x="1800225" y="800100"/>
            <a:ext cx="3524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xdr:cNvCxnSpPr/>
        </xdr:nvCxnSpPr>
        <xdr:spPr>
          <a:xfrm>
            <a:off x="1800225" y="2895600"/>
            <a:ext cx="3524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xdr:cNvCxnSpPr/>
        </xdr:nvCxnSpPr>
        <xdr:spPr>
          <a:xfrm>
            <a:off x="2013303" y="800100"/>
            <a:ext cx="0" cy="208800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419100</xdr:colOff>
      <xdr:row>5</xdr:row>
      <xdr:rowOff>133350</xdr:rowOff>
    </xdr:from>
    <xdr:to>
      <xdr:col>4</xdr:col>
      <xdr:colOff>76199</xdr:colOff>
      <xdr:row>9</xdr:row>
      <xdr:rowOff>114300</xdr:rowOff>
    </xdr:to>
    <xdr:grpSp>
      <xdr:nvGrpSpPr>
        <xdr:cNvPr id="37" name="Group 36"/>
        <xdr:cNvGrpSpPr/>
      </xdr:nvGrpSpPr>
      <xdr:grpSpPr>
        <a:xfrm>
          <a:off x="1447800" y="1085850"/>
          <a:ext cx="685799" cy="742950"/>
          <a:chOff x="2257425" y="3667125"/>
          <a:chExt cx="685799" cy="742950"/>
        </a:xfrm>
      </xdr:grpSpPr>
      <xdr:sp macro="" textlink="">
        <xdr:nvSpPr>
          <xdr:cNvPr id="38" name="Freeform 37"/>
          <xdr:cNvSpPr/>
        </xdr:nvSpPr>
        <xdr:spPr>
          <a:xfrm>
            <a:off x="2419349" y="3667125"/>
            <a:ext cx="523875" cy="533400"/>
          </a:xfrm>
          <a:custGeom>
            <a:avLst/>
            <a:gdLst>
              <a:gd name="connsiteX0" fmla="*/ 0 w 981075"/>
              <a:gd name="connsiteY0" fmla="*/ 0 h 942975"/>
              <a:gd name="connsiteX1" fmla="*/ 0 w 981075"/>
              <a:gd name="connsiteY1" fmla="*/ 942975 h 942975"/>
              <a:gd name="connsiteX2" fmla="*/ 981075 w 981075"/>
              <a:gd name="connsiteY2" fmla="*/ 942975 h 942975"/>
            </a:gdLst>
            <a:ahLst/>
            <a:cxnLst>
              <a:cxn ang="0">
                <a:pos x="connsiteX0" y="connsiteY0"/>
              </a:cxn>
              <a:cxn ang="0">
                <a:pos x="connsiteX1" y="connsiteY1"/>
              </a:cxn>
              <a:cxn ang="0">
                <a:pos x="connsiteX2" y="connsiteY2"/>
              </a:cxn>
            </a:cxnLst>
            <a:rect l="l" t="t" r="r" b="b"/>
            <a:pathLst>
              <a:path w="981075" h="942975">
                <a:moveTo>
                  <a:pt x="0" y="0"/>
                </a:moveTo>
                <a:lnTo>
                  <a:pt x="0" y="942975"/>
                </a:lnTo>
                <a:lnTo>
                  <a:pt x="981075" y="942975"/>
                </a:lnTo>
              </a:path>
            </a:pathLst>
          </a:custGeom>
          <a:noFill/>
          <a:ln w="9525">
            <a:solidFill>
              <a:schemeClr val="tx2"/>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sp macro="" textlink="">
        <xdr:nvSpPr>
          <xdr:cNvPr id="39" name="TextBox 38"/>
          <xdr:cNvSpPr txBox="1"/>
        </xdr:nvSpPr>
        <xdr:spPr>
          <a:xfrm>
            <a:off x="2257425" y="3743325"/>
            <a:ext cx="133350"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T</a:t>
            </a:r>
          </a:p>
        </xdr:txBody>
      </xdr:sp>
      <xdr:sp macro="" textlink="">
        <xdr:nvSpPr>
          <xdr:cNvPr id="40" name="TextBox 39"/>
          <xdr:cNvSpPr txBox="1"/>
        </xdr:nvSpPr>
        <xdr:spPr>
          <a:xfrm>
            <a:off x="2752725" y="4229100"/>
            <a:ext cx="133350"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295274</xdr:colOff>
      <xdr:row>15</xdr:row>
      <xdr:rowOff>0</xdr:rowOff>
    </xdr:from>
    <xdr:to>
      <xdr:col>2</xdr:col>
      <xdr:colOff>409575</xdr:colOff>
      <xdr:row>17</xdr:row>
      <xdr:rowOff>0</xdr:rowOff>
    </xdr:to>
    <xdr:sp macro="" textlink="">
      <xdr:nvSpPr>
        <xdr:cNvPr id="2" name="Left Bracket 1"/>
        <xdr:cNvSpPr/>
      </xdr:nvSpPr>
      <xdr:spPr>
        <a:xfrm>
          <a:off x="1323974" y="3381375"/>
          <a:ext cx="114301" cy="438150"/>
        </a:xfrm>
        <a:prstGeom prst="leftBracket">
          <a:avLst>
            <a:gd name="adj" fmla="val 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6</xdr:col>
      <xdr:colOff>200024</xdr:colOff>
      <xdr:row>14</xdr:row>
      <xdr:rowOff>171450</xdr:rowOff>
    </xdr:from>
    <xdr:to>
      <xdr:col>6</xdr:col>
      <xdr:colOff>314325</xdr:colOff>
      <xdr:row>17</xdr:row>
      <xdr:rowOff>0</xdr:rowOff>
    </xdr:to>
    <xdr:sp macro="" textlink="">
      <xdr:nvSpPr>
        <xdr:cNvPr id="3" name="Left Bracket 2"/>
        <xdr:cNvSpPr/>
      </xdr:nvSpPr>
      <xdr:spPr>
        <a:xfrm flipH="1">
          <a:off x="3286124" y="3362325"/>
          <a:ext cx="114301" cy="438150"/>
        </a:xfrm>
        <a:prstGeom prst="leftBracket">
          <a:avLst>
            <a:gd name="adj" fmla="val 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9526</xdr:colOff>
      <xdr:row>11</xdr:row>
      <xdr:rowOff>152400</xdr:rowOff>
    </xdr:from>
    <xdr:to>
      <xdr:col>2</xdr:col>
      <xdr:colOff>219076</xdr:colOff>
      <xdr:row>17</xdr:row>
      <xdr:rowOff>0</xdr:rowOff>
    </xdr:to>
    <xdr:sp macro="" textlink="">
      <xdr:nvSpPr>
        <xdr:cNvPr id="4" name="Left Brace 3"/>
        <xdr:cNvSpPr/>
      </xdr:nvSpPr>
      <xdr:spPr>
        <a:xfrm>
          <a:off x="1038226" y="2705100"/>
          <a:ext cx="209550" cy="1200150"/>
        </a:xfrm>
        <a:prstGeom prst="leftBrace">
          <a:avLst>
            <a:gd name="adj1" fmla="val 26515"/>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428626</xdr:colOff>
      <xdr:row>37</xdr:row>
      <xdr:rowOff>19050</xdr:rowOff>
    </xdr:from>
    <xdr:to>
      <xdr:col>3</xdr:col>
      <xdr:colOff>0</xdr:colOff>
      <xdr:row>39</xdr:row>
      <xdr:rowOff>0</xdr:rowOff>
    </xdr:to>
    <xdr:sp macro="" textlink="">
      <xdr:nvSpPr>
        <xdr:cNvPr id="5" name="Left Brace 4"/>
        <xdr:cNvSpPr/>
      </xdr:nvSpPr>
      <xdr:spPr>
        <a:xfrm>
          <a:off x="1457326" y="8867775"/>
          <a:ext cx="85724" cy="409575"/>
        </a:xfrm>
        <a:prstGeom prst="leftBrace">
          <a:avLst>
            <a:gd name="adj1" fmla="val 26515"/>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428626</xdr:colOff>
      <xdr:row>40</xdr:row>
      <xdr:rowOff>19050</xdr:rowOff>
    </xdr:from>
    <xdr:to>
      <xdr:col>3</xdr:col>
      <xdr:colOff>0</xdr:colOff>
      <xdr:row>42</xdr:row>
      <xdr:rowOff>0</xdr:rowOff>
    </xdr:to>
    <xdr:sp macro="" textlink="">
      <xdr:nvSpPr>
        <xdr:cNvPr id="6" name="Left Brace 5"/>
        <xdr:cNvSpPr/>
      </xdr:nvSpPr>
      <xdr:spPr>
        <a:xfrm>
          <a:off x="1457326" y="9867900"/>
          <a:ext cx="85724" cy="447675"/>
        </a:xfrm>
        <a:prstGeom prst="leftBrace">
          <a:avLst>
            <a:gd name="adj1" fmla="val 26515"/>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352426</xdr:colOff>
      <xdr:row>37</xdr:row>
      <xdr:rowOff>0</xdr:rowOff>
    </xdr:from>
    <xdr:to>
      <xdr:col>2</xdr:col>
      <xdr:colOff>47625</xdr:colOff>
      <xdr:row>42</xdr:row>
      <xdr:rowOff>0</xdr:rowOff>
    </xdr:to>
    <xdr:sp macro="" textlink="">
      <xdr:nvSpPr>
        <xdr:cNvPr id="7" name="Left Brace 6"/>
        <xdr:cNvSpPr/>
      </xdr:nvSpPr>
      <xdr:spPr>
        <a:xfrm>
          <a:off x="866776" y="8848725"/>
          <a:ext cx="209549" cy="1552575"/>
        </a:xfrm>
        <a:prstGeom prst="leftBrace">
          <a:avLst>
            <a:gd name="adj1" fmla="val 26515"/>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409575</xdr:colOff>
      <xdr:row>3</xdr:row>
      <xdr:rowOff>104775</xdr:rowOff>
    </xdr:from>
    <xdr:to>
      <xdr:col>4</xdr:col>
      <xdr:colOff>361950</xdr:colOff>
      <xdr:row>17</xdr:row>
      <xdr:rowOff>104775</xdr:rowOff>
    </xdr:to>
    <xdr:sp macro="" textlink="">
      <xdr:nvSpPr>
        <xdr:cNvPr id="2" name="Rectangle 1"/>
        <xdr:cNvSpPr/>
      </xdr:nvSpPr>
      <xdr:spPr>
        <a:xfrm>
          <a:off x="923925" y="714375"/>
          <a:ext cx="1495425" cy="2752725"/>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114300</xdr:colOff>
      <xdr:row>4</xdr:row>
      <xdr:rowOff>9525</xdr:rowOff>
    </xdr:from>
    <xdr:to>
      <xdr:col>4</xdr:col>
      <xdr:colOff>165600</xdr:colOff>
      <xdr:row>4</xdr:row>
      <xdr:rowOff>9525</xdr:rowOff>
    </xdr:to>
    <xdr:cxnSp macro="">
      <xdr:nvCxnSpPr>
        <xdr:cNvPr id="3" name="Straight Connector 2"/>
        <xdr:cNvCxnSpPr/>
      </xdr:nvCxnSpPr>
      <xdr:spPr>
        <a:xfrm>
          <a:off x="1143000" y="809625"/>
          <a:ext cx="1080000" cy="0"/>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4</xdr:row>
      <xdr:rowOff>9526</xdr:rowOff>
    </xdr:from>
    <xdr:to>
      <xdr:col>2</xdr:col>
      <xdr:colOff>0</xdr:colOff>
      <xdr:row>17</xdr:row>
      <xdr:rowOff>9525</xdr:rowOff>
    </xdr:to>
    <xdr:cxnSp macro="">
      <xdr:nvCxnSpPr>
        <xdr:cNvPr id="4" name="Straight Connector 3"/>
        <xdr:cNvCxnSpPr/>
      </xdr:nvCxnSpPr>
      <xdr:spPr>
        <a:xfrm flipV="1">
          <a:off x="1028700" y="809626"/>
          <a:ext cx="0" cy="2562224"/>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4</xdr:row>
      <xdr:rowOff>0</xdr:rowOff>
    </xdr:from>
    <xdr:to>
      <xdr:col>4</xdr:col>
      <xdr:colOff>276225</xdr:colOff>
      <xdr:row>17</xdr:row>
      <xdr:rowOff>7500</xdr:rowOff>
    </xdr:to>
    <xdr:cxnSp macro="">
      <xdr:nvCxnSpPr>
        <xdr:cNvPr id="5" name="Straight Connector 4"/>
        <xdr:cNvCxnSpPr/>
      </xdr:nvCxnSpPr>
      <xdr:spPr>
        <a:xfrm flipV="1">
          <a:off x="2333625" y="800100"/>
          <a:ext cx="0" cy="2569725"/>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123825</xdr:colOff>
      <xdr:row>17</xdr:row>
      <xdr:rowOff>0</xdr:rowOff>
    </xdr:from>
    <xdr:to>
      <xdr:col>4</xdr:col>
      <xdr:colOff>175125</xdr:colOff>
      <xdr:row>17</xdr:row>
      <xdr:rowOff>0</xdr:rowOff>
    </xdr:to>
    <xdr:cxnSp macro="">
      <xdr:nvCxnSpPr>
        <xdr:cNvPr id="6" name="Straight Connector 5"/>
        <xdr:cNvCxnSpPr/>
      </xdr:nvCxnSpPr>
      <xdr:spPr>
        <a:xfrm>
          <a:off x="1152525" y="3362325"/>
          <a:ext cx="1080000" cy="0"/>
        </a:xfrm>
        <a:prstGeom prst="line">
          <a:avLst/>
        </a:prstGeom>
        <a:ln w="19050" cap="flat" cmpd="sng">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123824</xdr:colOff>
      <xdr:row>17</xdr:row>
      <xdr:rowOff>38099</xdr:rowOff>
    </xdr:from>
    <xdr:to>
      <xdr:col>4</xdr:col>
      <xdr:colOff>175124</xdr:colOff>
      <xdr:row>18</xdr:row>
      <xdr:rowOff>85725</xdr:rowOff>
    </xdr:to>
    <xdr:grpSp>
      <xdr:nvGrpSpPr>
        <xdr:cNvPr id="7" name="Group 6"/>
        <xdr:cNvGrpSpPr/>
      </xdr:nvGrpSpPr>
      <xdr:grpSpPr>
        <a:xfrm flipV="1">
          <a:off x="1152524" y="3400424"/>
          <a:ext cx="1080000" cy="238126"/>
          <a:chOff x="914400" y="504825"/>
          <a:chExt cx="752475" cy="297525"/>
        </a:xfrm>
      </xdr:grpSpPr>
      <xdr:cxnSp macro="">
        <xdr:nvCxnSpPr>
          <xdr:cNvPr id="8" name="Straight Connector 7"/>
          <xdr:cNvCxnSpPr/>
        </xdr:nvCxnSpPr>
        <xdr:spPr>
          <a:xfrm flipV="1">
            <a:off x="1666875" y="504825"/>
            <a:ext cx="0" cy="28800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xdr:cNvCxnSpPr/>
        </xdr:nvCxnSpPr>
        <xdr:spPr>
          <a:xfrm flipV="1">
            <a:off x="914400" y="514350"/>
            <a:ext cx="0" cy="28800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flipV="1">
            <a:off x="933450" y="609600"/>
            <a:ext cx="72000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361950</xdr:colOff>
      <xdr:row>17</xdr:row>
      <xdr:rowOff>163924</xdr:rowOff>
    </xdr:from>
    <xdr:to>
      <xdr:col>4</xdr:col>
      <xdr:colOff>361950</xdr:colOff>
      <xdr:row>21</xdr:row>
      <xdr:rowOff>104775</xdr:rowOff>
    </xdr:to>
    <xdr:cxnSp macro="">
      <xdr:nvCxnSpPr>
        <xdr:cNvPr id="11" name="Straight Connector 10"/>
        <xdr:cNvCxnSpPr/>
      </xdr:nvCxnSpPr>
      <xdr:spPr>
        <a:xfrm>
          <a:off x="2419350" y="3526249"/>
          <a:ext cx="0" cy="702851"/>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409576</xdr:colOff>
      <xdr:row>17</xdr:row>
      <xdr:rowOff>152399</xdr:rowOff>
    </xdr:from>
    <xdr:to>
      <xdr:col>1</xdr:col>
      <xdr:colOff>409576</xdr:colOff>
      <xdr:row>19</xdr:row>
      <xdr:rowOff>119874</xdr:rowOff>
    </xdr:to>
    <xdr:cxnSp macro="">
      <xdr:nvCxnSpPr>
        <xdr:cNvPr id="12" name="Straight Connector 11"/>
        <xdr:cNvCxnSpPr/>
      </xdr:nvCxnSpPr>
      <xdr:spPr>
        <a:xfrm>
          <a:off x="923926" y="3514724"/>
          <a:ext cx="0" cy="34847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447435</xdr:colOff>
      <xdr:row>19</xdr:row>
      <xdr:rowOff>4623</xdr:rowOff>
    </xdr:from>
    <xdr:to>
      <xdr:col>4</xdr:col>
      <xdr:colOff>335270</xdr:colOff>
      <xdr:row>19</xdr:row>
      <xdr:rowOff>4623</xdr:rowOff>
    </xdr:to>
    <xdr:cxnSp macro="">
      <xdr:nvCxnSpPr>
        <xdr:cNvPr id="13" name="Straight Connector 12"/>
        <xdr:cNvCxnSpPr/>
      </xdr:nvCxnSpPr>
      <xdr:spPr>
        <a:xfrm>
          <a:off x="961785" y="3747948"/>
          <a:ext cx="143088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333374</xdr:colOff>
      <xdr:row>3</xdr:row>
      <xdr:rowOff>186975</xdr:rowOff>
    </xdr:from>
    <xdr:to>
      <xdr:col>5</xdr:col>
      <xdr:colOff>71024</xdr:colOff>
      <xdr:row>17</xdr:row>
      <xdr:rowOff>4146</xdr:rowOff>
    </xdr:to>
    <xdr:grpSp>
      <xdr:nvGrpSpPr>
        <xdr:cNvPr id="14" name="Group 13"/>
        <xdr:cNvGrpSpPr/>
      </xdr:nvGrpSpPr>
      <xdr:grpSpPr>
        <a:xfrm>
          <a:off x="2390774" y="796575"/>
          <a:ext cx="252000" cy="2569896"/>
          <a:chOff x="1800225" y="800100"/>
          <a:chExt cx="352425" cy="2103566"/>
        </a:xfrm>
      </xdr:grpSpPr>
      <xdr:cxnSp macro="">
        <xdr:nvCxnSpPr>
          <xdr:cNvPr id="15" name="Straight Connector 14"/>
          <xdr:cNvCxnSpPr/>
        </xdr:nvCxnSpPr>
        <xdr:spPr>
          <a:xfrm>
            <a:off x="1800225" y="800100"/>
            <a:ext cx="3524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xdr:cNvCxnSpPr/>
        </xdr:nvCxnSpPr>
        <xdr:spPr>
          <a:xfrm>
            <a:off x="1800225" y="2903666"/>
            <a:ext cx="3524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2057400" y="800100"/>
            <a:ext cx="0" cy="208800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423448</xdr:colOff>
      <xdr:row>3</xdr:row>
      <xdr:rowOff>123825</xdr:rowOff>
    </xdr:from>
    <xdr:to>
      <xdr:col>6</xdr:col>
      <xdr:colOff>90074</xdr:colOff>
      <xdr:row>17</xdr:row>
      <xdr:rowOff>107100</xdr:rowOff>
    </xdr:to>
    <xdr:grpSp>
      <xdr:nvGrpSpPr>
        <xdr:cNvPr id="18" name="Group 17"/>
        <xdr:cNvGrpSpPr/>
      </xdr:nvGrpSpPr>
      <xdr:grpSpPr>
        <a:xfrm>
          <a:off x="2480848" y="733425"/>
          <a:ext cx="695326" cy="2736000"/>
          <a:chOff x="1800225" y="800100"/>
          <a:chExt cx="352425" cy="2095500"/>
        </a:xfrm>
      </xdr:grpSpPr>
      <xdr:cxnSp macro="">
        <xdr:nvCxnSpPr>
          <xdr:cNvPr id="19" name="Straight Connector 18"/>
          <xdr:cNvCxnSpPr/>
        </xdr:nvCxnSpPr>
        <xdr:spPr>
          <a:xfrm>
            <a:off x="1800225" y="800100"/>
            <a:ext cx="3524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xdr:cNvCxnSpPr/>
        </xdr:nvCxnSpPr>
        <xdr:spPr>
          <a:xfrm>
            <a:off x="1800225" y="2895600"/>
            <a:ext cx="352425"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xdr:cNvCxnSpPr/>
        </xdr:nvCxnSpPr>
        <xdr:spPr>
          <a:xfrm>
            <a:off x="2108880" y="800100"/>
            <a:ext cx="0" cy="208800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381000</xdr:colOff>
      <xdr:row>2</xdr:row>
      <xdr:rowOff>95250</xdr:rowOff>
    </xdr:from>
    <xdr:to>
      <xdr:col>3</xdr:col>
      <xdr:colOff>381000</xdr:colOff>
      <xdr:row>19</xdr:row>
      <xdr:rowOff>133350</xdr:rowOff>
    </xdr:to>
    <xdr:cxnSp macro="">
      <xdr:nvCxnSpPr>
        <xdr:cNvPr id="22" name="Straight Connector 21"/>
        <xdr:cNvCxnSpPr/>
      </xdr:nvCxnSpPr>
      <xdr:spPr>
        <a:xfrm>
          <a:off x="1924050" y="514350"/>
          <a:ext cx="0" cy="3362325"/>
        </a:xfrm>
        <a:prstGeom prst="line">
          <a:avLst/>
        </a:prstGeom>
        <a:ln w="9525">
          <a:solidFill>
            <a:schemeClr val="tx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419100</xdr:colOff>
      <xdr:row>21</xdr:row>
      <xdr:rowOff>0</xdr:rowOff>
    </xdr:from>
    <xdr:to>
      <xdr:col>4</xdr:col>
      <xdr:colOff>342900</xdr:colOff>
      <xdr:row>21</xdr:row>
      <xdr:rowOff>0</xdr:rowOff>
    </xdr:to>
    <xdr:cxnSp macro="">
      <xdr:nvCxnSpPr>
        <xdr:cNvPr id="23" name="Straight Connector 22"/>
        <xdr:cNvCxnSpPr/>
      </xdr:nvCxnSpPr>
      <xdr:spPr>
        <a:xfrm>
          <a:off x="1962150" y="4124325"/>
          <a:ext cx="43815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219075</xdr:colOff>
      <xdr:row>14</xdr:row>
      <xdr:rowOff>123825</xdr:rowOff>
    </xdr:from>
    <xdr:to>
      <xdr:col>7</xdr:col>
      <xdr:colOff>295275</xdr:colOff>
      <xdr:row>18</xdr:row>
      <xdr:rowOff>133350</xdr:rowOff>
    </xdr:to>
    <xdr:grpSp>
      <xdr:nvGrpSpPr>
        <xdr:cNvPr id="24" name="Group 23"/>
        <xdr:cNvGrpSpPr/>
      </xdr:nvGrpSpPr>
      <xdr:grpSpPr>
        <a:xfrm>
          <a:off x="733425" y="2914650"/>
          <a:ext cx="3162300" cy="771525"/>
          <a:chOff x="2228850" y="3667125"/>
          <a:chExt cx="3162300" cy="742950"/>
        </a:xfrm>
      </xdr:grpSpPr>
      <xdr:sp macro="" textlink="">
        <xdr:nvSpPr>
          <xdr:cNvPr id="25" name="Freeform 24"/>
          <xdr:cNvSpPr/>
        </xdr:nvSpPr>
        <xdr:spPr>
          <a:xfrm>
            <a:off x="2419349" y="3667125"/>
            <a:ext cx="2971801" cy="533400"/>
          </a:xfrm>
          <a:custGeom>
            <a:avLst/>
            <a:gdLst>
              <a:gd name="connsiteX0" fmla="*/ 0 w 981075"/>
              <a:gd name="connsiteY0" fmla="*/ 0 h 942975"/>
              <a:gd name="connsiteX1" fmla="*/ 0 w 981075"/>
              <a:gd name="connsiteY1" fmla="*/ 942975 h 942975"/>
              <a:gd name="connsiteX2" fmla="*/ 981075 w 981075"/>
              <a:gd name="connsiteY2" fmla="*/ 942975 h 942975"/>
            </a:gdLst>
            <a:ahLst/>
            <a:cxnLst>
              <a:cxn ang="0">
                <a:pos x="connsiteX0" y="connsiteY0"/>
              </a:cxn>
              <a:cxn ang="0">
                <a:pos x="connsiteX1" y="connsiteY1"/>
              </a:cxn>
              <a:cxn ang="0">
                <a:pos x="connsiteX2" y="connsiteY2"/>
              </a:cxn>
            </a:cxnLst>
            <a:rect l="l" t="t" r="r" b="b"/>
            <a:pathLst>
              <a:path w="981075" h="942975">
                <a:moveTo>
                  <a:pt x="0" y="0"/>
                </a:moveTo>
                <a:lnTo>
                  <a:pt x="0" y="942975"/>
                </a:lnTo>
                <a:lnTo>
                  <a:pt x="981075" y="942975"/>
                </a:lnTo>
              </a:path>
            </a:pathLst>
          </a:custGeom>
          <a:noFill/>
          <a:ln w="9525">
            <a:solidFill>
              <a:schemeClr val="tx2"/>
            </a:solidFill>
            <a:headEnd type="stealth"/>
            <a:tailEnd type="stealt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sp macro="" textlink="">
        <xdr:nvSpPr>
          <xdr:cNvPr id="26" name="TextBox 25"/>
          <xdr:cNvSpPr txBox="1"/>
        </xdr:nvSpPr>
        <xdr:spPr>
          <a:xfrm>
            <a:off x="2228850" y="3743325"/>
            <a:ext cx="133350"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T</a:t>
            </a:r>
          </a:p>
        </xdr:txBody>
      </xdr:sp>
      <xdr:sp macro="" textlink="">
        <xdr:nvSpPr>
          <xdr:cNvPr id="27" name="TextBox 26"/>
          <xdr:cNvSpPr txBox="1"/>
        </xdr:nvSpPr>
        <xdr:spPr>
          <a:xfrm>
            <a:off x="5029200" y="4229100"/>
            <a:ext cx="133350" cy="18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L</a:t>
            </a:r>
          </a:p>
        </xdr:txBody>
      </xdr:sp>
    </xdr:grpSp>
    <xdr:clientData/>
  </xdr:twoCellAnchor>
  <xdr:twoCellAnchor>
    <xdr:from>
      <xdr:col>3</xdr:col>
      <xdr:colOff>342900</xdr:colOff>
      <xdr:row>151</xdr:row>
      <xdr:rowOff>0</xdr:rowOff>
    </xdr:from>
    <xdr:to>
      <xdr:col>3</xdr:col>
      <xdr:colOff>504825</xdr:colOff>
      <xdr:row>154</xdr:row>
      <xdr:rowOff>4500</xdr:rowOff>
    </xdr:to>
    <xdr:sp macro="" textlink="">
      <xdr:nvSpPr>
        <xdr:cNvPr id="28" name="Left Brace 27"/>
        <xdr:cNvSpPr/>
      </xdr:nvSpPr>
      <xdr:spPr>
        <a:xfrm>
          <a:off x="1885950" y="30375225"/>
          <a:ext cx="161925" cy="614100"/>
        </a:xfrm>
        <a:prstGeom prst="leftBrace">
          <a:avLst>
            <a:gd name="adj1" fmla="val 29386"/>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361949</xdr:colOff>
      <xdr:row>175</xdr:row>
      <xdr:rowOff>0</xdr:rowOff>
    </xdr:from>
    <xdr:to>
      <xdr:col>4</xdr:col>
      <xdr:colOff>27599</xdr:colOff>
      <xdr:row>179</xdr:row>
      <xdr:rowOff>300</xdr:rowOff>
    </xdr:to>
    <xdr:sp macro="" textlink="">
      <xdr:nvSpPr>
        <xdr:cNvPr id="29" name="Left Brace 28"/>
        <xdr:cNvSpPr/>
      </xdr:nvSpPr>
      <xdr:spPr>
        <a:xfrm>
          <a:off x="1904999" y="35194875"/>
          <a:ext cx="180000" cy="838500"/>
        </a:xfrm>
        <a:prstGeom prst="leftBrace">
          <a:avLst>
            <a:gd name="adj1" fmla="val 29386"/>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409575</xdr:colOff>
      <xdr:row>17</xdr:row>
      <xdr:rowOff>77665</xdr:rowOff>
    </xdr:from>
    <xdr:to>
      <xdr:col>1</xdr:col>
      <xdr:colOff>409575</xdr:colOff>
      <xdr:row>26</xdr:row>
      <xdr:rowOff>142875</xdr:rowOff>
    </xdr:to>
    <xdr:cxnSp macro="">
      <xdr:nvCxnSpPr>
        <xdr:cNvPr id="30" name="Straight Connector 29"/>
        <xdr:cNvCxnSpPr/>
      </xdr:nvCxnSpPr>
      <xdr:spPr>
        <a:xfrm>
          <a:off x="923925" y="3439990"/>
          <a:ext cx="0" cy="1817810"/>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409575</xdr:colOff>
      <xdr:row>4</xdr:row>
      <xdr:rowOff>114300</xdr:rowOff>
    </xdr:from>
    <xdr:to>
      <xdr:col>5</xdr:col>
      <xdr:colOff>390525</xdr:colOff>
      <xdr:row>26</xdr:row>
      <xdr:rowOff>152872</xdr:rowOff>
    </xdr:to>
    <xdr:cxnSp macro="">
      <xdr:nvCxnSpPr>
        <xdr:cNvPr id="31" name="Straight Connector 30"/>
        <xdr:cNvCxnSpPr/>
      </xdr:nvCxnSpPr>
      <xdr:spPr>
        <a:xfrm flipV="1">
          <a:off x="409575" y="914400"/>
          <a:ext cx="2552700" cy="4353397"/>
        </a:xfrm>
        <a:prstGeom prst="line">
          <a:avLst/>
        </a:prstGeom>
        <a:ln w="9525">
          <a:solidFill>
            <a:schemeClr val="tx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257175</xdr:colOff>
      <xdr:row>22</xdr:row>
      <xdr:rowOff>38100</xdr:rowOff>
    </xdr:from>
    <xdr:to>
      <xdr:col>1</xdr:col>
      <xdr:colOff>504825</xdr:colOff>
      <xdr:row>22</xdr:row>
      <xdr:rowOff>38100</xdr:rowOff>
    </xdr:to>
    <xdr:cxnSp macro="">
      <xdr:nvCxnSpPr>
        <xdr:cNvPr id="32" name="Straight Connector 31"/>
        <xdr:cNvCxnSpPr/>
      </xdr:nvCxnSpPr>
      <xdr:spPr>
        <a:xfrm flipH="1">
          <a:off x="257175" y="4391025"/>
          <a:ext cx="762000"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76200</xdr:colOff>
      <xdr:row>17</xdr:row>
      <xdr:rowOff>96714</xdr:rowOff>
    </xdr:from>
    <xdr:to>
      <xdr:col>1</xdr:col>
      <xdr:colOff>76200</xdr:colOff>
      <xdr:row>22</xdr:row>
      <xdr:rowOff>42114</xdr:rowOff>
    </xdr:to>
    <xdr:cxnSp macro="">
      <xdr:nvCxnSpPr>
        <xdr:cNvPr id="33" name="Straight Connector 32"/>
        <xdr:cNvCxnSpPr/>
      </xdr:nvCxnSpPr>
      <xdr:spPr>
        <a:xfrm>
          <a:off x="590550" y="3459039"/>
          <a:ext cx="0" cy="93600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333375</xdr:colOff>
      <xdr:row>17</xdr:row>
      <xdr:rowOff>104775</xdr:rowOff>
    </xdr:from>
    <xdr:to>
      <xdr:col>2</xdr:col>
      <xdr:colOff>66675</xdr:colOff>
      <xdr:row>17</xdr:row>
      <xdr:rowOff>104775</xdr:rowOff>
    </xdr:to>
    <xdr:cxnSp macro="">
      <xdr:nvCxnSpPr>
        <xdr:cNvPr id="34" name="Straight Connector 33"/>
        <xdr:cNvCxnSpPr/>
      </xdr:nvCxnSpPr>
      <xdr:spPr>
        <a:xfrm flipH="1">
          <a:off x="333375" y="3467100"/>
          <a:ext cx="762000"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466725</xdr:colOff>
      <xdr:row>20</xdr:row>
      <xdr:rowOff>104775</xdr:rowOff>
    </xdr:from>
    <xdr:to>
      <xdr:col>2</xdr:col>
      <xdr:colOff>352425</xdr:colOff>
      <xdr:row>25</xdr:row>
      <xdr:rowOff>28575</xdr:rowOff>
    </xdr:to>
    <xdr:sp macro="" textlink="">
      <xdr:nvSpPr>
        <xdr:cNvPr id="35" name="Arc 34"/>
        <xdr:cNvSpPr/>
      </xdr:nvSpPr>
      <xdr:spPr>
        <a:xfrm>
          <a:off x="466725" y="4038600"/>
          <a:ext cx="914400" cy="914400"/>
        </a:xfrm>
        <a:prstGeom prst="arc">
          <a:avLst>
            <a:gd name="adj1" fmla="val 16200000"/>
            <a:gd name="adj2" fmla="val 17957482"/>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2</xdr:col>
      <xdr:colOff>360642</xdr:colOff>
      <xdr:row>3</xdr:row>
      <xdr:rowOff>190499</xdr:rowOff>
    </xdr:from>
    <xdr:to>
      <xdr:col>5</xdr:col>
      <xdr:colOff>95603</xdr:colOff>
      <xdr:row>23</xdr:row>
      <xdr:rowOff>0</xdr:rowOff>
    </xdr:to>
    <xdr:sp macro="" textlink="">
      <xdr:nvSpPr>
        <xdr:cNvPr id="113" name="Rectangle 112"/>
        <xdr:cNvSpPr/>
      </xdr:nvSpPr>
      <xdr:spPr>
        <a:xfrm>
          <a:off x="1911856" y="7619999"/>
          <a:ext cx="1286176" cy="2857501"/>
        </a:xfrm>
        <a:prstGeom prst="rect">
          <a:avLst/>
        </a:prstGeom>
        <a:blipFill dpi="0" rotWithShape="1">
          <a:blip xmlns:r="http://schemas.openxmlformats.org/officeDocument/2006/relationships" r:embed="rId1">
            <a:alphaModFix amt="48000"/>
          </a:blip>
          <a:srcRect/>
          <a:tile tx="0" ty="0" sx="100000" sy="100000" flip="none" algn="tl"/>
        </a:blip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6</xdr:col>
      <xdr:colOff>390525</xdr:colOff>
      <xdr:row>32</xdr:row>
      <xdr:rowOff>123825</xdr:rowOff>
    </xdr:from>
    <xdr:to>
      <xdr:col>7</xdr:col>
      <xdr:colOff>133350</xdr:colOff>
      <xdr:row>41</xdr:row>
      <xdr:rowOff>28575</xdr:rowOff>
    </xdr:to>
    <xdr:sp macro="" textlink="">
      <xdr:nvSpPr>
        <xdr:cNvPr id="48" name="Freeform 47"/>
        <xdr:cNvSpPr/>
      </xdr:nvSpPr>
      <xdr:spPr>
        <a:xfrm>
          <a:off x="3476625" y="7743825"/>
          <a:ext cx="257175" cy="2000250"/>
        </a:xfrm>
        <a:custGeom>
          <a:avLst/>
          <a:gdLst>
            <a:gd name="connsiteX0" fmla="*/ 123825 w 295275"/>
            <a:gd name="connsiteY0" fmla="*/ 0 h 2962275"/>
            <a:gd name="connsiteX1" fmla="*/ 123825 w 295275"/>
            <a:gd name="connsiteY1" fmla="*/ 1257300 h 2962275"/>
            <a:gd name="connsiteX2" fmla="*/ 295275 w 295275"/>
            <a:gd name="connsiteY2" fmla="*/ 1257300 h 2962275"/>
            <a:gd name="connsiteX3" fmla="*/ 0 w 295275"/>
            <a:gd name="connsiteY3" fmla="*/ 1552575 h 2962275"/>
            <a:gd name="connsiteX4" fmla="*/ 133350 w 295275"/>
            <a:gd name="connsiteY4" fmla="*/ 1552575 h 2962275"/>
            <a:gd name="connsiteX5" fmla="*/ 133350 w 295275"/>
            <a:gd name="connsiteY5" fmla="*/ 2962275 h 2962275"/>
            <a:gd name="connsiteX0" fmla="*/ 123825 w 295275"/>
            <a:gd name="connsiteY0" fmla="*/ 0 h 2314575"/>
            <a:gd name="connsiteX1" fmla="*/ 123825 w 295275"/>
            <a:gd name="connsiteY1" fmla="*/ 1257300 h 2314575"/>
            <a:gd name="connsiteX2" fmla="*/ 295275 w 295275"/>
            <a:gd name="connsiteY2" fmla="*/ 1257300 h 2314575"/>
            <a:gd name="connsiteX3" fmla="*/ 0 w 295275"/>
            <a:gd name="connsiteY3" fmla="*/ 1552575 h 2314575"/>
            <a:gd name="connsiteX4" fmla="*/ 133350 w 295275"/>
            <a:gd name="connsiteY4" fmla="*/ 1552575 h 2314575"/>
            <a:gd name="connsiteX5" fmla="*/ 133350 w 295275"/>
            <a:gd name="connsiteY5" fmla="*/ 2314575 h 2314575"/>
            <a:gd name="connsiteX0" fmla="*/ 123825 w 257175"/>
            <a:gd name="connsiteY0" fmla="*/ 0 h 2314575"/>
            <a:gd name="connsiteX1" fmla="*/ 123825 w 257175"/>
            <a:gd name="connsiteY1" fmla="*/ 1257300 h 2314575"/>
            <a:gd name="connsiteX2" fmla="*/ 257175 w 257175"/>
            <a:gd name="connsiteY2" fmla="*/ 1257300 h 2314575"/>
            <a:gd name="connsiteX3" fmla="*/ 0 w 257175"/>
            <a:gd name="connsiteY3" fmla="*/ 1552575 h 2314575"/>
            <a:gd name="connsiteX4" fmla="*/ 133350 w 257175"/>
            <a:gd name="connsiteY4" fmla="*/ 1552575 h 2314575"/>
            <a:gd name="connsiteX5" fmla="*/ 133350 w 257175"/>
            <a:gd name="connsiteY5" fmla="*/ 2314575 h 2314575"/>
            <a:gd name="connsiteX0" fmla="*/ 123825 w 257175"/>
            <a:gd name="connsiteY0" fmla="*/ 0 h 4100625"/>
            <a:gd name="connsiteX1" fmla="*/ 123825 w 257175"/>
            <a:gd name="connsiteY1" fmla="*/ 1257300 h 4100625"/>
            <a:gd name="connsiteX2" fmla="*/ 257175 w 257175"/>
            <a:gd name="connsiteY2" fmla="*/ 1257300 h 4100625"/>
            <a:gd name="connsiteX3" fmla="*/ 0 w 257175"/>
            <a:gd name="connsiteY3" fmla="*/ 1552575 h 4100625"/>
            <a:gd name="connsiteX4" fmla="*/ 133350 w 257175"/>
            <a:gd name="connsiteY4" fmla="*/ 1552575 h 4100625"/>
            <a:gd name="connsiteX5" fmla="*/ 123825 w 257175"/>
            <a:gd name="connsiteY5" fmla="*/ 4100625 h 4100625"/>
            <a:gd name="connsiteX0" fmla="*/ 123825 w 257175"/>
            <a:gd name="connsiteY0" fmla="*/ 0 h 4064175"/>
            <a:gd name="connsiteX1" fmla="*/ 123825 w 257175"/>
            <a:gd name="connsiteY1" fmla="*/ 1257300 h 4064175"/>
            <a:gd name="connsiteX2" fmla="*/ 257175 w 257175"/>
            <a:gd name="connsiteY2" fmla="*/ 1257300 h 4064175"/>
            <a:gd name="connsiteX3" fmla="*/ 0 w 257175"/>
            <a:gd name="connsiteY3" fmla="*/ 1552575 h 4064175"/>
            <a:gd name="connsiteX4" fmla="*/ 133350 w 257175"/>
            <a:gd name="connsiteY4" fmla="*/ 1552575 h 4064175"/>
            <a:gd name="connsiteX5" fmla="*/ 133350 w 257175"/>
            <a:gd name="connsiteY5" fmla="*/ 4064175 h 40641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57175" h="4064175">
              <a:moveTo>
                <a:pt x="123825" y="0"/>
              </a:moveTo>
              <a:lnTo>
                <a:pt x="123825" y="1257300"/>
              </a:lnTo>
              <a:lnTo>
                <a:pt x="257175" y="1257300"/>
              </a:lnTo>
              <a:lnTo>
                <a:pt x="0" y="1552575"/>
              </a:lnTo>
              <a:lnTo>
                <a:pt x="133350" y="1552575"/>
              </a:lnTo>
              <a:lnTo>
                <a:pt x="133350" y="4064175"/>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371478</xdr:colOff>
      <xdr:row>40</xdr:row>
      <xdr:rowOff>123824</xdr:rowOff>
    </xdr:from>
    <xdr:to>
      <xdr:col>7</xdr:col>
      <xdr:colOff>205197</xdr:colOff>
      <xdr:row>41</xdr:row>
      <xdr:rowOff>85723</xdr:rowOff>
    </xdr:to>
    <xdr:sp macro="" textlink="">
      <xdr:nvSpPr>
        <xdr:cNvPr id="49" name="Freeform 48"/>
        <xdr:cNvSpPr/>
      </xdr:nvSpPr>
      <xdr:spPr>
        <a:xfrm rot="16200000">
          <a:off x="3298238" y="13675314"/>
          <a:ext cx="152399" cy="862419"/>
        </a:xfrm>
        <a:custGeom>
          <a:avLst/>
          <a:gdLst>
            <a:gd name="connsiteX0" fmla="*/ 123825 w 295275"/>
            <a:gd name="connsiteY0" fmla="*/ 0 h 2962275"/>
            <a:gd name="connsiteX1" fmla="*/ 123825 w 295275"/>
            <a:gd name="connsiteY1" fmla="*/ 1257300 h 2962275"/>
            <a:gd name="connsiteX2" fmla="*/ 295275 w 295275"/>
            <a:gd name="connsiteY2" fmla="*/ 1257300 h 2962275"/>
            <a:gd name="connsiteX3" fmla="*/ 0 w 295275"/>
            <a:gd name="connsiteY3" fmla="*/ 1552575 h 2962275"/>
            <a:gd name="connsiteX4" fmla="*/ 133350 w 295275"/>
            <a:gd name="connsiteY4" fmla="*/ 1552575 h 2962275"/>
            <a:gd name="connsiteX5" fmla="*/ 133350 w 295275"/>
            <a:gd name="connsiteY5" fmla="*/ 2962275 h 2962275"/>
            <a:gd name="connsiteX0" fmla="*/ 123825 w 295275"/>
            <a:gd name="connsiteY0" fmla="*/ 0 h 2314575"/>
            <a:gd name="connsiteX1" fmla="*/ 123825 w 295275"/>
            <a:gd name="connsiteY1" fmla="*/ 1257300 h 2314575"/>
            <a:gd name="connsiteX2" fmla="*/ 295275 w 295275"/>
            <a:gd name="connsiteY2" fmla="*/ 1257300 h 2314575"/>
            <a:gd name="connsiteX3" fmla="*/ 0 w 295275"/>
            <a:gd name="connsiteY3" fmla="*/ 1552575 h 2314575"/>
            <a:gd name="connsiteX4" fmla="*/ 133350 w 295275"/>
            <a:gd name="connsiteY4" fmla="*/ 1552575 h 2314575"/>
            <a:gd name="connsiteX5" fmla="*/ 133350 w 295275"/>
            <a:gd name="connsiteY5" fmla="*/ 2314575 h 2314575"/>
            <a:gd name="connsiteX0" fmla="*/ 123825 w 257175"/>
            <a:gd name="connsiteY0" fmla="*/ 0 h 2314575"/>
            <a:gd name="connsiteX1" fmla="*/ 123825 w 257175"/>
            <a:gd name="connsiteY1" fmla="*/ 1257300 h 2314575"/>
            <a:gd name="connsiteX2" fmla="*/ 257175 w 257175"/>
            <a:gd name="connsiteY2" fmla="*/ 1257300 h 2314575"/>
            <a:gd name="connsiteX3" fmla="*/ 0 w 257175"/>
            <a:gd name="connsiteY3" fmla="*/ 1552575 h 2314575"/>
            <a:gd name="connsiteX4" fmla="*/ 133350 w 257175"/>
            <a:gd name="connsiteY4" fmla="*/ 1552575 h 2314575"/>
            <a:gd name="connsiteX5" fmla="*/ 133350 w 257175"/>
            <a:gd name="connsiteY5" fmla="*/ 2314575 h 2314575"/>
            <a:gd name="connsiteX0" fmla="*/ 123825 w 257175"/>
            <a:gd name="connsiteY0" fmla="*/ 0 h 4100625"/>
            <a:gd name="connsiteX1" fmla="*/ 123825 w 257175"/>
            <a:gd name="connsiteY1" fmla="*/ 1257300 h 4100625"/>
            <a:gd name="connsiteX2" fmla="*/ 257175 w 257175"/>
            <a:gd name="connsiteY2" fmla="*/ 1257300 h 4100625"/>
            <a:gd name="connsiteX3" fmla="*/ 0 w 257175"/>
            <a:gd name="connsiteY3" fmla="*/ 1552575 h 4100625"/>
            <a:gd name="connsiteX4" fmla="*/ 133350 w 257175"/>
            <a:gd name="connsiteY4" fmla="*/ 1552575 h 4100625"/>
            <a:gd name="connsiteX5" fmla="*/ 123825 w 257175"/>
            <a:gd name="connsiteY5" fmla="*/ 4100625 h 4100625"/>
            <a:gd name="connsiteX0" fmla="*/ 123825 w 257175"/>
            <a:gd name="connsiteY0" fmla="*/ 0 h 4064175"/>
            <a:gd name="connsiteX1" fmla="*/ 123825 w 257175"/>
            <a:gd name="connsiteY1" fmla="*/ 1257300 h 4064175"/>
            <a:gd name="connsiteX2" fmla="*/ 257175 w 257175"/>
            <a:gd name="connsiteY2" fmla="*/ 1257300 h 4064175"/>
            <a:gd name="connsiteX3" fmla="*/ 0 w 257175"/>
            <a:gd name="connsiteY3" fmla="*/ 1552575 h 4064175"/>
            <a:gd name="connsiteX4" fmla="*/ 133350 w 257175"/>
            <a:gd name="connsiteY4" fmla="*/ 1552575 h 4064175"/>
            <a:gd name="connsiteX5" fmla="*/ 133350 w 257175"/>
            <a:gd name="connsiteY5" fmla="*/ 4064175 h 4064175"/>
            <a:gd name="connsiteX0" fmla="*/ 123825 w 257175"/>
            <a:gd name="connsiteY0" fmla="*/ 0 h 2954660"/>
            <a:gd name="connsiteX1" fmla="*/ 123825 w 257175"/>
            <a:gd name="connsiteY1" fmla="*/ 1257300 h 2954660"/>
            <a:gd name="connsiteX2" fmla="*/ 257175 w 257175"/>
            <a:gd name="connsiteY2" fmla="*/ 1257300 h 2954660"/>
            <a:gd name="connsiteX3" fmla="*/ 0 w 257175"/>
            <a:gd name="connsiteY3" fmla="*/ 1552575 h 2954660"/>
            <a:gd name="connsiteX4" fmla="*/ 133350 w 257175"/>
            <a:gd name="connsiteY4" fmla="*/ 1552575 h 2954660"/>
            <a:gd name="connsiteX5" fmla="*/ 133351 w 257175"/>
            <a:gd name="connsiteY5" fmla="*/ 2954660 h 29546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57175" h="2954660">
              <a:moveTo>
                <a:pt x="123825" y="0"/>
              </a:moveTo>
              <a:lnTo>
                <a:pt x="123825" y="1257300"/>
              </a:lnTo>
              <a:lnTo>
                <a:pt x="257175" y="1257300"/>
              </a:lnTo>
              <a:lnTo>
                <a:pt x="0" y="1552575"/>
              </a:lnTo>
              <a:lnTo>
                <a:pt x="133350" y="1552575"/>
              </a:lnTo>
              <a:cubicBezTo>
                <a:pt x="133350" y="2389775"/>
                <a:pt x="133351" y="2117460"/>
                <a:pt x="133351" y="2954660"/>
              </a:cubicBez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0</xdr:colOff>
      <xdr:row>31</xdr:row>
      <xdr:rowOff>104775</xdr:rowOff>
    </xdr:from>
    <xdr:to>
      <xdr:col>3</xdr:col>
      <xdr:colOff>0</xdr:colOff>
      <xdr:row>33</xdr:row>
      <xdr:rowOff>0</xdr:rowOff>
    </xdr:to>
    <xdr:cxnSp macro="">
      <xdr:nvCxnSpPr>
        <xdr:cNvPr id="50" name="Straight Connector 49"/>
        <xdr:cNvCxnSpPr/>
      </xdr:nvCxnSpPr>
      <xdr:spPr>
        <a:xfrm flipV="1">
          <a:off x="1543050" y="7534275"/>
          <a:ext cx="0" cy="276225"/>
        </a:xfrm>
        <a:prstGeom prst="line">
          <a:avLst/>
        </a:prstGeom>
        <a:ln w="41275">
          <a:solidFill>
            <a:schemeClr val="tx2"/>
          </a:solidFill>
          <a:headEnd type="stealth"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30</xdr:row>
      <xdr:rowOff>85725</xdr:rowOff>
    </xdr:from>
    <xdr:to>
      <xdr:col>3</xdr:col>
      <xdr:colOff>0</xdr:colOff>
      <xdr:row>33</xdr:row>
      <xdr:rowOff>133350</xdr:rowOff>
    </xdr:to>
    <xdr:cxnSp macro="">
      <xdr:nvCxnSpPr>
        <xdr:cNvPr id="51" name="Straight Connector 50"/>
        <xdr:cNvCxnSpPr/>
      </xdr:nvCxnSpPr>
      <xdr:spPr>
        <a:xfrm flipV="1">
          <a:off x="1543050" y="12087225"/>
          <a:ext cx="0" cy="619125"/>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29</xdr:row>
      <xdr:rowOff>76200</xdr:rowOff>
    </xdr:from>
    <xdr:to>
      <xdr:col>6</xdr:col>
      <xdr:colOff>0</xdr:colOff>
      <xdr:row>34</xdr:row>
      <xdr:rowOff>114301</xdr:rowOff>
    </xdr:to>
    <xdr:cxnSp macro="">
      <xdr:nvCxnSpPr>
        <xdr:cNvPr id="52" name="Straight Connector 51"/>
        <xdr:cNvCxnSpPr/>
      </xdr:nvCxnSpPr>
      <xdr:spPr>
        <a:xfrm flipV="1">
          <a:off x="3086100" y="7124700"/>
          <a:ext cx="0" cy="990601"/>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31</xdr:row>
      <xdr:rowOff>0</xdr:rowOff>
    </xdr:from>
    <xdr:to>
      <xdr:col>5</xdr:col>
      <xdr:colOff>504825</xdr:colOff>
      <xdr:row>31</xdr:row>
      <xdr:rowOff>0</xdr:rowOff>
    </xdr:to>
    <xdr:cxnSp macro="">
      <xdr:nvCxnSpPr>
        <xdr:cNvPr id="53" name="Straight Connector 52"/>
        <xdr:cNvCxnSpPr/>
      </xdr:nvCxnSpPr>
      <xdr:spPr>
        <a:xfrm>
          <a:off x="1552575" y="7429500"/>
          <a:ext cx="1524000" cy="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33</xdr:row>
      <xdr:rowOff>0</xdr:rowOff>
    </xdr:from>
    <xdr:to>
      <xdr:col>6</xdr:col>
      <xdr:colOff>485775</xdr:colOff>
      <xdr:row>41</xdr:row>
      <xdr:rowOff>0</xdr:rowOff>
    </xdr:to>
    <xdr:sp macro="" textlink="">
      <xdr:nvSpPr>
        <xdr:cNvPr id="54" name="Freeform 53"/>
        <xdr:cNvSpPr/>
      </xdr:nvSpPr>
      <xdr:spPr>
        <a:xfrm>
          <a:off x="1038225" y="7810500"/>
          <a:ext cx="2533650" cy="1895475"/>
        </a:xfrm>
        <a:custGeom>
          <a:avLst/>
          <a:gdLst>
            <a:gd name="connsiteX0" fmla="*/ 1533525 w 2524125"/>
            <a:gd name="connsiteY0" fmla="*/ 1905000 h 1905000"/>
            <a:gd name="connsiteX1" fmla="*/ 1533525 w 2524125"/>
            <a:gd name="connsiteY1" fmla="*/ 790575 h 1905000"/>
            <a:gd name="connsiteX2" fmla="*/ 1200150 w 2524125"/>
            <a:gd name="connsiteY2" fmla="*/ 790575 h 1905000"/>
            <a:gd name="connsiteX3" fmla="*/ 0 w 2524125"/>
            <a:gd name="connsiteY3" fmla="*/ 361950 h 1905000"/>
            <a:gd name="connsiteX4" fmla="*/ 0 w 2524125"/>
            <a:gd name="connsiteY4" fmla="*/ 0 h 1905000"/>
            <a:gd name="connsiteX5" fmla="*/ 2524125 w 2524125"/>
            <a:gd name="connsiteY5" fmla="*/ 0 h 1905000"/>
            <a:gd name="connsiteX0" fmla="*/ 1533525 w 2524125"/>
            <a:gd name="connsiteY0" fmla="*/ 1905000 h 1905000"/>
            <a:gd name="connsiteX1" fmla="*/ 1998496 w 2524125"/>
            <a:gd name="connsiteY1" fmla="*/ 771525 h 1905000"/>
            <a:gd name="connsiteX2" fmla="*/ 1200150 w 2524125"/>
            <a:gd name="connsiteY2" fmla="*/ 790575 h 1905000"/>
            <a:gd name="connsiteX3" fmla="*/ 0 w 2524125"/>
            <a:gd name="connsiteY3" fmla="*/ 361950 h 1905000"/>
            <a:gd name="connsiteX4" fmla="*/ 0 w 2524125"/>
            <a:gd name="connsiteY4" fmla="*/ 0 h 1905000"/>
            <a:gd name="connsiteX5" fmla="*/ 2524125 w 2524125"/>
            <a:gd name="connsiteY5" fmla="*/ 0 h 1905000"/>
            <a:gd name="connsiteX0" fmla="*/ 1998496 w 2524125"/>
            <a:gd name="connsiteY0" fmla="*/ 1924050 h 1924050"/>
            <a:gd name="connsiteX1" fmla="*/ 1998496 w 2524125"/>
            <a:gd name="connsiteY1" fmla="*/ 771525 h 1924050"/>
            <a:gd name="connsiteX2" fmla="*/ 1200150 w 2524125"/>
            <a:gd name="connsiteY2" fmla="*/ 790575 h 1924050"/>
            <a:gd name="connsiteX3" fmla="*/ 0 w 2524125"/>
            <a:gd name="connsiteY3" fmla="*/ 361950 h 1924050"/>
            <a:gd name="connsiteX4" fmla="*/ 0 w 2524125"/>
            <a:gd name="connsiteY4" fmla="*/ 0 h 1924050"/>
            <a:gd name="connsiteX5" fmla="*/ 2524125 w 2524125"/>
            <a:gd name="connsiteY5" fmla="*/ 0 h 1924050"/>
            <a:gd name="connsiteX0" fmla="*/ 1998496 w 2524125"/>
            <a:gd name="connsiteY0" fmla="*/ 1924050 h 1924050"/>
            <a:gd name="connsiteX1" fmla="*/ 1998496 w 2524125"/>
            <a:gd name="connsiteY1" fmla="*/ 771525 h 1924050"/>
            <a:gd name="connsiteX2" fmla="*/ 1627164 w 2524125"/>
            <a:gd name="connsiteY2" fmla="*/ 781050 h 1924050"/>
            <a:gd name="connsiteX3" fmla="*/ 0 w 2524125"/>
            <a:gd name="connsiteY3" fmla="*/ 361950 h 1924050"/>
            <a:gd name="connsiteX4" fmla="*/ 0 w 2524125"/>
            <a:gd name="connsiteY4" fmla="*/ 0 h 1924050"/>
            <a:gd name="connsiteX5" fmla="*/ 2524125 w 2524125"/>
            <a:gd name="connsiteY5" fmla="*/ 0 h 1924050"/>
            <a:gd name="connsiteX0" fmla="*/ 1998496 w 2524125"/>
            <a:gd name="connsiteY0" fmla="*/ 1924050 h 1924050"/>
            <a:gd name="connsiteX1" fmla="*/ 1998496 w 2524125"/>
            <a:gd name="connsiteY1" fmla="*/ 771525 h 1924050"/>
            <a:gd name="connsiteX2" fmla="*/ 1778991 w 2524125"/>
            <a:gd name="connsiteY2" fmla="*/ 762000 h 1924050"/>
            <a:gd name="connsiteX3" fmla="*/ 0 w 2524125"/>
            <a:gd name="connsiteY3" fmla="*/ 361950 h 1924050"/>
            <a:gd name="connsiteX4" fmla="*/ 0 w 2524125"/>
            <a:gd name="connsiteY4" fmla="*/ 0 h 1924050"/>
            <a:gd name="connsiteX5" fmla="*/ 2524125 w 2524125"/>
            <a:gd name="connsiteY5" fmla="*/ 0 h 1924050"/>
            <a:gd name="connsiteX0" fmla="*/ 1998496 w 2524125"/>
            <a:gd name="connsiteY0" fmla="*/ 1924050 h 1924050"/>
            <a:gd name="connsiteX1" fmla="*/ 1998496 w 2524125"/>
            <a:gd name="connsiteY1" fmla="*/ 771525 h 1924050"/>
            <a:gd name="connsiteX2" fmla="*/ 1778991 w 2524125"/>
            <a:gd name="connsiteY2" fmla="*/ 752475 h 1924050"/>
            <a:gd name="connsiteX3" fmla="*/ 0 w 2524125"/>
            <a:gd name="connsiteY3" fmla="*/ 361950 h 1924050"/>
            <a:gd name="connsiteX4" fmla="*/ 0 w 2524125"/>
            <a:gd name="connsiteY4" fmla="*/ 0 h 1924050"/>
            <a:gd name="connsiteX5" fmla="*/ 2524125 w 2524125"/>
            <a:gd name="connsiteY5" fmla="*/ 0 h 1924050"/>
            <a:gd name="connsiteX0" fmla="*/ 1998496 w 2524125"/>
            <a:gd name="connsiteY0" fmla="*/ 1924050 h 1924050"/>
            <a:gd name="connsiteX1" fmla="*/ 1998496 w 2524125"/>
            <a:gd name="connsiteY1" fmla="*/ 771525 h 1924050"/>
            <a:gd name="connsiteX2" fmla="*/ 1807458 w 2524125"/>
            <a:gd name="connsiteY2" fmla="*/ 771525 h 1924050"/>
            <a:gd name="connsiteX3" fmla="*/ 0 w 2524125"/>
            <a:gd name="connsiteY3" fmla="*/ 361950 h 1924050"/>
            <a:gd name="connsiteX4" fmla="*/ 0 w 2524125"/>
            <a:gd name="connsiteY4" fmla="*/ 0 h 1924050"/>
            <a:gd name="connsiteX5" fmla="*/ 2524125 w 2524125"/>
            <a:gd name="connsiteY5" fmla="*/ 0 h 1924050"/>
            <a:gd name="connsiteX0" fmla="*/ 1998496 w 2524125"/>
            <a:gd name="connsiteY0" fmla="*/ 1924050 h 1924050"/>
            <a:gd name="connsiteX1" fmla="*/ 2036453 w 2524125"/>
            <a:gd name="connsiteY1" fmla="*/ 771525 h 1924050"/>
            <a:gd name="connsiteX2" fmla="*/ 1807458 w 2524125"/>
            <a:gd name="connsiteY2" fmla="*/ 771525 h 1924050"/>
            <a:gd name="connsiteX3" fmla="*/ 0 w 2524125"/>
            <a:gd name="connsiteY3" fmla="*/ 361950 h 1924050"/>
            <a:gd name="connsiteX4" fmla="*/ 0 w 2524125"/>
            <a:gd name="connsiteY4" fmla="*/ 0 h 1924050"/>
            <a:gd name="connsiteX5" fmla="*/ 2524125 w 2524125"/>
            <a:gd name="connsiteY5" fmla="*/ 0 h 1924050"/>
            <a:gd name="connsiteX0" fmla="*/ 2045942 w 2524125"/>
            <a:gd name="connsiteY0" fmla="*/ 1933575 h 1933575"/>
            <a:gd name="connsiteX1" fmla="*/ 2036453 w 2524125"/>
            <a:gd name="connsiteY1" fmla="*/ 771525 h 1933575"/>
            <a:gd name="connsiteX2" fmla="*/ 1807458 w 2524125"/>
            <a:gd name="connsiteY2" fmla="*/ 771525 h 1933575"/>
            <a:gd name="connsiteX3" fmla="*/ 0 w 2524125"/>
            <a:gd name="connsiteY3" fmla="*/ 361950 h 1933575"/>
            <a:gd name="connsiteX4" fmla="*/ 0 w 2524125"/>
            <a:gd name="connsiteY4" fmla="*/ 0 h 1933575"/>
            <a:gd name="connsiteX5" fmla="*/ 2524125 w 2524125"/>
            <a:gd name="connsiteY5" fmla="*/ 0 h 1933575"/>
            <a:gd name="connsiteX0" fmla="*/ 2036453 w 2524125"/>
            <a:gd name="connsiteY0" fmla="*/ 1895475 h 1895475"/>
            <a:gd name="connsiteX1" fmla="*/ 2036453 w 2524125"/>
            <a:gd name="connsiteY1" fmla="*/ 771525 h 1895475"/>
            <a:gd name="connsiteX2" fmla="*/ 1807458 w 2524125"/>
            <a:gd name="connsiteY2" fmla="*/ 771525 h 1895475"/>
            <a:gd name="connsiteX3" fmla="*/ 0 w 2524125"/>
            <a:gd name="connsiteY3" fmla="*/ 361950 h 1895475"/>
            <a:gd name="connsiteX4" fmla="*/ 0 w 2524125"/>
            <a:gd name="connsiteY4" fmla="*/ 0 h 1895475"/>
            <a:gd name="connsiteX5" fmla="*/ 2524125 w 2524125"/>
            <a:gd name="connsiteY5" fmla="*/ 0 h 18954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524125" h="1895475">
              <a:moveTo>
                <a:pt x="2036453" y="1895475"/>
              </a:moveTo>
              <a:lnTo>
                <a:pt x="2036453" y="771525"/>
              </a:lnTo>
              <a:lnTo>
                <a:pt x="1807458" y="771525"/>
              </a:lnTo>
              <a:lnTo>
                <a:pt x="0" y="361950"/>
              </a:lnTo>
              <a:lnTo>
                <a:pt x="0" y="0"/>
              </a:lnTo>
              <a:lnTo>
                <a:pt x="2524125" y="0"/>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257175</xdr:colOff>
      <xdr:row>36</xdr:row>
      <xdr:rowOff>161925</xdr:rowOff>
    </xdr:from>
    <xdr:to>
      <xdr:col>5</xdr:col>
      <xdr:colOff>257175</xdr:colOff>
      <xdr:row>38</xdr:row>
      <xdr:rowOff>95252</xdr:rowOff>
    </xdr:to>
    <xdr:cxnSp macro="">
      <xdr:nvCxnSpPr>
        <xdr:cNvPr id="55" name="Straight Connector 54"/>
        <xdr:cNvCxnSpPr/>
      </xdr:nvCxnSpPr>
      <xdr:spPr>
        <a:xfrm flipV="1">
          <a:off x="2828925" y="8543925"/>
          <a:ext cx="0" cy="314327"/>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38</xdr:row>
      <xdr:rowOff>0</xdr:rowOff>
    </xdr:from>
    <xdr:to>
      <xdr:col>5</xdr:col>
      <xdr:colOff>485775</xdr:colOff>
      <xdr:row>38</xdr:row>
      <xdr:rowOff>0</xdr:rowOff>
    </xdr:to>
    <xdr:cxnSp macro="">
      <xdr:nvCxnSpPr>
        <xdr:cNvPr id="56" name="Straight Connector 55"/>
        <xdr:cNvCxnSpPr/>
      </xdr:nvCxnSpPr>
      <xdr:spPr>
        <a:xfrm>
          <a:off x="2838450" y="8763000"/>
          <a:ext cx="219075" cy="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38</xdr:row>
      <xdr:rowOff>0</xdr:rowOff>
    </xdr:from>
    <xdr:to>
      <xdr:col>5</xdr:col>
      <xdr:colOff>228600</xdr:colOff>
      <xdr:row>38</xdr:row>
      <xdr:rowOff>0</xdr:rowOff>
    </xdr:to>
    <xdr:cxnSp macro="">
      <xdr:nvCxnSpPr>
        <xdr:cNvPr id="57" name="Straight Connector 56"/>
        <xdr:cNvCxnSpPr/>
      </xdr:nvCxnSpPr>
      <xdr:spPr>
        <a:xfrm>
          <a:off x="1047750" y="8763000"/>
          <a:ext cx="1752600" cy="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30</xdr:row>
      <xdr:rowOff>85725</xdr:rowOff>
    </xdr:from>
    <xdr:to>
      <xdr:col>2</xdr:col>
      <xdr:colOff>9525</xdr:colOff>
      <xdr:row>38</xdr:row>
      <xdr:rowOff>123825</xdr:rowOff>
    </xdr:to>
    <xdr:cxnSp macro="">
      <xdr:nvCxnSpPr>
        <xdr:cNvPr id="58" name="Straight Connector 57"/>
        <xdr:cNvCxnSpPr/>
      </xdr:nvCxnSpPr>
      <xdr:spPr>
        <a:xfrm flipV="1">
          <a:off x="1038225" y="7324725"/>
          <a:ext cx="0" cy="156210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31</xdr:row>
      <xdr:rowOff>0</xdr:rowOff>
    </xdr:from>
    <xdr:to>
      <xdr:col>2</xdr:col>
      <xdr:colOff>487050</xdr:colOff>
      <xdr:row>31</xdr:row>
      <xdr:rowOff>0</xdr:rowOff>
    </xdr:to>
    <xdr:cxnSp macro="">
      <xdr:nvCxnSpPr>
        <xdr:cNvPr id="59" name="Straight Connector 58"/>
        <xdr:cNvCxnSpPr/>
      </xdr:nvCxnSpPr>
      <xdr:spPr>
        <a:xfrm>
          <a:off x="1047750" y="7429500"/>
          <a:ext cx="468000" cy="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33</xdr:row>
      <xdr:rowOff>9525</xdr:rowOff>
    </xdr:from>
    <xdr:to>
      <xdr:col>1</xdr:col>
      <xdr:colOff>371475</xdr:colOff>
      <xdr:row>34</xdr:row>
      <xdr:rowOff>71025</xdr:rowOff>
    </xdr:to>
    <xdr:cxnSp macro="">
      <xdr:nvCxnSpPr>
        <xdr:cNvPr id="60" name="Straight Connector 59"/>
        <xdr:cNvCxnSpPr/>
      </xdr:nvCxnSpPr>
      <xdr:spPr>
        <a:xfrm>
          <a:off x="885825" y="12582525"/>
          <a:ext cx="0" cy="25200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209550</xdr:colOff>
      <xdr:row>33</xdr:row>
      <xdr:rowOff>0</xdr:rowOff>
    </xdr:from>
    <xdr:to>
      <xdr:col>2</xdr:col>
      <xdr:colOff>133350</xdr:colOff>
      <xdr:row>33</xdr:row>
      <xdr:rowOff>0</xdr:rowOff>
    </xdr:to>
    <xdr:cxnSp macro="">
      <xdr:nvCxnSpPr>
        <xdr:cNvPr id="61" name="Straight Connector 60"/>
        <xdr:cNvCxnSpPr/>
      </xdr:nvCxnSpPr>
      <xdr:spPr>
        <a:xfrm flipH="1" flipV="1">
          <a:off x="723900" y="7810500"/>
          <a:ext cx="438150" cy="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200025</xdr:colOff>
      <xdr:row>34</xdr:row>
      <xdr:rowOff>95250</xdr:rowOff>
    </xdr:from>
    <xdr:to>
      <xdr:col>2</xdr:col>
      <xdr:colOff>123825</xdr:colOff>
      <xdr:row>34</xdr:row>
      <xdr:rowOff>95250</xdr:rowOff>
    </xdr:to>
    <xdr:cxnSp macro="">
      <xdr:nvCxnSpPr>
        <xdr:cNvPr id="62" name="Straight Connector 61"/>
        <xdr:cNvCxnSpPr/>
      </xdr:nvCxnSpPr>
      <xdr:spPr>
        <a:xfrm flipH="1" flipV="1">
          <a:off x="714375" y="12858750"/>
          <a:ext cx="438150" cy="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200027</xdr:colOff>
      <xdr:row>36</xdr:row>
      <xdr:rowOff>57150</xdr:rowOff>
    </xdr:from>
    <xdr:to>
      <xdr:col>2</xdr:col>
      <xdr:colOff>133350</xdr:colOff>
      <xdr:row>36</xdr:row>
      <xdr:rowOff>57150</xdr:rowOff>
    </xdr:to>
    <xdr:cxnSp macro="">
      <xdr:nvCxnSpPr>
        <xdr:cNvPr id="63" name="Straight Connector 62"/>
        <xdr:cNvCxnSpPr/>
      </xdr:nvCxnSpPr>
      <xdr:spPr>
        <a:xfrm flipH="1">
          <a:off x="714377" y="13201650"/>
          <a:ext cx="447673" cy="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34</xdr:row>
      <xdr:rowOff>104775</xdr:rowOff>
    </xdr:from>
    <xdr:to>
      <xdr:col>1</xdr:col>
      <xdr:colOff>371475</xdr:colOff>
      <xdr:row>36</xdr:row>
      <xdr:rowOff>47775</xdr:rowOff>
    </xdr:to>
    <xdr:cxnSp macro="">
      <xdr:nvCxnSpPr>
        <xdr:cNvPr id="64" name="Straight Connector 63"/>
        <xdr:cNvCxnSpPr/>
      </xdr:nvCxnSpPr>
      <xdr:spPr>
        <a:xfrm>
          <a:off x="885825" y="12868275"/>
          <a:ext cx="0" cy="32400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33</xdr:row>
      <xdr:rowOff>9525</xdr:rowOff>
    </xdr:from>
    <xdr:to>
      <xdr:col>3</xdr:col>
      <xdr:colOff>0</xdr:colOff>
      <xdr:row>34</xdr:row>
      <xdr:rowOff>179025</xdr:rowOff>
    </xdr:to>
    <xdr:cxnSp macro="">
      <xdr:nvCxnSpPr>
        <xdr:cNvPr id="94" name="Straight Connector 93"/>
        <xdr:cNvCxnSpPr/>
      </xdr:nvCxnSpPr>
      <xdr:spPr>
        <a:xfrm>
          <a:off x="1543050" y="12582525"/>
          <a:ext cx="0" cy="36000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361950</xdr:colOff>
      <xdr:row>35</xdr:row>
      <xdr:rowOff>0</xdr:rowOff>
    </xdr:from>
    <xdr:to>
      <xdr:col>3</xdr:col>
      <xdr:colOff>285750</xdr:colOff>
      <xdr:row>35</xdr:row>
      <xdr:rowOff>0</xdr:rowOff>
    </xdr:to>
    <xdr:cxnSp macro="">
      <xdr:nvCxnSpPr>
        <xdr:cNvPr id="95" name="Straight Connector 94"/>
        <xdr:cNvCxnSpPr/>
      </xdr:nvCxnSpPr>
      <xdr:spPr>
        <a:xfrm flipH="1" flipV="1">
          <a:off x="1390650" y="12954000"/>
          <a:ext cx="438150" cy="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29</xdr:row>
      <xdr:rowOff>76200</xdr:rowOff>
    </xdr:from>
    <xdr:to>
      <xdr:col>4</xdr:col>
      <xdr:colOff>485775</xdr:colOff>
      <xdr:row>38</xdr:row>
      <xdr:rowOff>47625</xdr:rowOff>
    </xdr:to>
    <xdr:cxnSp macro="">
      <xdr:nvCxnSpPr>
        <xdr:cNvPr id="96" name="Straight Connector 95"/>
        <xdr:cNvCxnSpPr/>
      </xdr:nvCxnSpPr>
      <xdr:spPr>
        <a:xfrm>
          <a:off x="2543175" y="11887200"/>
          <a:ext cx="0" cy="1685925"/>
        </a:xfrm>
        <a:prstGeom prst="line">
          <a:avLst/>
        </a:prstGeom>
        <a:ln w="9525">
          <a:solidFill>
            <a:schemeClr val="tx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30</xdr:row>
      <xdr:rowOff>0</xdr:rowOff>
    </xdr:from>
    <xdr:to>
      <xdr:col>5</xdr:col>
      <xdr:colOff>485775</xdr:colOff>
      <xdr:row>30</xdr:row>
      <xdr:rowOff>0</xdr:rowOff>
    </xdr:to>
    <xdr:cxnSp macro="">
      <xdr:nvCxnSpPr>
        <xdr:cNvPr id="97" name="Straight Connector 96"/>
        <xdr:cNvCxnSpPr/>
      </xdr:nvCxnSpPr>
      <xdr:spPr>
        <a:xfrm>
          <a:off x="2562225" y="7239000"/>
          <a:ext cx="495300" cy="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514349</xdr:colOff>
      <xdr:row>28</xdr:row>
      <xdr:rowOff>104774</xdr:rowOff>
    </xdr:from>
    <xdr:to>
      <xdr:col>4</xdr:col>
      <xdr:colOff>485774</xdr:colOff>
      <xdr:row>30</xdr:row>
      <xdr:rowOff>9525</xdr:rowOff>
    </xdr:to>
    <xdr:sp macro="" textlink="">
      <xdr:nvSpPr>
        <xdr:cNvPr id="98" name="Freeform 97"/>
        <xdr:cNvSpPr/>
      </xdr:nvSpPr>
      <xdr:spPr>
        <a:xfrm>
          <a:off x="2057399" y="6962774"/>
          <a:ext cx="485775" cy="285751"/>
        </a:xfrm>
        <a:custGeom>
          <a:avLst/>
          <a:gdLst>
            <a:gd name="connsiteX0" fmla="*/ 600075 w 600075"/>
            <a:gd name="connsiteY0" fmla="*/ 276225 h 276225"/>
            <a:gd name="connsiteX1" fmla="*/ 323850 w 600075"/>
            <a:gd name="connsiteY1" fmla="*/ 0 h 276225"/>
            <a:gd name="connsiteX2" fmla="*/ 0 w 600075"/>
            <a:gd name="connsiteY2" fmla="*/ 0 h 276225"/>
          </a:gdLst>
          <a:ahLst/>
          <a:cxnLst>
            <a:cxn ang="0">
              <a:pos x="connsiteX0" y="connsiteY0"/>
            </a:cxn>
            <a:cxn ang="0">
              <a:pos x="connsiteX1" y="connsiteY1"/>
            </a:cxn>
            <a:cxn ang="0">
              <a:pos x="connsiteX2" y="connsiteY2"/>
            </a:cxn>
          </a:cxnLst>
          <a:rect l="l" t="t" r="r" b="b"/>
          <a:pathLst>
            <a:path w="600075" h="276225">
              <a:moveTo>
                <a:pt x="600075" y="276225"/>
              </a:moveTo>
              <a:lnTo>
                <a:pt x="323850" y="0"/>
              </a:lnTo>
              <a:lnTo>
                <a:pt x="0" y="0"/>
              </a:lnTo>
            </a:path>
          </a:pathLst>
        </a:custGeom>
        <a:noFill/>
        <a:ln w="9525">
          <a:solidFill>
            <a:schemeClr val="tx2"/>
          </a:solidFill>
          <a:headEnd type="stealth"/>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381000</xdr:colOff>
      <xdr:row>36</xdr:row>
      <xdr:rowOff>0</xdr:rowOff>
    </xdr:from>
    <xdr:to>
      <xdr:col>5</xdr:col>
      <xdr:colOff>219075</xdr:colOff>
      <xdr:row>36</xdr:row>
      <xdr:rowOff>0</xdr:rowOff>
    </xdr:to>
    <xdr:cxnSp macro="">
      <xdr:nvCxnSpPr>
        <xdr:cNvPr id="99" name="Straight Connector 98"/>
        <xdr:cNvCxnSpPr/>
      </xdr:nvCxnSpPr>
      <xdr:spPr>
        <a:xfrm flipH="1">
          <a:off x="2438400" y="13144500"/>
          <a:ext cx="352425" cy="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33</xdr:row>
      <xdr:rowOff>9525</xdr:rowOff>
    </xdr:from>
    <xdr:to>
      <xdr:col>5</xdr:col>
      <xdr:colOff>104775</xdr:colOff>
      <xdr:row>36</xdr:row>
      <xdr:rowOff>0</xdr:rowOff>
    </xdr:to>
    <xdr:cxnSp macro="">
      <xdr:nvCxnSpPr>
        <xdr:cNvPr id="100" name="Straight Connector 99"/>
        <xdr:cNvCxnSpPr/>
      </xdr:nvCxnSpPr>
      <xdr:spPr>
        <a:xfrm flipH="1">
          <a:off x="2676525" y="12582525"/>
          <a:ext cx="0" cy="561975"/>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307000</xdr:colOff>
      <xdr:row>8</xdr:row>
      <xdr:rowOff>0</xdr:rowOff>
    </xdr:from>
    <xdr:to>
      <xdr:col>4</xdr:col>
      <xdr:colOff>194643</xdr:colOff>
      <xdr:row>19</xdr:row>
      <xdr:rowOff>0</xdr:rowOff>
    </xdr:to>
    <xdr:sp macro="" textlink="">
      <xdr:nvSpPr>
        <xdr:cNvPr id="114" name="Rounded Rectangle 113"/>
        <xdr:cNvSpPr/>
      </xdr:nvSpPr>
      <xdr:spPr>
        <a:xfrm>
          <a:off x="2375286" y="8382000"/>
          <a:ext cx="404714" cy="1333500"/>
        </a:xfrm>
        <a:prstGeom prst="roundRect">
          <a:avLst>
            <a:gd name="adj" fmla="val 0"/>
          </a:avLst>
        </a:prstGeom>
        <a:blipFill dpi="0" rotWithShape="1">
          <a:blip xmlns:r="http://schemas.openxmlformats.org/officeDocument/2006/relationships" r:embed="rId1">
            <a:alphaModFix amt="48000"/>
          </a:blip>
          <a:srcRect/>
          <a:tile tx="0" ty="0" sx="100000" sy="100000" flip="none" algn="tl"/>
        </a:blip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xdr:from>
      <xdr:col>4</xdr:col>
      <xdr:colOff>504823</xdr:colOff>
      <xdr:row>3</xdr:row>
      <xdr:rowOff>187605</xdr:rowOff>
    </xdr:from>
    <xdr:to>
      <xdr:col>7</xdr:col>
      <xdr:colOff>180975</xdr:colOff>
      <xdr:row>3</xdr:row>
      <xdr:rowOff>187605</xdr:rowOff>
    </xdr:to>
    <xdr:cxnSp macro="">
      <xdr:nvCxnSpPr>
        <xdr:cNvPr id="116" name="Straight Connector 115"/>
        <xdr:cNvCxnSpPr/>
      </xdr:nvCxnSpPr>
      <xdr:spPr>
        <a:xfrm flipH="1">
          <a:off x="3076573" y="7617105"/>
          <a:ext cx="1219202" cy="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9524</xdr:colOff>
      <xdr:row>22</xdr:row>
      <xdr:rowOff>187605</xdr:rowOff>
    </xdr:from>
    <xdr:to>
      <xdr:col>7</xdr:col>
      <xdr:colOff>190500</xdr:colOff>
      <xdr:row>22</xdr:row>
      <xdr:rowOff>187605</xdr:rowOff>
    </xdr:to>
    <xdr:cxnSp macro="">
      <xdr:nvCxnSpPr>
        <xdr:cNvPr id="122" name="Straight Connector 121"/>
        <xdr:cNvCxnSpPr/>
      </xdr:nvCxnSpPr>
      <xdr:spPr>
        <a:xfrm flipH="1">
          <a:off x="3095624" y="10474605"/>
          <a:ext cx="1209676" cy="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2719</xdr:colOff>
      <xdr:row>4</xdr:row>
      <xdr:rowOff>0</xdr:rowOff>
    </xdr:from>
    <xdr:to>
      <xdr:col>7</xdr:col>
      <xdr:colOff>2719</xdr:colOff>
      <xdr:row>22</xdr:row>
      <xdr:rowOff>180975</xdr:rowOff>
    </xdr:to>
    <xdr:cxnSp macro="">
      <xdr:nvCxnSpPr>
        <xdr:cNvPr id="123" name="Straight Connector 122"/>
        <xdr:cNvCxnSpPr/>
      </xdr:nvCxnSpPr>
      <xdr:spPr>
        <a:xfrm>
          <a:off x="4117519" y="7620000"/>
          <a:ext cx="0" cy="2847975"/>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517069</xdr:colOff>
      <xdr:row>3</xdr:row>
      <xdr:rowOff>85725</xdr:rowOff>
    </xdr:from>
    <xdr:to>
      <xdr:col>3</xdr:col>
      <xdr:colOff>517069</xdr:colOff>
      <xdr:row>24</xdr:row>
      <xdr:rowOff>114300</xdr:rowOff>
    </xdr:to>
    <xdr:cxnSp macro="">
      <xdr:nvCxnSpPr>
        <xdr:cNvPr id="128" name="Straight Connector 127"/>
        <xdr:cNvCxnSpPr/>
      </xdr:nvCxnSpPr>
      <xdr:spPr>
        <a:xfrm flipV="1">
          <a:off x="2585355" y="7515225"/>
          <a:ext cx="0" cy="3267075"/>
        </a:xfrm>
        <a:prstGeom prst="line">
          <a:avLst/>
        </a:prstGeom>
        <a:ln w="9525">
          <a:solidFill>
            <a:schemeClr val="accent2">
              <a:lumMod val="60000"/>
              <a:lumOff val="4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419100</xdr:colOff>
      <xdr:row>7</xdr:row>
      <xdr:rowOff>187605</xdr:rowOff>
    </xdr:from>
    <xdr:to>
      <xdr:col>3</xdr:col>
      <xdr:colOff>440869</xdr:colOff>
      <xdr:row>7</xdr:row>
      <xdr:rowOff>187605</xdr:rowOff>
    </xdr:to>
    <xdr:cxnSp macro="">
      <xdr:nvCxnSpPr>
        <xdr:cNvPr id="133" name="Straight Connector 132"/>
        <xdr:cNvCxnSpPr/>
      </xdr:nvCxnSpPr>
      <xdr:spPr>
        <a:xfrm flipH="1">
          <a:off x="1447800" y="8379105"/>
          <a:ext cx="1050469" cy="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18</xdr:row>
      <xdr:rowOff>187605</xdr:rowOff>
    </xdr:from>
    <xdr:to>
      <xdr:col>3</xdr:col>
      <xdr:colOff>469445</xdr:colOff>
      <xdr:row>18</xdr:row>
      <xdr:rowOff>187605</xdr:rowOff>
    </xdr:to>
    <xdr:cxnSp macro="">
      <xdr:nvCxnSpPr>
        <xdr:cNvPr id="135" name="Straight Connector 134"/>
        <xdr:cNvCxnSpPr/>
      </xdr:nvCxnSpPr>
      <xdr:spPr>
        <a:xfrm flipH="1">
          <a:off x="1400175" y="9712605"/>
          <a:ext cx="1126670" cy="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514348</xdr:colOff>
      <xdr:row>8</xdr:row>
      <xdr:rowOff>0</xdr:rowOff>
    </xdr:from>
    <xdr:to>
      <xdr:col>1</xdr:col>
      <xdr:colOff>514348</xdr:colOff>
      <xdr:row>19</xdr:row>
      <xdr:rowOff>0</xdr:rowOff>
    </xdr:to>
    <xdr:cxnSp macro="">
      <xdr:nvCxnSpPr>
        <xdr:cNvPr id="138" name="Straight Connector 137"/>
        <xdr:cNvCxnSpPr/>
      </xdr:nvCxnSpPr>
      <xdr:spPr>
        <a:xfrm>
          <a:off x="1543048" y="8382000"/>
          <a:ext cx="0" cy="133350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307519</xdr:colOff>
      <xdr:row>2</xdr:row>
      <xdr:rowOff>66675</xdr:rowOff>
    </xdr:from>
    <xdr:to>
      <xdr:col>3</xdr:col>
      <xdr:colOff>307519</xdr:colOff>
      <xdr:row>8</xdr:row>
      <xdr:rowOff>133350</xdr:rowOff>
    </xdr:to>
    <xdr:cxnSp macro="">
      <xdr:nvCxnSpPr>
        <xdr:cNvPr id="153" name="Straight Connector 152"/>
        <xdr:cNvCxnSpPr/>
      </xdr:nvCxnSpPr>
      <xdr:spPr>
        <a:xfrm>
          <a:off x="2375805" y="7305675"/>
          <a:ext cx="0" cy="1209675"/>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190498</xdr:colOff>
      <xdr:row>2</xdr:row>
      <xdr:rowOff>85725</xdr:rowOff>
    </xdr:from>
    <xdr:to>
      <xdr:col>4</xdr:col>
      <xdr:colOff>190498</xdr:colOff>
      <xdr:row>8</xdr:row>
      <xdr:rowOff>152400</xdr:rowOff>
    </xdr:to>
    <xdr:cxnSp macro="">
      <xdr:nvCxnSpPr>
        <xdr:cNvPr id="157" name="Straight Connector 156"/>
        <xdr:cNvCxnSpPr/>
      </xdr:nvCxnSpPr>
      <xdr:spPr>
        <a:xfrm>
          <a:off x="2775855" y="7324725"/>
          <a:ext cx="0" cy="1209675"/>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326569</xdr:colOff>
      <xdr:row>3</xdr:row>
      <xdr:rowOff>0</xdr:rowOff>
    </xdr:from>
    <xdr:to>
      <xdr:col>4</xdr:col>
      <xdr:colOff>180973</xdr:colOff>
      <xdr:row>3</xdr:row>
      <xdr:rowOff>0</xdr:rowOff>
    </xdr:to>
    <xdr:cxnSp macro="">
      <xdr:nvCxnSpPr>
        <xdr:cNvPr id="160" name="Straight Connector 159"/>
        <xdr:cNvCxnSpPr/>
      </xdr:nvCxnSpPr>
      <xdr:spPr>
        <a:xfrm>
          <a:off x="2394855" y="7429500"/>
          <a:ext cx="371475" cy="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28572</xdr:colOff>
      <xdr:row>5</xdr:row>
      <xdr:rowOff>9525</xdr:rowOff>
    </xdr:from>
    <xdr:to>
      <xdr:col>3</xdr:col>
      <xdr:colOff>209547</xdr:colOff>
      <xdr:row>5</xdr:row>
      <xdr:rowOff>161925</xdr:rowOff>
    </xdr:to>
    <xdr:sp macro="" textlink="">
      <xdr:nvSpPr>
        <xdr:cNvPr id="167" name="Rectangle 166"/>
        <xdr:cNvSpPr/>
      </xdr:nvSpPr>
      <xdr:spPr>
        <a:xfrm>
          <a:off x="2096858" y="7820025"/>
          <a:ext cx="180975" cy="15240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28572</xdr:colOff>
      <xdr:row>21</xdr:row>
      <xdr:rowOff>19050</xdr:rowOff>
    </xdr:from>
    <xdr:to>
      <xdr:col>3</xdr:col>
      <xdr:colOff>209547</xdr:colOff>
      <xdr:row>21</xdr:row>
      <xdr:rowOff>171450</xdr:rowOff>
    </xdr:to>
    <xdr:sp macro="" textlink="">
      <xdr:nvSpPr>
        <xdr:cNvPr id="173" name="Rectangle 172"/>
        <xdr:cNvSpPr/>
      </xdr:nvSpPr>
      <xdr:spPr>
        <a:xfrm>
          <a:off x="2096858" y="10115550"/>
          <a:ext cx="180975" cy="15240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307519</xdr:colOff>
      <xdr:row>5</xdr:row>
      <xdr:rowOff>9525</xdr:rowOff>
    </xdr:from>
    <xdr:to>
      <xdr:col>4</xdr:col>
      <xdr:colOff>488494</xdr:colOff>
      <xdr:row>5</xdr:row>
      <xdr:rowOff>161925</xdr:rowOff>
    </xdr:to>
    <xdr:sp macro="" textlink="">
      <xdr:nvSpPr>
        <xdr:cNvPr id="174" name="Rectangle 173"/>
        <xdr:cNvSpPr/>
      </xdr:nvSpPr>
      <xdr:spPr>
        <a:xfrm>
          <a:off x="2892876" y="7820025"/>
          <a:ext cx="180975" cy="15240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307519</xdr:colOff>
      <xdr:row>21</xdr:row>
      <xdr:rowOff>19050</xdr:rowOff>
    </xdr:from>
    <xdr:to>
      <xdr:col>4</xdr:col>
      <xdr:colOff>488494</xdr:colOff>
      <xdr:row>21</xdr:row>
      <xdr:rowOff>171450</xdr:rowOff>
    </xdr:to>
    <xdr:sp macro="" textlink="">
      <xdr:nvSpPr>
        <xdr:cNvPr id="175" name="Rectangle 174"/>
        <xdr:cNvSpPr/>
      </xdr:nvSpPr>
      <xdr:spPr>
        <a:xfrm>
          <a:off x="2892876" y="10115550"/>
          <a:ext cx="180975" cy="15240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393245</xdr:colOff>
      <xdr:row>5</xdr:row>
      <xdr:rowOff>92355</xdr:rowOff>
    </xdr:from>
    <xdr:to>
      <xdr:col>6</xdr:col>
      <xdr:colOff>123825</xdr:colOff>
      <xdr:row>5</xdr:row>
      <xdr:rowOff>92355</xdr:rowOff>
    </xdr:to>
    <xdr:cxnSp macro="">
      <xdr:nvCxnSpPr>
        <xdr:cNvPr id="187" name="Straight Connector 186"/>
        <xdr:cNvCxnSpPr/>
      </xdr:nvCxnSpPr>
      <xdr:spPr>
        <a:xfrm flipH="1">
          <a:off x="2964995" y="7902855"/>
          <a:ext cx="759280" cy="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412295</xdr:colOff>
      <xdr:row>21</xdr:row>
      <xdr:rowOff>101880</xdr:rowOff>
    </xdr:from>
    <xdr:to>
      <xdr:col>6</xdr:col>
      <xdr:colOff>123825</xdr:colOff>
      <xdr:row>21</xdr:row>
      <xdr:rowOff>101880</xdr:rowOff>
    </xdr:to>
    <xdr:cxnSp macro="">
      <xdr:nvCxnSpPr>
        <xdr:cNvPr id="195" name="Straight Connector 194"/>
        <xdr:cNvCxnSpPr/>
      </xdr:nvCxnSpPr>
      <xdr:spPr>
        <a:xfrm flipH="1">
          <a:off x="2984045" y="10198380"/>
          <a:ext cx="740230" cy="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2719</xdr:colOff>
      <xdr:row>5</xdr:row>
      <xdr:rowOff>104775</xdr:rowOff>
    </xdr:from>
    <xdr:to>
      <xdr:col>6</xdr:col>
      <xdr:colOff>2719</xdr:colOff>
      <xdr:row>9</xdr:row>
      <xdr:rowOff>41413</xdr:rowOff>
    </xdr:to>
    <xdr:cxnSp macro="">
      <xdr:nvCxnSpPr>
        <xdr:cNvPr id="196" name="Straight Connector 195"/>
        <xdr:cNvCxnSpPr/>
      </xdr:nvCxnSpPr>
      <xdr:spPr>
        <a:xfrm>
          <a:off x="3083849" y="1057275"/>
          <a:ext cx="0" cy="698638"/>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2719</xdr:colOff>
      <xdr:row>17</xdr:row>
      <xdr:rowOff>140804</xdr:rowOff>
    </xdr:from>
    <xdr:to>
      <xdr:col>6</xdr:col>
      <xdr:colOff>2719</xdr:colOff>
      <xdr:row>21</xdr:row>
      <xdr:rowOff>85725</xdr:rowOff>
    </xdr:to>
    <xdr:cxnSp macro="">
      <xdr:nvCxnSpPr>
        <xdr:cNvPr id="198" name="Straight Connector 197"/>
        <xdr:cNvCxnSpPr/>
      </xdr:nvCxnSpPr>
      <xdr:spPr>
        <a:xfrm>
          <a:off x="3083849" y="2617304"/>
          <a:ext cx="0" cy="706921"/>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114297</xdr:colOff>
      <xdr:row>21</xdr:row>
      <xdr:rowOff>95250</xdr:rowOff>
    </xdr:from>
    <xdr:to>
      <xdr:col>3</xdr:col>
      <xdr:colOff>114297</xdr:colOff>
      <xdr:row>24</xdr:row>
      <xdr:rowOff>104775</xdr:rowOff>
    </xdr:to>
    <xdr:cxnSp macro="">
      <xdr:nvCxnSpPr>
        <xdr:cNvPr id="206" name="Straight Connector 205"/>
        <xdr:cNvCxnSpPr/>
      </xdr:nvCxnSpPr>
      <xdr:spPr>
        <a:xfrm>
          <a:off x="2182583" y="10191750"/>
          <a:ext cx="0" cy="581025"/>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393244</xdr:colOff>
      <xdr:row>21</xdr:row>
      <xdr:rowOff>85725</xdr:rowOff>
    </xdr:from>
    <xdr:to>
      <xdr:col>4</xdr:col>
      <xdr:colOff>393244</xdr:colOff>
      <xdr:row>24</xdr:row>
      <xdr:rowOff>95250</xdr:rowOff>
    </xdr:to>
    <xdr:cxnSp macro="">
      <xdr:nvCxnSpPr>
        <xdr:cNvPr id="208" name="Straight Connector 207"/>
        <xdr:cNvCxnSpPr/>
      </xdr:nvCxnSpPr>
      <xdr:spPr>
        <a:xfrm>
          <a:off x="2978601" y="10182225"/>
          <a:ext cx="0" cy="581025"/>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133347</xdr:colOff>
      <xdr:row>24</xdr:row>
      <xdr:rowOff>0</xdr:rowOff>
    </xdr:from>
    <xdr:to>
      <xdr:col>3</xdr:col>
      <xdr:colOff>507544</xdr:colOff>
      <xdr:row>24</xdr:row>
      <xdr:rowOff>0</xdr:rowOff>
    </xdr:to>
    <xdr:cxnSp macro="">
      <xdr:nvCxnSpPr>
        <xdr:cNvPr id="209" name="Straight Connector 208"/>
        <xdr:cNvCxnSpPr/>
      </xdr:nvCxnSpPr>
      <xdr:spPr>
        <a:xfrm>
          <a:off x="2201633" y="10668000"/>
          <a:ext cx="374197" cy="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19048</xdr:colOff>
      <xdr:row>24</xdr:row>
      <xdr:rowOff>0</xdr:rowOff>
    </xdr:from>
    <xdr:to>
      <xdr:col>4</xdr:col>
      <xdr:colOff>393244</xdr:colOff>
      <xdr:row>24</xdr:row>
      <xdr:rowOff>0</xdr:rowOff>
    </xdr:to>
    <xdr:cxnSp macro="">
      <xdr:nvCxnSpPr>
        <xdr:cNvPr id="210" name="Straight Connector 209"/>
        <xdr:cNvCxnSpPr/>
      </xdr:nvCxnSpPr>
      <xdr:spPr>
        <a:xfrm>
          <a:off x="2604405" y="10668000"/>
          <a:ext cx="374196" cy="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383719</xdr:colOff>
      <xdr:row>25</xdr:row>
      <xdr:rowOff>0</xdr:rowOff>
    </xdr:from>
    <xdr:to>
      <xdr:col>5</xdr:col>
      <xdr:colOff>95247</xdr:colOff>
      <xdr:row>25</xdr:row>
      <xdr:rowOff>0</xdr:rowOff>
    </xdr:to>
    <xdr:cxnSp macro="">
      <xdr:nvCxnSpPr>
        <xdr:cNvPr id="211" name="Straight Connector 210"/>
        <xdr:cNvCxnSpPr/>
      </xdr:nvCxnSpPr>
      <xdr:spPr>
        <a:xfrm>
          <a:off x="1412419" y="4000500"/>
          <a:ext cx="1254578" cy="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364669</xdr:colOff>
      <xdr:row>22</xdr:row>
      <xdr:rowOff>85725</xdr:rowOff>
    </xdr:from>
    <xdr:to>
      <xdr:col>2</xdr:col>
      <xdr:colOff>364669</xdr:colOff>
      <xdr:row>25</xdr:row>
      <xdr:rowOff>95250</xdr:rowOff>
    </xdr:to>
    <xdr:cxnSp macro="">
      <xdr:nvCxnSpPr>
        <xdr:cNvPr id="213" name="Straight Connector 212"/>
        <xdr:cNvCxnSpPr/>
      </xdr:nvCxnSpPr>
      <xdr:spPr>
        <a:xfrm>
          <a:off x="1915883" y="10372725"/>
          <a:ext cx="0" cy="581025"/>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95247</xdr:colOff>
      <xdr:row>22</xdr:row>
      <xdr:rowOff>76200</xdr:rowOff>
    </xdr:from>
    <xdr:to>
      <xdr:col>5</xdr:col>
      <xdr:colOff>95247</xdr:colOff>
      <xdr:row>25</xdr:row>
      <xdr:rowOff>85725</xdr:rowOff>
    </xdr:to>
    <xdr:cxnSp macro="">
      <xdr:nvCxnSpPr>
        <xdr:cNvPr id="214" name="Straight Connector 213"/>
        <xdr:cNvCxnSpPr/>
      </xdr:nvCxnSpPr>
      <xdr:spPr>
        <a:xfrm>
          <a:off x="3197676" y="10363200"/>
          <a:ext cx="0" cy="581025"/>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2719</xdr:colOff>
      <xdr:row>4</xdr:row>
      <xdr:rowOff>19050</xdr:rowOff>
    </xdr:from>
    <xdr:to>
      <xdr:col>6</xdr:col>
      <xdr:colOff>2719</xdr:colOff>
      <xdr:row>5</xdr:row>
      <xdr:rowOff>95250</xdr:rowOff>
    </xdr:to>
    <xdr:cxnSp macro="">
      <xdr:nvCxnSpPr>
        <xdr:cNvPr id="224" name="Straight Connector 223"/>
        <xdr:cNvCxnSpPr/>
      </xdr:nvCxnSpPr>
      <xdr:spPr>
        <a:xfrm>
          <a:off x="3088819" y="7639050"/>
          <a:ext cx="0" cy="26670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2719</xdr:colOff>
      <xdr:row>21</xdr:row>
      <xdr:rowOff>114300</xdr:rowOff>
    </xdr:from>
    <xdr:to>
      <xdr:col>6</xdr:col>
      <xdr:colOff>2719</xdr:colOff>
      <xdr:row>23</xdr:row>
      <xdr:rowOff>0</xdr:rowOff>
    </xdr:to>
    <xdr:cxnSp macro="">
      <xdr:nvCxnSpPr>
        <xdr:cNvPr id="226" name="Straight Connector 225"/>
        <xdr:cNvCxnSpPr/>
      </xdr:nvCxnSpPr>
      <xdr:spPr>
        <a:xfrm>
          <a:off x="3088819" y="10210800"/>
          <a:ext cx="0" cy="26670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352425</xdr:colOff>
      <xdr:row>30</xdr:row>
      <xdr:rowOff>66675</xdr:rowOff>
    </xdr:from>
    <xdr:to>
      <xdr:col>13</xdr:col>
      <xdr:colOff>342900</xdr:colOff>
      <xdr:row>41</xdr:row>
      <xdr:rowOff>0</xdr:rowOff>
    </xdr:to>
    <xdr:grpSp>
      <xdr:nvGrpSpPr>
        <xdr:cNvPr id="251" name="Group 250"/>
        <xdr:cNvGrpSpPr/>
      </xdr:nvGrpSpPr>
      <xdr:grpSpPr>
        <a:xfrm>
          <a:off x="4981575" y="5781675"/>
          <a:ext cx="2047875" cy="2028825"/>
          <a:chOff x="4752975" y="11877675"/>
          <a:chExt cx="2047875" cy="2028825"/>
        </a:xfrm>
      </xdr:grpSpPr>
      <xdr:cxnSp macro="">
        <xdr:nvCxnSpPr>
          <xdr:cNvPr id="65" name="Straight Connector 64"/>
          <xdr:cNvCxnSpPr/>
        </xdr:nvCxnSpPr>
        <xdr:spPr>
          <a:xfrm>
            <a:off x="5838825" y="12382500"/>
            <a:ext cx="962025" cy="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66" name="Straight Connector 65"/>
          <xdr:cNvCxnSpPr/>
        </xdr:nvCxnSpPr>
        <xdr:spPr>
          <a:xfrm>
            <a:off x="5915025" y="12954000"/>
            <a:ext cx="885825" cy="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xdr:cNvCxnSpPr/>
        </xdr:nvCxnSpPr>
        <xdr:spPr>
          <a:xfrm flipV="1">
            <a:off x="6153150" y="12392025"/>
            <a:ext cx="0" cy="25200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a:off x="5924550" y="12668250"/>
            <a:ext cx="657225" cy="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69" name="Straight Connector 68"/>
          <xdr:cNvCxnSpPr/>
        </xdr:nvCxnSpPr>
        <xdr:spPr>
          <a:xfrm flipV="1">
            <a:off x="6153150" y="12668250"/>
            <a:ext cx="0" cy="25200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xnSp macro="">
        <xdr:nvCxnSpPr>
          <xdr:cNvPr id="70" name="Straight Connector 69"/>
          <xdr:cNvCxnSpPr/>
        </xdr:nvCxnSpPr>
        <xdr:spPr>
          <a:xfrm flipV="1">
            <a:off x="6686550" y="12392025"/>
            <a:ext cx="0" cy="54000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grpSp>
        <xdr:nvGrpSpPr>
          <xdr:cNvPr id="72" name="Group 71"/>
          <xdr:cNvGrpSpPr/>
        </xdr:nvGrpSpPr>
        <xdr:grpSpPr>
          <a:xfrm>
            <a:off x="4752975" y="12382504"/>
            <a:ext cx="1304925" cy="567482"/>
            <a:chOff x="2047875" y="18907124"/>
            <a:chExt cx="1304925" cy="485776"/>
          </a:xfrm>
        </xdr:grpSpPr>
        <xdr:sp macro="" textlink="">
          <xdr:nvSpPr>
            <xdr:cNvPr id="73" name="Rectangle 72"/>
            <xdr:cNvSpPr/>
          </xdr:nvSpPr>
          <xdr:spPr>
            <a:xfrm>
              <a:off x="2047875" y="18907124"/>
              <a:ext cx="1304925" cy="485776"/>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xnSp macro="">
          <xdr:nvCxnSpPr>
            <xdr:cNvPr id="74" name="Straight Connector 73"/>
            <xdr:cNvCxnSpPr>
              <a:stCxn id="73" idx="1"/>
              <a:endCxn id="73" idx="3"/>
            </xdr:cNvCxnSpPr>
          </xdr:nvCxnSpPr>
          <xdr:spPr>
            <a:xfrm>
              <a:off x="2047875" y="19150012"/>
              <a:ext cx="1304925" cy="0"/>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grpSp>
      <xdr:cxnSp macro="">
        <xdr:nvCxnSpPr>
          <xdr:cNvPr id="79" name="Straight Connector 78"/>
          <xdr:cNvCxnSpPr/>
        </xdr:nvCxnSpPr>
        <xdr:spPr>
          <a:xfrm>
            <a:off x="4752975" y="12725400"/>
            <a:ext cx="0" cy="885825"/>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xdr:cNvCxnSpPr/>
        </xdr:nvCxnSpPr>
        <xdr:spPr>
          <a:xfrm>
            <a:off x="4772025" y="13144500"/>
            <a:ext cx="361950" cy="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xnSp macro="">
        <xdr:nvCxnSpPr>
          <xdr:cNvPr id="81" name="Straight Connector 80"/>
          <xdr:cNvCxnSpPr/>
        </xdr:nvCxnSpPr>
        <xdr:spPr>
          <a:xfrm>
            <a:off x="6057900" y="12753975"/>
            <a:ext cx="0" cy="847725"/>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xdr:cNvCxnSpPr/>
        </xdr:nvCxnSpPr>
        <xdr:spPr>
          <a:xfrm>
            <a:off x="5753100" y="13144500"/>
            <a:ext cx="295275" cy="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xnSp macro="">
        <xdr:nvCxnSpPr>
          <xdr:cNvPr id="83" name="Straight Connector 82"/>
          <xdr:cNvCxnSpPr/>
        </xdr:nvCxnSpPr>
        <xdr:spPr>
          <a:xfrm>
            <a:off x="5181600" y="13144500"/>
            <a:ext cx="540000" cy="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xnSp macro="">
        <xdr:nvCxnSpPr>
          <xdr:cNvPr id="84" name="Straight Connector 83"/>
          <xdr:cNvCxnSpPr/>
        </xdr:nvCxnSpPr>
        <xdr:spPr>
          <a:xfrm>
            <a:off x="4752975" y="13525500"/>
            <a:ext cx="1295400" cy="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sp macro="" textlink="">
        <xdr:nvSpPr>
          <xdr:cNvPr id="85" name="Freeform 84"/>
          <xdr:cNvSpPr/>
        </xdr:nvSpPr>
        <xdr:spPr>
          <a:xfrm>
            <a:off x="5143500" y="12954002"/>
            <a:ext cx="600076" cy="952498"/>
          </a:xfrm>
          <a:custGeom>
            <a:avLst/>
            <a:gdLst>
              <a:gd name="connsiteX0" fmla="*/ 0 w 495300"/>
              <a:gd name="connsiteY0" fmla="*/ 1095375 h 1095375"/>
              <a:gd name="connsiteX1" fmla="*/ 0 w 495300"/>
              <a:gd name="connsiteY1" fmla="*/ 0 h 1095375"/>
              <a:gd name="connsiteX2" fmla="*/ 495300 w 495300"/>
              <a:gd name="connsiteY2" fmla="*/ 0 h 1095375"/>
              <a:gd name="connsiteX3" fmla="*/ 495300 w 495300"/>
              <a:gd name="connsiteY3" fmla="*/ 981075 h 1095375"/>
              <a:gd name="connsiteX0" fmla="*/ 0 w 495300"/>
              <a:gd name="connsiteY0" fmla="*/ 1095375 h 1104900"/>
              <a:gd name="connsiteX1" fmla="*/ 0 w 495300"/>
              <a:gd name="connsiteY1" fmla="*/ 0 h 1104900"/>
              <a:gd name="connsiteX2" fmla="*/ 495300 w 495300"/>
              <a:gd name="connsiteY2" fmla="*/ 0 h 1104900"/>
              <a:gd name="connsiteX3" fmla="*/ 495300 w 495300"/>
              <a:gd name="connsiteY3" fmla="*/ 1104900 h 1104900"/>
            </a:gdLst>
            <a:ahLst/>
            <a:cxnLst>
              <a:cxn ang="0">
                <a:pos x="connsiteX0" y="connsiteY0"/>
              </a:cxn>
              <a:cxn ang="0">
                <a:pos x="connsiteX1" y="connsiteY1"/>
              </a:cxn>
              <a:cxn ang="0">
                <a:pos x="connsiteX2" y="connsiteY2"/>
              </a:cxn>
              <a:cxn ang="0">
                <a:pos x="connsiteX3" y="connsiteY3"/>
              </a:cxn>
            </a:cxnLst>
            <a:rect l="l" t="t" r="r" b="b"/>
            <a:pathLst>
              <a:path w="495300" h="1104900">
                <a:moveTo>
                  <a:pt x="0" y="1095375"/>
                </a:moveTo>
                <a:lnTo>
                  <a:pt x="0" y="0"/>
                </a:lnTo>
                <a:lnTo>
                  <a:pt x="495300" y="0"/>
                </a:lnTo>
                <a:lnTo>
                  <a:pt x="495300" y="1104900"/>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sp macro="" textlink="">
        <xdr:nvSpPr>
          <xdr:cNvPr id="239" name="Rectangle 238"/>
          <xdr:cNvSpPr/>
        </xdr:nvSpPr>
        <xdr:spPr>
          <a:xfrm>
            <a:off x="5717719" y="12306300"/>
            <a:ext cx="149681" cy="7620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sp macro="" textlink="">
        <xdr:nvSpPr>
          <xdr:cNvPr id="240" name="Rectangle 239"/>
          <xdr:cNvSpPr/>
        </xdr:nvSpPr>
        <xdr:spPr>
          <a:xfrm>
            <a:off x="4955719" y="12306300"/>
            <a:ext cx="149681" cy="7620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xnSp macro="">
        <xdr:nvCxnSpPr>
          <xdr:cNvPr id="241" name="Straight Connector 240"/>
          <xdr:cNvCxnSpPr/>
        </xdr:nvCxnSpPr>
        <xdr:spPr>
          <a:xfrm flipV="1">
            <a:off x="5038725" y="11877675"/>
            <a:ext cx="0" cy="914401"/>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xdr:cNvCxnSpPr/>
        </xdr:nvCxnSpPr>
        <xdr:spPr>
          <a:xfrm flipV="1">
            <a:off x="5429250" y="11877675"/>
            <a:ext cx="0" cy="876301"/>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43" name="Straight Connector 242"/>
          <xdr:cNvCxnSpPr/>
        </xdr:nvCxnSpPr>
        <xdr:spPr>
          <a:xfrm flipV="1">
            <a:off x="5791200" y="11887200"/>
            <a:ext cx="0" cy="857251"/>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48" name="Straight Connector 247"/>
          <xdr:cNvCxnSpPr/>
        </xdr:nvCxnSpPr>
        <xdr:spPr>
          <a:xfrm>
            <a:off x="5057775" y="12001500"/>
            <a:ext cx="360000" cy="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xnSp macro="">
        <xdr:nvCxnSpPr>
          <xdr:cNvPr id="250" name="Straight Connector 249"/>
          <xdr:cNvCxnSpPr/>
        </xdr:nvCxnSpPr>
        <xdr:spPr>
          <a:xfrm>
            <a:off x="5429250" y="12001500"/>
            <a:ext cx="360000" cy="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2</xdr:col>
      <xdr:colOff>352425</xdr:colOff>
      <xdr:row>17</xdr:row>
      <xdr:rowOff>60044</xdr:rowOff>
    </xdr:from>
    <xdr:ext cx="219076" cy="172227"/>
    <xdr:sp macro="" textlink="">
      <xdr:nvSpPr>
        <xdr:cNvPr id="139" name="TextBox 138"/>
        <xdr:cNvSpPr txBox="1"/>
      </xdr:nvSpPr>
      <xdr:spPr>
        <a:xfrm>
          <a:off x="1379468" y="3298544"/>
          <a:ext cx="219076"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0" rIns="36000" bIns="0" rtlCol="0" anchor="ctr" anchorCtr="0">
          <a:spAutoFit/>
        </a:bodyPr>
        <a:lstStyle/>
        <a:p>
          <a:r>
            <a:rPr lang="en-IN" sz="1100"/>
            <a:t>L4</a:t>
          </a:r>
        </a:p>
      </xdr:txBody>
    </xdr:sp>
    <xdr:clientData/>
  </xdr:oneCellAnchor>
  <xdr:oneCellAnchor>
    <xdr:from>
      <xdr:col>4</xdr:col>
      <xdr:colOff>513107</xdr:colOff>
      <xdr:row>17</xdr:row>
      <xdr:rowOff>58802</xdr:rowOff>
    </xdr:from>
    <xdr:ext cx="219076" cy="172227"/>
    <xdr:sp macro="" textlink="">
      <xdr:nvSpPr>
        <xdr:cNvPr id="140" name="TextBox 139"/>
        <xdr:cNvSpPr txBox="1"/>
      </xdr:nvSpPr>
      <xdr:spPr>
        <a:xfrm>
          <a:off x="2567194" y="3297302"/>
          <a:ext cx="219076"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0" rIns="36000" bIns="0" rtlCol="0" anchor="ctr" anchorCtr="0">
          <a:spAutoFit/>
        </a:bodyPr>
        <a:lstStyle/>
        <a:p>
          <a:r>
            <a:rPr lang="en-IN" sz="1100"/>
            <a:t>R4</a:t>
          </a:r>
        </a:p>
      </xdr:txBody>
    </xdr:sp>
    <xdr:clientData/>
  </xdr:oneCellAnchor>
  <xdr:oneCellAnchor>
    <xdr:from>
      <xdr:col>4</xdr:col>
      <xdr:colOff>513107</xdr:colOff>
      <xdr:row>5</xdr:row>
      <xdr:rowOff>91937</xdr:rowOff>
    </xdr:from>
    <xdr:ext cx="219076" cy="172227"/>
    <xdr:sp macro="" textlink="">
      <xdr:nvSpPr>
        <xdr:cNvPr id="141" name="TextBox 140"/>
        <xdr:cNvSpPr txBox="1"/>
      </xdr:nvSpPr>
      <xdr:spPr>
        <a:xfrm>
          <a:off x="2567194" y="1044437"/>
          <a:ext cx="219076"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0" rIns="36000" bIns="0" rtlCol="0" anchor="ctr" anchorCtr="0">
          <a:spAutoFit/>
        </a:bodyPr>
        <a:lstStyle/>
        <a:p>
          <a:r>
            <a:rPr lang="en-IN" sz="1100"/>
            <a:t>R1</a:t>
          </a:r>
        </a:p>
      </xdr:txBody>
    </xdr:sp>
    <xdr:clientData/>
  </xdr:oneCellAnchor>
  <xdr:oneCellAnchor>
    <xdr:from>
      <xdr:col>2</xdr:col>
      <xdr:colOff>352425</xdr:colOff>
      <xdr:row>5</xdr:row>
      <xdr:rowOff>104775</xdr:rowOff>
    </xdr:from>
    <xdr:ext cx="219076" cy="172227"/>
    <xdr:sp macro="" textlink="">
      <xdr:nvSpPr>
        <xdr:cNvPr id="142" name="TextBox 141"/>
        <xdr:cNvSpPr txBox="1"/>
      </xdr:nvSpPr>
      <xdr:spPr>
        <a:xfrm>
          <a:off x="1381125" y="7724775"/>
          <a:ext cx="219076"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0" rIns="36000" bIns="0" rtlCol="0" anchor="ctr" anchorCtr="0">
          <a:spAutoFit/>
        </a:bodyPr>
        <a:lstStyle/>
        <a:p>
          <a:r>
            <a:rPr lang="en-IN" sz="1100"/>
            <a:t>L1</a:t>
          </a:r>
        </a:p>
      </xdr:txBody>
    </xdr:sp>
    <xdr:clientData/>
  </xdr:oneCellAnchor>
  <xdr:twoCellAnchor>
    <xdr:from>
      <xdr:col>6</xdr:col>
      <xdr:colOff>2719</xdr:colOff>
      <xdr:row>13</xdr:row>
      <xdr:rowOff>115957</xdr:rowOff>
    </xdr:from>
    <xdr:to>
      <xdr:col>6</xdr:col>
      <xdr:colOff>2719</xdr:colOff>
      <xdr:row>17</xdr:row>
      <xdr:rowOff>124240</xdr:rowOff>
    </xdr:to>
    <xdr:cxnSp macro="">
      <xdr:nvCxnSpPr>
        <xdr:cNvPr id="86" name="Straight Connector 85"/>
        <xdr:cNvCxnSpPr/>
      </xdr:nvCxnSpPr>
      <xdr:spPr>
        <a:xfrm>
          <a:off x="3083849" y="2592457"/>
          <a:ext cx="0" cy="770283"/>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227354</xdr:colOff>
      <xdr:row>9</xdr:row>
      <xdr:rowOff>59635</xdr:rowOff>
    </xdr:from>
    <xdr:to>
      <xdr:col>6</xdr:col>
      <xdr:colOff>132107</xdr:colOff>
      <xdr:row>9</xdr:row>
      <xdr:rowOff>59635</xdr:rowOff>
    </xdr:to>
    <xdr:cxnSp macro="">
      <xdr:nvCxnSpPr>
        <xdr:cNvPr id="88" name="Straight Connector 87"/>
        <xdr:cNvCxnSpPr/>
      </xdr:nvCxnSpPr>
      <xdr:spPr>
        <a:xfrm>
          <a:off x="1767919" y="1774135"/>
          <a:ext cx="1445318" cy="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227354</xdr:colOff>
      <xdr:row>17</xdr:row>
      <xdr:rowOff>134179</xdr:rowOff>
    </xdr:from>
    <xdr:to>
      <xdr:col>6</xdr:col>
      <xdr:colOff>132107</xdr:colOff>
      <xdr:row>17</xdr:row>
      <xdr:rowOff>134179</xdr:rowOff>
    </xdr:to>
    <xdr:cxnSp macro="">
      <xdr:nvCxnSpPr>
        <xdr:cNvPr id="89" name="Straight Connector 88"/>
        <xdr:cNvCxnSpPr/>
      </xdr:nvCxnSpPr>
      <xdr:spPr>
        <a:xfrm>
          <a:off x="1767919" y="2610679"/>
          <a:ext cx="1445318" cy="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20290</xdr:colOff>
      <xdr:row>8</xdr:row>
      <xdr:rowOff>175177</xdr:rowOff>
    </xdr:from>
    <xdr:to>
      <xdr:col>3</xdr:col>
      <xdr:colOff>201265</xdr:colOff>
      <xdr:row>9</xdr:row>
      <xdr:rowOff>137077</xdr:rowOff>
    </xdr:to>
    <xdr:sp macro="" textlink="">
      <xdr:nvSpPr>
        <xdr:cNvPr id="90" name="Rectangle 89"/>
        <xdr:cNvSpPr/>
      </xdr:nvSpPr>
      <xdr:spPr>
        <a:xfrm>
          <a:off x="1560855" y="1699177"/>
          <a:ext cx="180975" cy="15240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xdr:col>
      <xdr:colOff>20290</xdr:colOff>
      <xdr:row>17</xdr:row>
      <xdr:rowOff>50938</xdr:rowOff>
    </xdr:from>
    <xdr:to>
      <xdr:col>3</xdr:col>
      <xdr:colOff>201265</xdr:colOff>
      <xdr:row>18</xdr:row>
      <xdr:rowOff>12838</xdr:rowOff>
    </xdr:to>
    <xdr:sp macro="" textlink="">
      <xdr:nvSpPr>
        <xdr:cNvPr id="91" name="Rectangle 90"/>
        <xdr:cNvSpPr/>
      </xdr:nvSpPr>
      <xdr:spPr>
        <a:xfrm>
          <a:off x="1560855" y="2527438"/>
          <a:ext cx="180975" cy="15240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318463</xdr:colOff>
      <xdr:row>8</xdr:row>
      <xdr:rowOff>175177</xdr:rowOff>
    </xdr:from>
    <xdr:to>
      <xdr:col>4</xdr:col>
      <xdr:colOff>499438</xdr:colOff>
      <xdr:row>9</xdr:row>
      <xdr:rowOff>137077</xdr:rowOff>
    </xdr:to>
    <xdr:sp macro="" textlink="">
      <xdr:nvSpPr>
        <xdr:cNvPr id="92" name="Rectangle 91"/>
        <xdr:cNvSpPr/>
      </xdr:nvSpPr>
      <xdr:spPr>
        <a:xfrm>
          <a:off x="2372550" y="1699177"/>
          <a:ext cx="180975" cy="15240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310181</xdr:colOff>
      <xdr:row>17</xdr:row>
      <xdr:rowOff>34373</xdr:rowOff>
    </xdr:from>
    <xdr:to>
      <xdr:col>4</xdr:col>
      <xdr:colOff>491156</xdr:colOff>
      <xdr:row>17</xdr:row>
      <xdr:rowOff>186773</xdr:rowOff>
    </xdr:to>
    <xdr:sp macro="" textlink="">
      <xdr:nvSpPr>
        <xdr:cNvPr id="93" name="Rectangle 92"/>
        <xdr:cNvSpPr/>
      </xdr:nvSpPr>
      <xdr:spPr>
        <a:xfrm>
          <a:off x="2364268" y="2510873"/>
          <a:ext cx="180975" cy="15240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oneCellAnchor>
    <xdr:from>
      <xdr:col>2</xdr:col>
      <xdr:colOff>344142</xdr:colOff>
      <xdr:row>8</xdr:row>
      <xdr:rowOff>154471</xdr:rowOff>
    </xdr:from>
    <xdr:ext cx="219076" cy="172227"/>
    <xdr:sp macro="" textlink="">
      <xdr:nvSpPr>
        <xdr:cNvPr id="101" name="TextBox 100"/>
        <xdr:cNvSpPr txBox="1"/>
      </xdr:nvSpPr>
      <xdr:spPr>
        <a:xfrm>
          <a:off x="1371185" y="1678471"/>
          <a:ext cx="219076"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0" rIns="36000" bIns="0" rtlCol="0" anchor="ctr" anchorCtr="0">
          <a:spAutoFit/>
        </a:bodyPr>
        <a:lstStyle/>
        <a:p>
          <a:r>
            <a:rPr lang="en-IN" sz="1100"/>
            <a:t>L2</a:t>
          </a:r>
        </a:p>
      </xdr:txBody>
    </xdr:sp>
    <xdr:clientData/>
  </xdr:oneCellAnchor>
  <xdr:oneCellAnchor>
    <xdr:from>
      <xdr:col>2</xdr:col>
      <xdr:colOff>311011</xdr:colOff>
      <xdr:row>13</xdr:row>
      <xdr:rowOff>21951</xdr:rowOff>
    </xdr:from>
    <xdr:ext cx="219076" cy="172227"/>
    <xdr:sp macro="" textlink="">
      <xdr:nvSpPr>
        <xdr:cNvPr id="102" name="TextBox 101"/>
        <xdr:cNvSpPr txBox="1"/>
      </xdr:nvSpPr>
      <xdr:spPr>
        <a:xfrm>
          <a:off x="1338054" y="2307951"/>
          <a:ext cx="219076"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0" rIns="36000" bIns="0" rtlCol="0" anchor="ctr" anchorCtr="0">
          <a:spAutoFit/>
        </a:bodyPr>
        <a:lstStyle/>
        <a:p>
          <a:r>
            <a:rPr lang="en-IN" sz="1100"/>
            <a:t>L3</a:t>
          </a:r>
        </a:p>
      </xdr:txBody>
    </xdr:sp>
    <xdr:clientData/>
  </xdr:oneCellAnchor>
  <xdr:oneCellAnchor>
    <xdr:from>
      <xdr:col>4</xdr:col>
      <xdr:colOff>493228</xdr:colOff>
      <xdr:row>12</xdr:row>
      <xdr:rowOff>171038</xdr:rowOff>
    </xdr:from>
    <xdr:ext cx="219076" cy="172227"/>
    <xdr:sp macro="" textlink="">
      <xdr:nvSpPr>
        <xdr:cNvPr id="103" name="TextBox 102"/>
        <xdr:cNvSpPr txBox="1"/>
      </xdr:nvSpPr>
      <xdr:spPr>
        <a:xfrm>
          <a:off x="2547315" y="2266538"/>
          <a:ext cx="219076"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0" rIns="36000" bIns="0" rtlCol="0" anchor="ctr" anchorCtr="0">
          <a:spAutoFit/>
        </a:bodyPr>
        <a:lstStyle/>
        <a:p>
          <a:r>
            <a:rPr lang="en-IN" sz="1100"/>
            <a:t>R3</a:t>
          </a:r>
        </a:p>
      </xdr:txBody>
    </xdr:sp>
    <xdr:clientData/>
  </xdr:oneCellAnchor>
  <xdr:oneCellAnchor>
    <xdr:from>
      <xdr:col>4</xdr:col>
      <xdr:colOff>493228</xdr:colOff>
      <xdr:row>8</xdr:row>
      <xdr:rowOff>88211</xdr:rowOff>
    </xdr:from>
    <xdr:ext cx="219076" cy="172227"/>
    <xdr:sp macro="" textlink="">
      <xdr:nvSpPr>
        <xdr:cNvPr id="104" name="TextBox 103"/>
        <xdr:cNvSpPr txBox="1"/>
      </xdr:nvSpPr>
      <xdr:spPr>
        <a:xfrm>
          <a:off x="2547315" y="1612211"/>
          <a:ext cx="219076"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0" rIns="36000" bIns="0" rtlCol="0" anchor="ctr" anchorCtr="0">
          <a:spAutoFit/>
        </a:bodyPr>
        <a:lstStyle/>
        <a:p>
          <a:r>
            <a:rPr lang="en-IN" sz="1100"/>
            <a:t>R2</a:t>
          </a:r>
        </a:p>
      </xdr:txBody>
    </xdr:sp>
    <xdr:clientData/>
  </xdr:oneCellAnchor>
  <xdr:twoCellAnchor>
    <xdr:from>
      <xdr:col>3</xdr:col>
      <xdr:colOff>219071</xdr:colOff>
      <xdr:row>13</xdr:row>
      <xdr:rowOff>92765</xdr:rowOff>
    </xdr:from>
    <xdr:to>
      <xdr:col>6</xdr:col>
      <xdr:colOff>123824</xdr:colOff>
      <xdr:row>13</xdr:row>
      <xdr:rowOff>92765</xdr:rowOff>
    </xdr:to>
    <xdr:cxnSp macro="">
      <xdr:nvCxnSpPr>
        <xdr:cNvPr id="105" name="Straight Connector 104"/>
        <xdr:cNvCxnSpPr/>
      </xdr:nvCxnSpPr>
      <xdr:spPr>
        <a:xfrm>
          <a:off x="1759636" y="2378765"/>
          <a:ext cx="1445318" cy="0"/>
        </a:xfrm>
        <a:prstGeom prst="line">
          <a:avLst/>
        </a:prstGeom>
        <a:ln w="9525">
          <a:solidFill>
            <a:schemeClr val="accent2">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12007</xdr:colOff>
      <xdr:row>13</xdr:row>
      <xdr:rowOff>17807</xdr:rowOff>
    </xdr:from>
    <xdr:to>
      <xdr:col>3</xdr:col>
      <xdr:colOff>192982</xdr:colOff>
      <xdr:row>13</xdr:row>
      <xdr:rowOff>170207</xdr:rowOff>
    </xdr:to>
    <xdr:sp macro="" textlink="">
      <xdr:nvSpPr>
        <xdr:cNvPr id="106" name="Rectangle 105"/>
        <xdr:cNvSpPr/>
      </xdr:nvSpPr>
      <xdr:spPr>
        <a:xfrm>
          <a:off x="1552572" y="2303807"/>
          <a:ext cx="180975" cy="15240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310180</xdr:colOff>
      <xdr:row>13</xdr:row>
      <xdr:rowOff>17807</xdr:rowOff>
    </xdr:from>
    <xdr:to>
      <xdr:col>4</xdr:col>
      <xdr:colOff>491155</xdr:colOff>
      <xdr:row>13</xdr:row>
      <xdr:rowOff>170207</xdr:rowOff>
    </xdr:to>
    <xdr:sp macro="" textlink="">
      <xdr:nvSpPr>
        <xdr:cNvPr id="107" name="Rectangle 106"/>
        <xdr:cNvSpPr/>
      </xdr:nvSpPr>
      <xdr:spPr>
        <a:xfrm>
          <a:off x="2364267" y="2303807"/>
          <a:ext cx="180975" cy="152400"/>
        </a:xfrm>
        <a:prstGeom prst="rect">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oneCellAnchor>
    <xdr:from>
      <xdr:col>2</xdr:col>
      <xdr:colOff>335860</xdr:colOff>
      <xdr:row>21</xdr:row>
      <xdr:rowOff>18631</xdr:rowOff>
    </xdr:from>
    <xdr:ext cx="219076" cy="172227"/>
    <xdr:sp macro="" textlink="">
      <xdr:nvSpPr>
        <xdr:cNvPr id="108" name="TextBox 107"/>
        <xdr:cNvSpPr txBox="1"/>
      </xdr:nvSpPr>
      <xdr:spPr>
        <a:xfrm>
          <a:off x="1362903" y="4019131"/>
          <a:ext cx="219076"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0" rIns="36000" bIns="0" rtlCol="0" anchor="ctr" anchorCtr="0">
          <a:spAutoFit/>
        </a:bodyPr>
        <a:lstStyle/>
        <a:p>
          <a:r>
            <a:rPr lang="en-IN" sz="1100"/>
            <a:t>L5</a:t>
          </a:r>
        </a:p>
      </xdr:txBody>
    </xdr:sp>
    <xdr:clientData/>
  </xdr:oneCellAnchor>
  <xdr:oneCellAnchor>
    <xdr:from>
      <xdr:col>4</xdr:col>
      <xdr:colOff>496542</xdr:colOff>
      <xdr:row>21</xdr:row>
      <xdr:rowOff>17389</xdr:rowOff>
    </xdr:from>
    <xdr:ext cx="219076" cy="172227"/>
    <xdr:sp macro="" textlink="">
      <xdr:nvSpPr>
        <xdr:cNvPr id="109" name="TextBox 108"/>
        <xdr:cNvSpPr txBox="1"/>
      </xdr:nvSpPr>
      <xdr:spPr>
        <a:xfrm>
          <a:off x="2550629" y="4017889"/>
          <a:ext cx="219076" cy="17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0" rIns="36000" bIns="0" rtlCol="0" anchor="ctr" anchorCtr="0">
          <a:spAutoFit/>
        </a:bodyPr>
        <a:lstStyle/>
        <a:p>
          <a:r>
            <a:rPr lang="en-IN" sz="1100"/>
            <a:t>R5</a:t>
          </a:r>
        </a:p>
      </xdr:txBody>
    </xdr:sp>
    <xdr:clientData/>
  </xdr:oneCellAnchor>
  <xdr:twoCellAnchor>
    <xdr:from>
      <xdr:col>6</xdr:col>
      <xdr:colOff>2719</xdr:colOff>
      <xdr:row>9</xdr:row>
      <xdr:rowOff>66261</xdr:rowOff>
    </xdr:from>
    <xdr:to>
      <xdr:col>6</xdr:col>
      <xdr:colOff>2719</xdr:colOff>
      <xdr:row>13</xdr:row>
      <xdr:rowOff>66261</xdr:rowOff>
    </xdr:to>
    <xdr:cxnSp macro="">
      <xdr:nvCxnSpPr>
        <xdr:cNvPr id="110" name="Straight Connector 109"/>
        <xdr:cNvCxnSpPr/>
      </xdr:nvCxnSpPr>
      <xdr:spPr>
        <a:xfrm>
          <a:off x="3083849" y="1780761"/>
          <a:ext cx="0" cy="762000"/>
        </a:xfrm>
        <a:prstGeom prst="line">
          <a:avLst/>
        </a:prstGeom>
        <a:ln w="9525">
          <a:solidFill>
            <a:schemeClr val="accent2">
              <a:lumMod val="75000"/>
            </a:schemeClr>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20</xdr:col>
      <xdr:colOff>228600</xdr:colOff>
      <xdr:row>10</xdr:row>
      <xdr:rowOff>19049</xdr:rowOff>
    </xdr:from>
    <xdr:to>
      <xdr:col>20</xdr:col>
      <xdr:colOff>457200</xdr:colOff>
      <xdr:row>14</xdr:row>
      <xdr:rowOff>85724</xdr:rowOff>
    </xdr:to>
    <xdr:sp macro="" textlink="">
      <xdr:nvSpPr>
        <xdr:cNvPr id="2" name="Left Brace 1"/>
        <xdr:cNvSpPr/>
      </xdr:nvSpPr>
      <xdr:spPr>
        <a:xfrm>
          <a:off x="10858500" y="1924049"/>
          <a:ext cx="228600" cy="866775"/>
        </a:xfrm>
        <a:prstGeom prst="leftBrace">
          <a:avLst>
            <a:gd name="adj1" fmla="val 18589"/>
            <a:gd name="adj2" fmla="val 5000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5</xdr:row>
      <xdr:rowOff>9525</xdr:rowOff>
    </xdr:from>
    <xdr:to>
      <xdr:col>10</xdr:col>
      <xdr:colOff>428625</xdr:colOff>
      <xdr:row>15</xdr:row>
      <xdr:rowOff>0</xdr:rowOff>
    </xdr:to>
    <xdr:sp macro="" textlink="">
      <xdr:nvSpPr>
        <xdr:cNvPr id="2" name="Freeform 1"/>
        <xdr:cNvSpPr/>
      </xdr:nvSpPr>
      <xdr:spPr>
        <a:xfrm>
          <a:off x="3619500" y="962025"/>
          <a:ext cx="1971675" cy="2047875"/>
        </a:xfrm>
        <a:custGeom>
          <a:avLst/>
          <a:gdLst>
            <a:gd name="connsiteX0" fmla="*/ 0 w 2162175"/>
            <a:gd name="connsiteY0" fmla="*/ 0 h 1895475"/>
            <a:gd name="connsiteX1" fmla="*/ 0 w 2162175"/>
            <a:gd name="connsiteY1" fmla="*/ 1895475 h 1895475"/>
            <a:gd name="connsiteX2" fmla="*/ 342900 w 2162175"/>
            <a:gd name="connsiteY2" fmla="*/ 1895475 h 1895475"/>
            <a:gd name="connsiteX3" fmla="*/ 2162175 w 2162175"/>
            <a:gd name="connsiteY3" fmla="*/ 1895475 h 1895475"/>
          </a:gdLst>
          <a:ahLst/>
          <a:cxnLst>
            <a:cxn ang="0">
              <a:pos x="connsiteX0" y="connsiteY0"/>
            </a:cxn>
            <a:cxn ang="0">
              <a:pos x="connsiteX1" y="connsiteY1"/>
            </a:cxn>
            <a:cxn ang="0">
              <a:pos x="connsiteX2" y="connsiteY2"/>
            </a:cxn>
            <a:cxn ang="0">
              <a:pos x="connsiteX3" y="connsiteY3"/>
            </a:cxn>
          </a:cxnLst>
          <a:rect l="l" t="t" r="r" b="b"/>
          <a:pathLst>
            <a:path w="2162175" h="1895475">
              <a:moveTo>
                <a:pt x="0" y="0"/>
              </a:moveTo>
              <a:lnTo>
                <a:pt x="0" y="1895475"/>
              </a:lnTo>
              <a:lnTo>
                <a:pt x="342900" y="1895475"/>
              </a:lnTo>
              <a:lnTo>
                <a:pt x="2162175" y="1895475"/>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9525</xdr:colOff>
      <xdr:row>8</xdr:row>
      <xdr:rowOff>0</xdr:rowOff>
    </xdr:from>
    <xdr:to>
      <xdr:col>9</xdr:col>
      <xdr:colOff>504825</xdr:colOff>
      <xdr:row>15</xdr:row>
      <xdr:rowOff>0</xdr:rowOff>
    </xdr:to>
    <xdr:sp macro="" textlink="">
      <xdr:nvSpPr>
        <xdr:cNvPr id="3" name="Freeform 2"/>
        <xdr:cNvSpPr/>
      </xdr:nvSpPr>
      <xdr:spPr>
        <a:xfrm>
          <a:off x="3629025" y="1524000"/>
          <a:ext cx="1524000" cy="1485900"/>
        </a:xfrm>
        <a:custGeom>
          <a:avLst/>
          <a:gdLst>
            <a:gd name="connsiteX0" fmla="*/ 0 w 1524000"/>
            <a:gd name="connsiteY0" fmla="*/ 1323975 h 1323975"/>
            <a:gd name="connsiteX1" fmla="*/ 409575 w 1524000"/>
            <a:gd name="connsiteY1" fmla="*/ 0 h 1323975"/>
            <a:gd name="connsiteX2" fmla="*/ 1524000 w 1524000"/>
            <a:gd name="connsiteY2" fmla="*/ 0 h 1323975"/>
            <a:gd name="connsiteX0" fmla="*/ 0 w 1524000"/>
            <a:gd name="connsiteY0" fmla="*/ 1323975 h 1323975"/>
            <a:gd name="connsiteX1" fmla="*/ 552450 w 1524000"/>
            <a:gd name="connsiteY1" fmla="*/ 0 h 1323975"/>
            <a:gd name="connsiteX2" fmla="*/ 1524000 w 1524000"/>
            <a:gd name="connsiteY2" fmla="*/ 0 h 1323975"/>
          </a:gdLst>
          <a:ahLst/>
          <a:cxnLst>
            <a:cxn ang="0">
              <a:pos x="connsiteX0" y="connsiteY0"/>
            </a:cxn>
            <a:cxn ang="0">
              <a:pos x="connsiteX1" y="connsiteY1"/>
            </a:cxn>
            <a:cxn ang="0">
              <a:pos x="connsiteX2" y="connsiteY2"/>
            </a:cxn>
          </a:cxnLst>
          <a:rect l="l" t="t" r="r" b="b"/>
          <a:pathLst>
            <a:path w="1524000" h="1323975">
              <a:moveTo>
                <a:pt x="0" y="1323975"/>
              </a:moveTo>
              <a:lnTo>
                <a:pt x="552450" y="0"/>
              </a:lnTo>
              <a:lnTo>
                <a:pt x="1524000"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57150</xdr:colOff>
      <xdr:row>8</xdr:row>
      <xdr:rowOff>0</xdr:rowOff>
    </xdr:from>
    <xdr:to>
      <xdr:col>8</xdr:col>
      <xdr:colOff>57150</xdr:colOff>
      <xdr:row>15</xdr:row>
      <xdr:rowOff>123825</xdr:rowOff>
    </xdr:to>
    <xdr:cxnSp macro="">
      <xdr:nvCxnSpPr>
        <xdr:cNvPr id="4" name="Straight Connector 3"/>
        <xdr:cNvCxnSpPr/>
      </xdr:nvCxnSpPr>
      <xdr:spPr>
        <a:xfrm>
          <a:off x="4191000" y="1524000"/>
          <a:ext cx="0" cy="160972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8</xdr:row>
      <xdr:rowOff>0</xdr:rowOff>
    </xdr:from>
    <xdr:to>
      <xdr:col>10</xdr:col>
      <xdr:colOff>0</xdr:colOff>
      <xdr:row>15</xdr:row>
      <xdr:rowOff>104775</xdr:rowOff>
    </xdr:to>
    <xdr:cxnSp macro="">
      <xdr:nvCxnSpPr>
        <xdr:cNvPr id="5" name="Straight Connector 4"/>
        <xdr:cNvCxnSpPr/>
      </xdr:nvCxnSpPr>
      <xdr:spPr>
        <a:xfrm>
          <a:off x="5162550" y="1524000"/>
          <a:ext cx="0" cy="159067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361950</xdr:colOff>
      <xdr:row>8</xdr:row>
      <xdr:rowOff>0</xdr:rowOff>
    </xdr:from>
    <xdr:to>
      <xdr:col>7</xdr:col>
      <xdr:colOff>447676</xdr:colOff>
      <xdr:row>8</xdr:row>
      <xdr:rowOff>0</xdr:rowOff>
    </xdr:to>
    <xdr:cxnSp macro="">
      <xdr:nvCxnSpPr>
        <xdr:cNvPr id="6" name="Straight Connector 5"/>
        <xdr:cNvCxnSpPr/>
      </xdr:nvCxnSpPr>
      <xdr:spPr>
        <a:xfrm flipH="1">
          <a:off x="3467100" y="1524000"/>
          <a:ext cx="600076"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400050</xdr:colOff>
      <xdr:row>10</xdr:row>
      <xdr:rowOff>152400</xdr:rowOff>
    </xdr:from>
    <xdr:to>
      <xdr:col>6</xdr:col>
      <xdr:colOff>400050</xdr:colOff>
      <xdr:row>12</xdr:row>
      <xdr:rowOff>161925</xdr:rowOff>
    </xdr:to>
    <xdr:cxnSp macro="">
      <xdr:nvCxnSpPr>
        <xdr:cNvPr id="7" name="Straight Connector 6"/>
        <xdr:cNvCxnSpPr/>
      </xdr:nvCxnSpPr>
      <xdr:spPr>
        <a:xfrm flipV="1">
          <a:off x="3505200" y="2057400"/>
          <a:ext cx="0" cy="428625"/>
        </a:xfrm>
        <a:prstGeom prst="line">
          <a:avLst/>
        </a:prstGeom>
        <a:ln>
          <a:headEnd type="none"/>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428625</xdr:colOff>
      <xdr:row>16</xdr:row>
      <xdr:rowOff>114300</xdr:rowOff>
    </xdr:from>
    <xdr:to>
      <xdr:col>10</xdr:col>
      <xdr:colOff>323850</xdr:colOff>
      <xdr:row>16</xdr:row>
      <xdr:rowOff>114301</xdr:rowOff>
    </xdr:to>
    <xdr:cxnSp macro="">
      <xdr:nvCxnSpPr>
        <xdr:cNvPr id="8" name="Straight Connector 7"/>
        <xdr:cNvCxnSpPr/>
      </xdr:nvCxnSpPr>
      <xdr:spPr>
        <a:xfrm>
          <a:off x="5076825" y="3352800"/>
          <a:ext cx="409575" cy="1"/>
        </a:xfrm>
        <a:prstGeom prst="line">
          <a:avLst/>
        </a:prstGeom>
        <a:ln>
          <a:headEnd type="none"/>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428625</xdr:colOff>
      <xdr:row>53</xdr:row>
      <xdr:rowOff>38100</xdr:rowOff>
    </xdr:from>
    <xdr:to>
      <xdr:col>3</xdr:col>
      <xdr:colOff>19050</xdr:colOff>
      <xdr:row>55</xdr:row>
      <xdr:rowOff>0</xdr:rowOff>
    </xdr:to>
    <xdr:sp macro="" textlink="">
      <xdr:nvSpPr>
        <xdr:cNvPr id="9" name="Left Brace 8"/>
        <xdr:cNvSpPr/>
      </xdr:nvSpPr>
      <xdr:spPr>
        <a:xfrm>
          <a:off x="1457325" y="10887075"/>
          <a:ext cx="104775" cy="381000"/>
        </a:xfrm>
        <a:prstGeom prst="leftBrace">
          <a:avLst>
            <a:gd name="adj1" fmla="val 17708"/>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428625</xdr:colOff>
      <xdr:row>57</xdr:row>
      <xdr:rowOff>57150</xdr:rowOff>
    </xdr:from>
    <xdr:to>
      <xdr:col>3</xdr:col>
      <xdr:colOff>19050</xdr:colOff>
      <xdr:row>59</xdr:row>
      <xdr:rowOff>0</xdr:rowOff>
    </xdr:to>
    <xdr:sp macro="" textlink="">
      <xdr:nvSpPr>
        <xdr:cNvPr id="10" name="Left Brace 9"/>
        <xdr:cNvSpPr/>
      </xdr:nvSpPr>
      <xdr:spPr>
        <a:xfrm>
          <a:off x="1457325" y="11887200"/>
          <a:ext cx="104775" cy="352425"/>
        </a:xfrm>
        <a:prstGeom prst="leftBrace">
          <a:avLst>
            <a:gd name="adj1" fmla="val 17708"/>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7</xdr:col>
      <xdr:colOff>0</xdr:colOff>
      <xdr:row>34</xdr:row>
      <xdr:rowOff>76200</xdr:rowOff>
    </xdr:from>
    <xdr:to>
      <xdr:col>10</xdr:col>
      <xdr:colOff>123825</xdr:colOff>
      <xdr:row>40</xdr:row>
      <xdr:rowOff>0</xdr:rowOff>
    </xdr:to>
    <xdr:sp macro="" textlink="">
      <xdr:nvSpPr>
        <xdr:cNvPr id="11" name="Freeform 10"/>
        <xdr:cNvSpPr/>
      </xdr:nvSpPr>
      <xdr:spPr>
        <a:xfrm>
          <a:off x="3619500" y="6515100"/>
          <a:ext cx="1666875" cy="1066800"/>
        </a:xfrm>
        <a:custGeom>
          <a:avLst/>
          <a:gdLst>
            <a:gd name="connsiteX0" fmla="*/ 0 w 2162175"/>
            <a:gd name="connsiteY0" fmla="*/ 0 h 1895475"/>
            <a:gd name="connsiteX1" fmla="*/ 0 w 2162175"/>
            <a:gd name="connsiteY1" fmla="*/ 1895475 h 1895475"/>
            <a:gd name="connsiteX2" fmla="*/ 342900 w 2162175"/>
            <a:gd name="connsiteY2" fmla="*/ 1895475 h 1895475"/>
            <a:gd name="connsiteX3" fmla="*/ 2162175 w 2162175"/>
            <a:gd name="connsiteY3" fmla="*/ 1895475 h 1895475"/>
          </a:gdLst>
          <a:ahLst/>
          <a:cxnLst>
            <a:cxn ang="0">
              <a:pos x="connsiteX0" y="connsiteY0"/>
            </a:cxn>
            <a:cxn ang="0">
              <a:pos x="connsiteX1" y="connsiteY1"/>
            </a:cxn>
            <a:cxn ang="0">
              <a:pos x="connsiteX2" y="connsiteY2"/>
            </a:cxn>
            <a:cxn ang="0">
              <a:pos x="connsiteX3" y="connsiteY3"/>
            </a:cxn>
          </a:cxnLst>
          <a:rect l="l" t="t" r="r" b="b"/>
          <a:pathLst>
            <a:path w="2162175" h="1895475">
              <a:moveTo>
                <a:pt x="0" y="0"/>
              </a:moveTo>
              <a:lnTo>
                <a:pt x="0" y="1895475"/>
              </a:lnTo>
              <a:lnTo>
                <a:pt x="342900" y="1895475"/>
              </a:lnTo>
              <a:lnTo>
                <a:pt x="2162175" y="1895475"/>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9525</xdr:colOff>
      <xdr:row>36</xdr:row>
      <xdr:rowOff>0</xdr:rowOff>
    </xdr:from>
    <xdr:to>
      <xdr:col>9</xdr:col>
      <xdr:colOff>361950</xdr:colOff>
      <xdr:row>40</xdr:row>
      <xdr:rowOff>0</xdr:rowOff>
    </xdr:to>
    <xdr:grpSp>
      <xdr:nvGrpSpPr>
        <xdr:cNvPr id="12" name="Group 11"/>
        <xdr:cNvGrpSpPr/>
      </xdr:nvGrpSpPr>
      <xdr:grpSpPr>
        <a:xfrm>
          <a:off x="3771900" y="7143750"/>
          <a:ext cx="1400175" cy="762000"/>
          <a:chOff x="3629025" y="6438900"/>
          <a:chExt cx="1381125" cy="762000"/>
        </a:xfrm>
      </xdr:grpSpPr>
      <xdr:sp macro="" textlink="">
        <xdr:nvSpPr>
          <xdr:cNvPr id="13" name="Freeform 12"/>
          <xdr:cNvSpPr/>
        </xdr:nvSpPr>
        <xdr:spPr>
          <a:xfrm>
            <a:off x="3629025" y="6438900"/>
            <a:ext cx="561975" cy="762000"/>
          </a:xfrm>
          <a:custGeom>
            <a:avLst/>
            <a:gdLst>
              <a:gd name="connsiteX0" fmla="*/ 0 w 561975"/>
              <a:gd name="connsiteY0" fmla="*/ 762000 h 762000"/>
              <a:gd name="connsiteX1" fmla="*/ 228600 w 561975"/>
              <a:gd name="connsiteY1" fmla="*/ 285750 h 762000"/>
              <a:gd name="connsiteX2" fmla="*/ 561975 w 561975"/>
              <a:gd name="connsiteY2" fmla="*/ 0 h 762000"/>
            </a:gdLst>
            <a:ahLst/>
            <a:cxnLst>
              <a:cxn ang="0">
                <a:pos x="connsiteX0" y="connsiteY0"/>
              </a:cxn>
              <a:cxn ang="0">
                <a:pos x="connsiteX1" y="connsiteY1"/>
              </a:cxn>
              <a:cxn ang="0">
                <a:pos x="connsiteX2" y="connsiteY2"/>
              </a:cxn>
            </a:cxnLst>
            <a:rect l="l" t="t" r="r" b="b"/>
            <a:pathLst>
              <a:path w="561975" h="762000">
                <a:moveTo>
                  <a:pt x="0" y="762000"/>
                </a:moveTo>
                <a:cubicBezTo>
                  <a:pt x="67469" y="587375"/>
                  <a:pt x="134938" y="412750"/>
                  <a:pt x="228600" y="285750"/>
                </a:cubicBezTo>
                <a:cubicBezTo>
                  <a:pt x="322262" y="158750"/>
                  <a:pt x="350838" y="53975"/>
                  <a:pt x="561975" y="0"/>
                </a:cubicBez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4" name="Straight Connector 13"/>
          <xdr:cNvCxnSpPr>
            <a:stCxn id="13" idx="2"/>
          </xdr:cNvCxnSpPr>
        </xdr:nvCxnSpPr>
        <xdr:spPr>
          <a:xfrm>
            <a:off x="4191000" y="6438900"/>
            <a:ext cx="819150"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57150</xdr:colOff>
      <xdr:row>36</xdr:row>
      <xdr:rowOff>9525</xdr:rowOff>
    </xdr:from>
    <xdr:to>
      <xdr:col>8</xdr:col>
      <xdr:colOff>57150</xdr:colOff>
      <xdr:row>41</xdr:row>
      <xdr:rowOff>47625</xdr:rowOff>
    </xdr:to>
    <xdr:cxnSp macro="">
      <xdr:nvCxnSpPr>
        <xdr:cNvPr id="15" name="Straight Connector 14"/>
        <xdr:cNvCxnSpPr/>
      </xdr:nvCxnSpPr>
      <xdr:spPr>
        <a:xfrm>
          <a:off x="4191000" y="6829425"/>
          <a:ext cx="0" cy="99060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361950</xdr:colOff>
      <xdr:row>36</xdr:row>
      <xdr:rowOff>9525</xdr:rowOff>
    </xdr:from>
    <xdr:to>
      <xdr:col>9</xdr:col>
      <xdr:colOff>361950</xdr:colOff>
      <xdr:row>41</xdr:row>
      <xdr:rowOff>57150</xdr:rowOff>
    </xdr:to>
    <xdr:cxnSp macro="">
      <xdr:nvCxnSpPr>
        <xdr:cNvPr id="16" name="Straight Connector 15"/>
        <xdr:cNvCxnSpPr/>
      </xdr:nvCxnSpPr>
      <xdr:spPr>
        <a:xfrm>
          <a:off x="5010150" y="6829425"/>
          <a:ext cx="0" cy="100012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36</xdr:row>
      <xdr:rowOff>0</xdr:rowOff>
    </xdr:from>
    <xdr:to>
      <xdr:col>8</xdr:col>
      <xdr:colOff>57150</xdr:colOff>
      <xdr:row>36</xdr:row>
      <xdr:rowOff>0</xdr:rowOff>
    </xdr:to>
    <xdr:cxnSp macro="">
      <xdr:nvCxnSpPr>
        <xdr:cNvPr id="17" name="Straight Connector 16"/>
        <xdr:cNvCxnSpPr>
          <a:stCxn id="13" idx="2"/>
        </xdr:cNvCxnSpPr>
      </xdr:nvCxnSpPr>
      <xdr:spPr>
        <a:xfrm flipH="1">
          <a:off x="3419475" y="6819900"/>
          <a:ext cx="7715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400050</xdr:colOff>
      <xdr:row>37</xdr:row>
      <xdr:rowOff>95250</xdr:rowOff>
    </xdr:from>
    <xdr:to>
      <xdr:col>6</xdr:col>
      <xdr:colOff>400050</xdr:colOff>
      <xdr:row>39</xdr:row>
      <xdr:rowOff>133350</xdr:rowOff>
    </xdr:to>
    <xdr:cxnSp macro="">
      <xdr:nvCxnSpPr>
        <xdr:cNvPr id="18" name="Straight Connector 17"/>
        <xdr:cNvCxnSpPr/>
      </xdr:nvCxnSpPr>
      <xdr:spPr>
        <a:xfrm>
          <a:off x="3505200" y="7105650"/>
          <a:ext cx="0" cy="419100"/>
        </a:xfrm>
        <a:prstGeom prst="line">
          <a:avLst/>
        </a:prstGeom>
        <a:ln>
          <a:head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371475</xdr:colOff>
      <xdr:row>41</xdr:row>
      <xdr:rowOff>104775</xdr:rowOff>
    </xdr:from>
    <xdr:to>
      <xdr:col>10</xdr:col>
      <xdr:colOff>217125</xdr:colOff>
      <xdr:row>41</xdr:row>
      <xdr:rowOff>104775</xdr:rowOff>
    </xdr:to>
    <xdr:cxnSp macro="">
      <xdr:nvCxnSpPr>
        <xdr:cNvPr id="19" name="Straight Connector 18"/>
        <xdr:cNvCxnSpPr/>
      </xdr:nvCxnSpPr>
      <xdr:spPr>
        <a:xfrm flipH="1">
          <a:off x="5019675" y="7877175"/>
          <a:ext cx="360000" cy="0"/>
        </a:xfrm>
        <a:prstGeom prst="line">
          <a:avLst/>
        </a:prstGeom>
        <a:ln>
          <a:head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428625</xdr:colOff>
      <xdr:row>66</xdr:row>
      <xdr:rowOff>57150</xdr:rowOff>
    </xdr:from>
    <xdr:to>
      <xdr:col>3</xdr:col>
      <xdr:colOff>19050</xdr:colOff>
      <xdr:row>68</xdr:row>
      <xdr:rowOff>0</xdr:rowOff>
    </xdr:to>
    <xdr:sp macro="" textlink="">
      <xdr:nvSpPr>
        <xdr:cNvPr id="20" name="Left Brace 19"/>
        <xdr:cNvSpPr/>
      </xdr:nvSpPr>
      <xdr:spPr>
        <a:xfrm>
          <a:off x="1457325" y="13896975"/>
          <a:ext cx="104775" cy="352425"/>
        </a:xfrm>
        <a:prstGeom prst="leftBrace">
          <a:avLst>
            <a:gd name="adj1" fmla="val 17708"/>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0</xdr:colOff>
      <xdr:row>117</xdr:row>
      <xdr:rowOff>190497</xdr:rowOff>
    </xdr:from>
    <xdr:to>
      <xdr:col>3</xdr:col>
      <xdr:colOff>76200</xdr:colOff>
      <xdr:row>124</xdr:row>
      <xdr:rowOff>9524</xdr:rowOff>
    </xdr:to>
    <xdr:sp macro="" textlink="">
      <xdr:nvSpPr>
        <xdr:cNvPr id="21" name="Right Triangle 20"/>
        <xdr:cNvSpPr/>
      </xdr:nvSpPr>
      <xdr:spPr>
        <a:xfrm flipV="1">
          <a:off x="1028700" y="17297397"/>
          <a:ext cx="590550" cy="1152527"/>
        </a:xfrm>
        <a:prstGeom prst="rtTriangle">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0</xdr:colOff>
      <xdr:row>118</xdr:row>
      <xdr:rowOff>0</xdr:rowOff>
    </xdr:from>
    <xdr:to>
      <xdr:col>5</xdr:col>
      <xdr:colOff>0</xdr:colOff>
      <xdr:row>123</xdr:row>
      <xdr:rowOff>182550</xdr:rowOff>
    </xdr:to>
    <xdr:cxnSp macro="">
      <xdr:nvCxnSpPr>
        <xdr:cNvPr id="22" name="Straight Connector 21"/>
        <xdr:cNvCxnSpPr/>
      </xdr:nvCxnSpPr>
      <xdr:spPr>
        <a:xfrm>
          <a:off x="2590800" y="17297400"/>
          <a:ext cx="0" cy="1135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118</xdr:row>
      <xdr:rowOff>0</xdr:rowOff>
    </xdr:from>
    <xdr:to>
      <xdr:col>5</xdr:col>
      <xdr:colOff>513525</xdr:colOff>
      <xdr:row>118</xdr:row>
      <xdr:rowOff>0</xdr:rowOff>
    </xdr:to>
    <xdr:cxnSp macro="">
      <xdr:nvCxnSpPr>
        <xdr:cNvPr id="23" name="Straight Connector 22"/>
        <xdr:cNvCxnSpPr/>
      </xdr:nvCxnSpPr>
      <xdr:spPr>
        <a:xfrm>
          <a:off x="2600325" y="17297400"/>
          <a:ext cx="504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120</xdr:row>
      <xdr:rowOff>0</xdr:rowOff>
    </xdr:from>
    <xdr:to>
      <xdr:col>2</xdr:col>
      <xdr:colOff>409575</xdr:colOff>
      <xdr:row>120</xdr:row>
      <xdr:rowOff>0</xdr:rowOff>
    </xdr:to>
    <xdr:cxnSp macro="">
      <xdr:nvCxnSpPr>
        <xdr:cNvPr id="24" name="Straight Connector 23"/>
        <xdr:cNvCxnSpPr/>
      </xdr:nvCxnSpPr>
      <xdr:spPr>
        <a:xfrm>
          <a:off x="1038225" y="17678400"/>
          <a:ext cx="40005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361950</xdr:colOff>
      <xdr:row>118</xdr:row>
      <xdr:rowOff>0</xdr:rowOff>
    </xdr:from>
    <xdr:to>
      <xdr:col>4</xdr:col>
      <xdr:colOff>361950</xdr:colOff>
      <xdr:row>120</xdr:row>
      <xdr:rowOff>0</xdr:rowOff>
    </xdr:to>
    <xdr:cxnSp macro="">
      <xdr:nvCxnSpPr>
        <xdr:cNvPr id="25" name="Straight Connector 24"/>
        <xdr:cNvCxnSpPr/>
      </xdr:nvCxnSpPr>
      <xdr:spPr>
        <a:xfrm>
          <a:off x="2438400" y="17297400"/>
          <a:ext cx="0" cy="38100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118</xdr:row>
      <xdr:rowOff>0</xdr:rowOff>
    </xdr:from>
    <xdr:to>
      <xdr:col>5</xdr:col>
      <xdr:colOff>76200</xdr:colOff>
      <xdr:row>118</xdr:row>
      <xdr:rowOff>0</xdr:rowOff>
    </xdr:to>
    <xdr:cxnSp macro="">
      <xdr:nvCxnSpPr>
        <xdr:cNvPr id="26" name="Straight Connector 25"/>
        <xdr:cNvCxnSpPr/>
      </xdr:nvCxnSpPr>
      <xdr:spPr>
        <a:xfrm flipH="1">
          <a:off x="2314575" y="17297400"/>
          <a:ext cx="3524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120</xdr:row>
      <xdr:rowOff>0</xdr:rowOff>
    </xdr:from>
    <xdr:to>
      <xdr:col>5</xdr:col>
      <xdr:colOff>114300</xdr:colOff>
      <xdr:row>120</xdr:row>
      <xdr:rowOff>0</xdr:rowOff>
    </xdr:to>
    <xdr:cxnSp macro="">
      <xdr:nvCxnSpPr>
        <xdr:cNvPr id="27" name="Straight Connector 26"/>
        <xdr:cNvCxnSpPr/>
      </xdr:nvCxnSpPr>
      <xdr:spPr>
        <a:xfrm flipH="1">
          <a:off x="2352675" y="17678400"/>
          <a:ext cx="3524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124</xdr:row>
      <xdr:rowOff>0</xdr:rowOff>
    </xdr:from>
    <xdr:to>
      <xdr:col>5</xdr:col>
      <xdr:colOff>114300</xdr:colOff>
      <xdr:row>124</xdr:row>
      <xdr:rowOff>0</xdr:rowOff>
    </xdr:to>
    <xdr:cxnSp macro="">
      <xdr:nvCxnSpPr>
        <xdr:cNvPr id="28" name="Straight Connector 27"/>
        <xdr:cNvCxnSpPr/>
      </xdr:nvCxnSpPr>
      <xdr:spPr>
        <a:xfrm flipH="1">
          <a:off x="2352675" y="18440400"/>
          <a:ext cx="3524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361950</xdr:colOff>
      <xdr:row>120</xdr:row>
      <xdr:rowOff>9525</xdr:rowOff>
    </xdr:from>
    <xdr:to>
      <xdr:col>4</xdr:col>
      <xdr:colOff>361950</xdr:colOff>
      <xdr:row>123</xdr:row>
      <xdr:rowOff>171450</xdr:rowOff>
    </xdr:to>
    <xdr:cxnSp macro="">
      <xdr:nvCxnSpPr>
        <xdr:cNvPr id="29" name="Straight Connector 28"/>
        <xdr:cNvCxnSpPr/>
      </xdr:nvCxnSpPr>
      <xdr:spPr>
        <a:xfrm>
          <a:off x="2438400" y="17687925"/>
          <a:ext cx="0" cy="733425"/>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276225</xdr:colOff>
      <xdr:row>124</xdr:row>
      <xdr:rowOff>9525</xdr:rowOff>
    </xdr:from>
    <xdr:to>
      <xdr:col>2</xdr:col>
      <xdr:colOff>114300</xdr:colOff>
      <xdr:row>124</xdr:row>
      <xdr:rowOff>9525</xdr:rowOff>
    </xdr:to>
    <xdr:cxnSp macro="">
      <xdr:nvCxnSpPr>
        <xdr:cNvPr id="30" name="Straight Connector 29"/>
        <xdr:cNvCxnSpPr/>
      </xdr:nvCxnSpPr>
      <xdr:spPr>
        <a:xfrm flipH="1">
          <a:off x="790575" y="18449925"/>
          <a:ext cx="3524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361950</xdr:colOff>
      <xdr:row>118</xdr:row>
      <xdr:rowOff>0</xdr:rowOff>
    </xdr:from>
    <xdr:to>
      <xdr:col>1</xdr:col>
      <xdr:colOff>361950</xdr:colOff>
      <xdr:row>124</xdr:row>
      <xdr:rowOff>0</xdr:rowOff>
    </xdr:to>
    <xdr:cxnSp macro="">
      <xdr:nvCxnSpPr>
        <xdr:cNvPr id="31" name="Straight Connector 30"/>
        <xdr:cNvCxnSpPr/>
      </xdr:nvCxnSpPr>
      <xdr:spPr>
        <a:xfrm>
          <a:off x="876300" y="17297400"/>
          <a:ext cx="0" cy="114300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276225</xdr:colOff>
      <xdr:row>118</xdr:row>
      <xdr:rowOff>0</xdr:rowOff>
    </xdr:from>
    <xdr:to>
      <xdr:col>2</xdr:col>
      <xdr:colOff>114300</xdr:colOff>
      <xdr:row>118</xdr:row>
      <xdr:rowOff>0</xdr:rowOff>
    </xdr:to>
    <xdr:cxnSp macro="">
      <xdr:nvCxnSpPr>
        <xdr:cNvPr id="32" name="Straight Connector 31"/>
        <xdr:cNvCxnSpPr/>
      </xdr:nvCxnSpPr>
      <xdr:spPr>
        <a:xfrm flipH="1">
          <a:off x="790575" y="17297400"/>
          <a:ext cx="3524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118</xdr:row>
      <xdr:rowOff>0</xdr:rowOff>
    </xdr:from>
    <xdr:to>
      <xdr:col>14</xdr:col>
      <xdr:colOff>0</xdr:colOff>
      <xdr:row>124</xdr:row>
      <xdr:rowOff>0</xdr:rowOff>
    </xdr:to>
    <xdr:cxnSp macro="">
      <xdr:nvCxnSpPr>
        <xdr:cNvPr id="33" name="Straight Connector 32"/>
        <xdr:cNvCxnSpPr/>
      </xdr:nvCxnSpPr>
      <xdr:spPr>
        <a:xfrm>
          <a:off x="7219950" y="17297400"/>
          <a:ext cx="0" cy="1143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118</xdr:row>
      <xdr:rowOff>0</xdr:rowOff>
    </xdr:from>
    <xdr:to>
      <xdr:col>14</xdr:col>
      <xdr:colOff>476250</xdr:colOff>
      <xdr:row>123</xdr:row>
      <xdr:rowOff>9525</xdr:rowOff>
    </xdr:to>
    <xdr:sp macro="" textlink="">
      <xdr:nvSpPr>
        <xdr:cNvPr id="34" name="Freeform 33"/>
        <xdr:cNvSpPr/>
      </xdr:nvSpPr>
      <xdr:spPr>
        <a:xfrm>
          <a:off x="7219950" y="17297400"/>
          <a:ext cx="476250" cy="962025"/>
        </a:xfrm>
        <a:custGeom>
          <a:avLst/>
          <a:gdLst>
            <a:gd name="connsiteX0" fmla="*/ 0 w 476250"/>
            <a:gd name="connsiteY0" fmla="*/ 0 h 962025"/>
            <a:gd name="connsiteX1" fmla="*/ 476250 w 476250"/>
            <a:gd name="connsiteY1" fmla="*/ 0 h 962025"/>
            <a:gd name="connsiteX2" fmla="*/ 476250 w 476250"/>
            <a:gd name="connsiteY2" fmla="*/ 962025 h 962025"/>
            <a:gd name="connsiteX3" fmla="*/ 9525 w 476250"/>
            <a:gd name="connsiteY3" fmla="*/ 962025 h 962025"/>
          </a:gdLst>
          <a:ahLst/>
          <a:cxnLst>
            <a:cxn ang="0">
              <a:pos x="connsiteX0" y="connsiteY0"/>
            </a:cxn>
            <a:cxn ang="0">
              <a:pos x="connsiteX1" y="connsiteY1"/>
            </a:cxn>
            <a:cxn ang="0">
              <a:pos x="connsiteX2" y="connsiteY2"/>
            </a:cxn>
            <a:cxn ang="0">
              <a:pos x="connsiteX3" y="connsiteY3"/>
            </a:cxn>
          </a:cxnLst>
          <a:rect l="l" t="t" r="r" b="b"/>
          <a:pathLst>
            <a:path w="476250" h="962025">
              <a:moveTo>
                <a:pt x="0" y="0"/>
              </a:moveTo>
              <a:lnTo>
                <a:pt x="476250" y="0"/>
              </a:lnTo>
              <a:lnTo>
                <a:pt x="476250" y="962025"/>
              </a:lnTo>
              <a:lnTo>
                <a:pt x="9525" y="962025"/>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123825</xdr:colOff>
      <xdr:row>118</xdr:row>
      <xdr:rowOff>0</xdr:rowOff>
    </xdr:from>
    <xdr:to>
      <xdr:col>15</xdr:col>
      <xdr:colOff>123825</xdr:colOff>
      <xdr:row>123</xdr:row>
      <xdr:rowOff>0</xdr:rowOff>
    </xdr:to>
    <xdr:cxnSp macro="">
      <xdr:nvCxnSpPr>
        <xdr:cNvPr id="35" name="Straight Connector 34"/>
        <xdr:cNvCxnSpPr/>
      </xdr:nvCxnSpPr>
      <xdr:spPr>
        <a:xfrm>
          <a:off x="7858125" y="17297400"/>
          <a:ext cx="0" cy="95250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400050</xdr:colOff>
      <xdr:row>118</xdr:row>
      <xdr:rowOff>0</xdr:rowOff>
    </xdr:from>
    <xdr:to>
      <xdr:col>15</xdr:col>
      <xdr:colOff>238125</xdr:colOff>
      <xdr:row>118</xdr:row>
      <xdr:rowOff>0</xdr:rowOff>
    </xdr:to>
    <xdr:cxnSp macro="">
      <xdr:nvCxnSpPr>
        <xdr:cNvPr id="36" name="Straight Connector 35"/>
        <xdr:cNvCxnSpPr/>
      </xdr:nvCxnSpPr>
      <xdr:spPr>
        <a:xfrm flipH="1">
          <a:off x="7620000" y="17297400"/>
          <a:ext cx="3524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371475</xdr:colOff>
      <xdr:row>123</xdr:row>
      <xdr:rowOff>9525</xdr:rowOff>
    </xdr:from>
    <xdr:to>
      <xdr:col>15</xdr:col>
      <xdr:colOff>209550</xdr:colOff>
      <xdr:row>123</xdr:row>
      <xdr:rowOff>9525</xdr:rowOff>
    </xdr:to>
    <xdr:cxnSp macro="">
      <xdr:nvCxnSpPr>
        <xdr:cNvPr id="37" name="Straight Connector 36"/>
        <xdr:cNvCxnSpPr/>
      </xdr:nvCxnSpPr>
      <xdr:spPr>
        <a:xfrm flipH="1">
          <a:off x="7591425" y="18259425"/>
          <a:ext cx="3524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381000</xdr:colOff>
      <xdr:row>119</xdr:row>
      <xdr:rowOff>142875</xdr:rowOff>
    </xdr:from>
    <xdr:to>
      <xdr:col>6</xdr:col>
      <xdr:colOff>390525</xdr:colOff>
      <xdr:row>119</xdr:row>
      <xdr:rowOff>142875</xdr:rowOff>
    </xdr:to>
    <xdr:cxnSp macro="">
      <xdr:nvCxnSpPr>
        <xdr:cNvPr id="38" name="Straight Connector 37"/>
        <xdr:cNvCxnSpPr/>
      </xdr:nvCxnSpPr>
      <xdr:spPr>
        <a:xfrm>
          <a:off x="2971800" y="17630775"/>
          <a:ext cx="523875" cy="0"/>
        </a:xfrm>
        <a:prstGeom prst="line">
          <a:avLst/>
        </a:prstGeom>
        <a:ln>
          <a:head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118</xdr:row>
      <xdr:rowOff>0</xdr:rowOff>
    </xdr:from>
    <xdr:to>
      <xdr:col>6</xdr:col>
      <xdr:colOff>171450</xdr:colOff>
      <xdr:row>119</xdr:row>
      <xdr:rowOff>133350</xdr:rowOff>
    </xdr:to>
    <xdr:cxnSp macro="">
      <xdr:nvCxnSpPr>
        <xdr:cNvPr id="39" name="Straight Connector 38"/>
        <xdr:cNvCxnSpPr/>
      </xdr:nvCxnSpPr>
      <xdr:spPr>
        <a:xfrm>
          <a:off x="3276600" y="17297400"/>
          <a:ext cx="0" cy="32385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447675</xdr:colOff>
      <xdr:row>118</xdr:row>
      <xdr:rowOff>0</xdr:rowOff>
    </xdr:from>
    <xdr:to>
      <xdr:col>6</xdr:col>
      <xdr:colOff>285750</xdr:colOff>
      <xdr:row>118</xdr:row>
      <xdr:rowOff>0</xdr:rowOff>
    </xdr:to>
    <xdr:cxnSp macro="">
      <xdr:nvCxnSpPr>
        <xdr:cNvPr id="40" name="Straight Connector 39"/>
        <xdr:cNvCxnSpPr/>
      </xdr:nvCxnSpPr>
      <xdr:spPr>
        <a:xfrm flipH="1">
          <a:off x="3038475" y="17297400"/>
          <a:ext cx="3524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118</xdr:row>
      <xdr:rowOff>0</xdr:rowOff>
    </xdr:from>
    <xdr:to>
      <xdr:col>9</xdr:col>
      <xdr:colOff>0</xdr:colOff>
      <xdr:row>124</xdr:row>
      <xdr:rowOff>0</xdr:rowOff>
    </xdr:to>
    <xdr:cxnSp macro="">
      <xdr:nvCxnSpPr>
        <xdr:cNvPr id="41" name="Straight Connector 40"/>
        <xdr:cNvCxnSpPr/>
      </xdr:nvCxnSpPr>
      <xdr:spPr>
        <a:xfrm>
          <a:off x="4648200" y="17297400"/>
          <a:ext cx="0" cy="1143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118</xdr:row>
      <xdr:rowOff>0</xdr:rowOff>
    </xdr:from>
    <xdr:to>
      <xdr:col>9</xdr:col>
      <xdr:colOff>476250</xdr:colOff>
      <xdr:row>123</xdr:row>
      <xdr:rowOff>9525</xdr:rowOff>
    </xdr:to>
    <xdr:sp macro="" textlink="">
      <xdr:nvSpPr>
        <xdr:cNvPr id="42" name="Freeform 41"/>
        <xdr:cNvSpPr/>
      </xdr:nvSpPr>
      <xdr:spPr>
        <a:xfrm>
          <a:off x="4648200" y="17297400"/>
          <a:ext cx="476250" cy="962025"/>
        </a:xfrm>
        <a:custGeom>
          <a:avLst/>
          <a:gdLst>
            <a:gd name="connsiteX0" fmla="*/ 0 w 476250"/>
            <a:gd name="connsiteY0" fmla="*/ 0 h 962025"/>
            <a:gd name="connsiteX1" fmla="*/ 476250 w 476250"/>
            <a:gd name="connsiteY1" fmla="*/ 0 h 962025"/>
            <a:gd name="connsiteX2" fmla="*/ 476250 w 476250"/>
            <a:gd name="connsiteY2" fmla="*/ 962025 h 962025"/>
            <a:gd name="connsiteX3" fmla="*/ 9525 w 476250"/>
            <a:gd name="connsiteY3" fmla="*/ 962025 h 962025"/>
          </a:gdLst>
          <a:ahLst/>
          <a:cxnLst>
            <a:cxn ang="0">
              <a:pos x="connsiteX0" y="connsiteY0"/>
            </a:cxn>
            <a:cxn ang="0">
              <a:pos x="connsiteX1" y="connsiteY1"/>
            </a:cxn>
            <a:cxn ang="0">
              <a:pos x="connsiteX2" y="connsiteY2"/>
            </a:cxn>
            <a:cxn ang="0">
              <a:pos x="connsiteX3" y="connsiteY3"/>
            </a:cxn>
          </a:cxnLst>
          <a:rect l="l" t="t" r="r" b="b"/>
          <a:pathLst>
            <a:path w="476250" h="962025">
              <a:moveTo>
                <a:pt x="0" y="0"/>
              </a:moveTo>
              <a:lnTo>
                <a:pt x="476250" y="0"/>
              </a:lnTo>
              <a:lnTo>
                <a:pt x="476250" y="962025"/>
              </a:lnTo>
              <a:lnTo>
                <a:pt x="9525" y="962025"/>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123825</xdr:colOff>
      <xdr:row>118</xdr:row>
      <xdr:rowOff>0</xdr:rowOff>
    </xdr:from>
    <xdr:to>
      <xdr:col>10</xdr:col>
      <xdr:colOff>123825</xdr:colOff>
      <xdr:row>123</xdr:row>
      <xdr:rowOff>0</xdr:rowOff>
    </xdr:to>
    <xdr:cxnSp macro="">
      <xdr:nvCxnSpPr>
        <xdr:cNvPr id="43" name="Straight Connector 42"/>
        <xdr:cNvCxnSpPr/>
      </xdr:nvCxnSpPr>
      <xdr:spPr>
        <a:xfrm>
          <a:off x="5286375" y="17297400"/>
          <a:ext cx="0" cy="95250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400050</xdr:colOff>
      <xdr:row>118</xdr:row>
      <xdr:rowOff>0</xdr:rowOff>
    </xdr:from>
    <xdr:to>
      <xdr:col>10</xdr:col>
      <xdr:colOff>238125</xdr:colOff>
      <xdr:row>118</xdr:row>
      <xdr:rowOff>0</xdr:rowOff>
    </xdr:to>
    <xdr:cxnSp macro="">
      <xdr:nvCxnSpPr>
        <xdr:cNvPr id="44" name="Straight Connector 43"/>
        <xdr:cNvCxnSpPr/>
      </xdr:nvCxnSpPr>
      <xdr:spPr>
        <a:xfrm flipH="1">
          <a:off x="5048250" y="17297400"/>
          <a:ext cx="3524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371475</xdr:colOff>
      <xdr:row>123</xdr:row>
      <xdr:rowOff>9525</xdr:rowOff>
    </xdr:from>
    <xdr:to>
      <xdr:col>10</xdr:col>
      <xdr:colOff>209550</xdr:colOff>
      <xdr:row>123</xdr:row>
      <xdr:rowOff>9525</xdr:rowOff>
    </xdr:to>
    <xdr:cxnSp macro="">
      <xdr:nvCxnSpPr>
        <xdr:cNvPr id="45" name="Straight Connector 44"/>
        <xdr:cNvCxnSpPr/>
      </xdr:nvCxnSpPr>
      <xdr:spPr>
        <a:xfrm flipH="1">
          <a:off x="5019675" y="18259425"/>
          <a:ext cx="3524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92</xdr:row>
      <xdr:rowOff>0</xdr:rowOff>
    </xdr:from>
    <xdr:to>
      <xdr:col>2</xdr:col>
      <xdr:colOff>85725</xdr:colOff>
      <xdr:row>97</xdr:row>
      <xdr:rowOff>0</xdr:rowOff>
    </xdr:to>
    <xdr:sp macro="" textlink="">
      <xdr:nvSpPr>
        <xdr:cNvPr id="46" name="Rectangle 45"/>
        <xdr:cNvSpPr/>
      </xdr:nvSpPr>
      <xdr:spPr>
        <a:xfrm>
          <a:off x="571500" y="20802600"/>
          <a:ext cx="542925" cy="99060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4</xdr:col>
      <xdr:colOff>323850</xdr:colOff>
      <xdr:row>92</xdr:row>
      <xdr:rowOff>0</xdr:rowOff>
    </xdr:from>
    <xdr:to>
      <xdr:col>4</xdr:col>
      <xdr:colOff>323850</xdr:colOff>
      <xdr:row>96</xdr:row>
      <xdr:rowOff>180975</xdr:rowOff>
    </xdr:to>
    <xdr:cxnSp macro="">
      <xdr:nvCxnSpPr>
        <xdr:cNvPr id="47" name="Straight Connector 46"/>
        <xdr:cNvCxnSpPr/>
      </xdr:nvCxnSpPr>
      <xdr:spPr>
        <a:xfrm>
          <a:off x="2400300" y="20802600"/>
          <a:ext cx="0" cy="9810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438150</xdr:colOff>
      <xdr:row>92</xdr:row>
      <xdr:rowOff>0</xdr:rowOff>
    </xdr:from>
    <xdr:to>
      <xdr:col>5</xdr:col>
      <xdr:colOff>219075</xdr:colOff>
      <xdr:row>97</xdr:row>
      <xdr:rowOff>0</xdr:rowOff>
    </xdr:to>
    <xdr:sp macro="" textlink="">
      <xdr:nvSpPr>
        <xdr:cNvPr id="48" name="Freeform 47"/>
        <xdr:cNvSpPr/>
      </xdr:nvSpPr>
      <xdr:spPr>
        <a:xfrm>
          <a:off x="1981200" y="20802600"/>
          <a:ext cx="828675" cy="990600"/>
        </a:xfrm>
        <a:custGeom>
          <a:avLst/>
          <a:gdLst>
            <a:gd name="connsiteX0" fmla="*/ 419100 w 828675"/>
            <a:gd name="connsiteY0" fmla="*/ 0 h 971550"/>
            <a:gd name="connsiteX1" fmla="*/ 0 w 828675"/>
            <a:gd name="connsiteY1" fmla="*/ 0 h 971550"/>
            <a:gd name="connsiteX2" fmla="*/ 828675 w 828675"/>
            <a:gd name="connsiteY2" fmla="*/ 971550 h 971550"/>
            <a:gd name="connsiteX3" fmla="*/ 419100 w 828675"/>
            <a:gd name="connsiteY3" fmla="*/ 971550 h 971550"/>
          </a:gdLst>
          <a:ahLst/>
          <a:cxnLst>
            <a:cxn ang="0">
              <a:pos x="connsiteX0" y="connsiteY0"/>
            </a:cxn>
            <a:cxn ang="0">
              <a:pos x="connsiteX1" y="connsiteY1"/>
            </a:cxn>
            <a:cxn ang="0">
              <a:pos x="connsiteX2" y="connsiteY2"/>
            </a:cxn>
            <a:cxn ang="0">
              <a:pos x="connsiteX3" y="connsiteY3"/>
            </a:cxn>
          </a:cxnLst>
          <a:rect l="l" t="t" r="r" b="b"/>
          <a:pathLst>
            <a:path w="828675" h="971550">
              <a:moveTo>
                <a:pt x="419100" y="0"/>
              </a:moveTo>
              <a:lnTo>
                <a:pt x="0" y="0"/>
              </a:lnTo>
              <a:lnTo>
                <a:pt x="828675" y="971550"/>
              </a:lnTo>
              <a:lnTo>
                <a:pt x="419100" y="971550"/>
              </a:lnTo>
            </a:path>
          </a:pathLst>
        </a:cu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314325</xdr:colOff>
      <xdr:row>92</xdr:row>
      <xdr:rowOff>9525</xdr:rowOff>
    </xdr:from>
    <xdr:to>
      <xdr:col>2</xdr:col>
      <xdr:colOff>314325</xdr:colOff>
      <xdr:row>96</xdr:row>
      <xdr:rowOff>76200</xdr:rowOff>
    </xdr:to>
    <xdr:cxnSp macro="">
      <xdr:nvCxnSpPr>
        <xdr:cNvPr id="49" name="Straight Connector 48"/>
        <xdr:cNvCxnSpPr/>
      </xdr:nvCxnSpPr>
      <xdr:spPr>
        <a:xfrm>
          <a:off x="1343025" y="20812125"/>
          <a:ext cx="0" cy="866775"/>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133350</xdr:colOff>
      <xdr:row>96</xdr:row>
      <xdr:rowOff>38100</xdr:rowOff>
    </xdr:from>
    <xdr:to>
      <xdr:col>1</xdr:col>
      <xdr:colOff>209550</xdr:colOff>
      <xdr:row>96</xdr:row>
      <xdr:rowOff>114300</xdr:rowOff>
    </xdr:to>
    <xdr:sp macro="" textlink="">
      <xdr:nvSpPr>
        <xdr:cNvPr id="50" name="Oval 49"/>
        <xdr:cNvSpPr/>
      </xdr:nvSpPr>
      <xdr:spPr>
        <a:xfrm>
          <a:off x="647700" y="21640800"/>
          <a:ext cx="76200" cy="76200"/>
        </a:xfrm>
        <a:prstGeom prst="ellipse">
          <a:avLst/>
        </a:prstGeom>
        <a:solidFill>
          <a:srgbClr val="C00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285750</xdr:colOff>
      <xdr:row>96</xdr:row>
      <xdr:rowOff>38100</xdr:rowOff>
    </xdr:from>
    <xdr:to>
      <xdr:col>1</xdr:col>
      <xdr:colOff>361950</xdr:colOff>
      <xdr:row>96</xdr:row>
      <xdr:rowOff>114300</xdr:rowOff>
    </xdr:to>
    <xdr:sp macro="" textlink="">
      <xdr:nvSpPr>
        <xdr:cNvPr id="51" name="Oval 50"/>
        <xdr:cNvSpPr/>
      </xdr:nvSpPr>
      <xdr:spPr>
        <a:xfrm>
          <a:off x="800100" y="21640800"/>
          <a:ext cx="76200" cy="76200"/>
        </a:xfrm>
        <a:prstGeom prst="ellipse">
          <a:avLst/>
        </a:prstGeom>
        <a:solidFill>
          <a:srgbClr val="C00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428625</xdr:colOff>
      <xdr:row>96</xdr:row>
      <xdr:rowOff>38100</xdr:rowOff>
    </xdr:from>
    <xdr:to>
      <xdr:col>1</xdr:col>
      <xdr:colOff>504825</xdr:colOff>
      <xdr:row>96</xdr:row>
      <xdr:rowOff>114300</xdr:rowOff>
    </xdr:to>
    <xdr:sp macro="" textlink="">
      <xdr:nvSpPr>
        <xdr:cNvPr id="52" name="Oval 51"/>
        <xdr:cNvSpPr/>
      </xdr:nvSpPr>
      <xdr:spPr>
        <a:xfrm>
          <a:off x="942975" y="21640800"/>
          <a:ext cx="76200" cy="76200"/>
        </a:xfrm>
        <a:prstGeom prst="ellipse">
          <a:avLst/>
        </a:prstGeom>
        <a:solidFill>
          <a:srgbClr val="C00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95250</xdr:colOff>
      <xdr:row>95</xdr:row>
      <xdr:rowOff>180976</xdr:rowOff>
    </xdr:from>
    <xdr:to>
      <xdr:col>2</xdr:col>
      <xdr:colOff>38100</xdr:colOff>
      <xdr:row>96</xdr:row>
      <xdr:rowOff>161926</xdr:rowOff>
    </xdr:to>
    <xdr:sp macro="" textlink="">
      <xdr:nvSpPr>
        <xdr:cNvPr id="53" name="Oval 52"/>
        <xdr:cNvSpPr/>
      </xdr:nvSpPr>
      <xdr:spPr>
        <a:xfrm>
          <a:off x="609600" y="21593176"/>
          <a:ext cx="457200" cy="171450"/>
        </a:xfrm>
        <a:prstGeom prst="ellipse">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238125</xdr:colOff>
      <xdr:row>96</xdr:row>
      <xdr:rowOff>171450</xdr:rowOff>
    </xdr:from>
    <xdr:to>
      <xdr:col>1</xdr:col>
      <xdr:colOff>342900</xdr:colOff>
      <xdr:row>98</xdr:row>
      <xdr:rowOff>76200</xdr:rowOff>
    </xdr:to>
    <xdr:sp macro="" textlink="">
      <xdr:nvSpPr>
        <xdr:cNvPr id="54" name="Freeform 53"/>
        <xdr:cNvSpPr/>
      </xdr:nvSpPr>
      <xdr:spPr>
        <a:xfrm>
          <a:off x="752475" y="21774150"/>
          <a:ext cx="104775" cy="285750"/>
        </a:xfrm>
        <a:custGeom>
          <a:avLst/>
          <a:gdLst>
            <a:gd name="connsiteX0" fmla="*/ 0 w 104775"/>
            <a:gd name="connsiteY0" fmla="*/ 0 h 285750"/>
            <a:gd name="connsiteX1" fmla="*/ 0 w 104775"/>
            <a:gd name="connsiteY1" fmla="*/ 285750 h 285750"/>
            <a:gd name="connsiteX2" fmla="*/ 104775 w 104775"/>
            <a:gd name="connsiteY2" fmla="*/ 285750 h 285750"/>
          </a:gdLst>
          <a:ahLst/>
          <a:cxnLst>
            <a:cxn ang="0">
              <a:pos x="connsiteX0" y="connsiteY0"/>
            </a:cxn>
            <a:cxn ang="0">
              <a:pos x="connsiteX1" y="connsiteY1"/>
            </a:cxn>
            <a:cxn ang="0">
              <a:pos x="connsiteX2" y="connsiteY2"/>
            </a:cxn>
          </a:cxnLst>
          <a:rect l="l" t="t" r="r" b="b"/>
          <a:pathLst>
            <a:path w="104775" h="285750">
              <a:moveTo>
                <a:pt x="0" y="0"/>
              </a:moveTo>
              <a:lnTo>
                <a:pt x="0" y="285750"/>
              </a:lnTo>
              <a:lnTo>
                <a:pt x="104775" y="28575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419101</xdr:colOff>
      <xdr:row>96</xdr:row>
      <xdr:rowOff>85725</xdr:rowOff>
    </xdr:from>
    <xdr:to>
      <xdr:col>2</xdr:col>
      <xdr:colOff>409575</xdr:colOff>
      <xdr:row>96</xdr:row>
      <xdr:rowOff>85725</xdr:rowOff>
    </xdr:to>
    <xdr:cxnSp macro="">
      <xdr:nvCxnSpPr>
        <xdr:cNvPr id="55" name="Straight Connector 54"/>
        <xdr:cNvCxnSpPr/>
      </xdr:nvCxnSpPr>
      <xdr:spPr>
        <a:xfrm flipH="1">
          <a:off x="933451" y="21688425"/>
          <a:ext cx="504824"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94</xdr:row>
      <xdr:rowOff>95250</xdr:rowOff>
    </xdr:from>
    <xdr:to>
      <xdr:col>6</xdr:col>
      <xdr:colOff>219075</xdr:colOff>
      <xdr:row>94</xdr:row>
      <xdr:rowOff>95250</xdr:rowOff>
    </xdr:to>
    <xdr:cxnSp macro="">
      <xdr:nvCxnSpPr>
        <xdr:cNvPr id="56" name="Straight Connector 55"/>
        <xdr:cNvCxnSpPr/>
      </xdr:nvCxnSpPr>
      <xdr:spPr>
        <a:xfrm>
          <a:off x="2133600" y="21316950"/>
          <a:ext cx="11906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438151</xdr:colOff>
      <xdr:row>92</xdr:row>
      <xdr:rowOff>0</xdr:rowOff>
    </xdr:from>
    <xdr:to>
      <xdr:col>2</xdr:col>
      <xdr:colOff>428625</xdr:colOff>
      <xdr:row>92</xdr:row>
      <xdr:rowOff>0</xdr:rowOff>
    </xdr:to>
    <xdr:cxnSp macro="">
      <xdr:nvCxnSpPr>
        <xdr:cNvPr id="57" name="Straight Connector 56"/>
        <xdr:cNvCxnSpPr/>
      </xdr:nvCxnSpPr>
      <xdr:spPr>
        <a:xfrm flipH="1">
          <a:off x="952501" y="20802600"/>
          <a:ext cx="504824"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381000</xdr:colOff>
      <xdr:row>92</xdr:row>
      <xdr:rowOff>0</xdr:rowOff>
    </xdr:from>
    <xdr:to>
      <xdr:col>6</xdr:col>
      <xdr:colOff>209550</xdr:colOff>
      <xdr:row>92</xdr:row>
      <xdr:rowOff>0</xdr:rowOff>
    </xdr:to>
    <xdr:cxnSp macro="">
      <xdr:nvCxnSpPr>
        <xdr:cNvPr id="58" name="Straight Connector 57"/>
        <xdr:cNvCxnSpPr/>
      </xdr:nvCxnSpPr>
      <xdr:spPr>
        <a:xfrm flipH="1">
          <a:off x="2971800" y="20802600"/>
          <a:ext cx="34290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92</xdr:row>
      <xdr:rowOff>0</xdr:rowOff>
    </xdr:from>
    <xdr:to>
      <xdr:col>6</xdr:col>
      <xdr:colOff>123825</xdr:colOff>
      <xdr:row>94</xdr:row>
      <xdr:rowOff>85725</xdr:rowOff>
    </xdr:to>
    <xdr:cxnSp macro="">
      <xdr:nvCxnSpPr>
        <xdr:cNvPr id="59" name="Straight Connector 58"/>
        <xdr:cNvCxnSpPr/>
      </xdr:nvCxnSpPr>
      <xdr:spPr>
        <a:xfrm>
          <a:off x="3228975" y="20802600"/>
          <a:ext cx="0" cy="504825"/>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94</xdr:row>
      <xdr:rowOff>95250</xdr:rowOff>
    </xdr:from>
    <xdr:to>
      <xdr:col>6</xdr:col>
      <xdr:colOff>123825</xdr:colOff>
      <xdr:row>96</xdr:row>
      <xdr:rowOff>180975</xdr:rowOff>
    </xdr:to>
    <xdr:cxnSp macro="">
      <xdr:nvCxnSpPr>
        <xdr:cNvPr id="60" name="Straight Connector 59"/>
        <xdr:cNvCxnSpPr/>
      </xdr:nvCxnSpPr>
      <xdr:spPr>
        <a:xfrm>
          <a:off x="3228975" y="21316950"/>
          <a:ext cx="0" cy="466725"/>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97</xdr:row>
      <xdr:rowOff>0</xdr:rowOff>
    </xdr:from>
    <xdr:to>
      <xdr:col>6</xdr:col>
      <xdr:colOff>228600</xdr:colOff>
      <xdr:row>97</xdr:row>
      <xdr:rowOff>0</xdr:rowOff>
    </xdr:to>
    <xdr:cxnSp macro="">
      <xdr:nvCxnSpPr>
        <xdr:cNvPr id="61" name="Straight Connector 60"/>
        <xdr:cNvCxnSpPr/>
      </xdr:nvCxnSpPr>
      <xdr:spPr>
        <a:xfrm>
          <a:off x="2743200" y="21793200"/>
          <a:ext cx="59055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9526</xdr:colOff>
      <xdr:row>118</xdr:row>
      <xdr:rowOff>9525</xdr:rowOff>
    </xdr:from>
    <xdr:to>
      <xdr:col>5</xdr:col>
      <xdr:colOff>513526</xdr:colOff>
      <xdr:row>123</xdr:row>
      <xdr:rowOff>180450</xdr:rowOff>
    </xdr:to>
    <xdr:sp macro="" textlink="">
      <xdr:nvSpPr>
        <xdr:cNvPr id="62" name="Freeform 61"/>
        <xdr:cNvSpPr/>
      </xdr:nvSpPr>
      <xdr:spPr>
        <a:xfrm>
          <a:off x="2600326" y="17306925"/>
          <a:ext cx="504000" cy="1123425"/>
        </a:xfrm>
        <a:custGeom>
          <a:avLst/>
          <a:gdLst>
            <a:gd name="connsiteX0" fmla="*/ 657225 w 657225"/>
            <a:gd name="connsiteY0" fmla="*/ 0 h 1047750"/>
            <a:gd name="connsiteX1" fmla="*/ 657225 w 657225"/>
            <a:gd name="connsiteY1" fmla="*/ 457200 h 1047750"/>
            <a:gd name="connsiteX2" fmla="*/ 514350 w 657225"/>
            <a:gd name="connsiteY2" fmla="*/ 771525 h 1047750"/>
            <a:gd name="connsiteX3" fmla="*/ 0 w 657225"/>
            <a:gd name="connsiteY3" fmla="*/ 1047750 h 1047750"/>
            <a:gd name="connsiteX0" fmla="*/ 657225 w 657225"/>
            <a:gd name="connsiteY0" fmla="*/ 0 h 1047750"/>
            <a:gd name="connsiteX1" fmla="*/ 657225 w 657225"/>
            <a:gd name="connsiteY1" fmla="*/ 457200 h 1047750"/>
            <a:gd name="connsiteX2" fmla="*/ 161925 w 657225"/>
            <a:gd name="connsiteY2" fmla="*/ 457200 h 1047750"/>
            <a:gd name="connsiteX3" fmla="*/ 0 w 657225"/>
            <a:gd name="connsiteY3" fmla="*/ 1047750 h 1047750"/>
            <a:gd name="connsiteX0" fmla="*/ 657225 w 657225"/>
            <a:gd name="connsiteY0" fmla="*/ 0 h 1047750"/>
            <a:gd name="connsiteX1" fmla="*/ 657225 w 657225"/>
            <a:gd name="connsiteY1" fmla="*/ 457200 h 1047750"/>
            <a:gd name="connsiteX2" fmla="*/ 409575 w 657225"/>
            <a:gd name="connsiteY2" fmla="*/ 752475 h 1047750"/>
            <a:gd name="connsiteX3" fmla="*/ 0 w 657225"/>
            <a:gd name="connsiteY3" fmla="*/ 1047750 h 1047750"/>
            <a:gd name="connsiteX0" fmla="*/ 657225 w 657225"/>
            <a:gd name="connsiteY0" fmla="*/ 0 h 1047750"/>
            <a:gd name="connsiteX1" fmla="*/ 657225 w 657225"/>
            <a:gd name="connsiteY1" fmla="*/ 457200 h 1047750"/>
            <a:gd name="connsiteX2" fmla="*/ 0 w 657225"/>
            <a:gd name="connsiteY2" fmla="*/ 1047750 h 1047750"/>
            <a:gd name="connsiteX0" fmla="*/ 657225 w 657225"/>
            <a:gd name="connsiteY0" fmla="*/ 0 h 1047750"/>
            <a:gd name="connsiteX1" fmla="*/ 657225 w 657225"/>
            <a:gd name="connsiteY1" fmla="*/ 457200 h 1047750"/>
            <a:gd name="connsiteX2" fmla="*/ 352425 w 657225"/>
            <a:gd name="connsiteY2" fmla="*/ 742950 h 1047750"/>
            <a:gd name="connsiteX3" fmla="*/ 0 w 657225"/>
            <a:gd name="connsiteY3" fmla="*/ 1047750 h 1047750"/>
            <a:gd name="connsiteX0" fmla="*/ 657225 w 657225"/>
            <a:gd name="connsiteY0" fmla="*/ 0 h 1047750"/>
            <a:gd name="connsiteX1" fmla="*/ 657225 w 657225"/>
            <a:gd name="connsiteY1" fmla="*/ 457200 h 1047750"/>
            <a:gd name="connsiteX2" fmla="*/ 447675 w 657225"/>
            <a:gd name="connsiteY2" fmla="*/ 800100 h 1047750"/>
            <a:gd name="connsiteX3" fmla="*/ 0 w 657225"/>
            <a:gd name="connsiteY3" fmla="*/ 1047750 h 1047750"/>
            <a:gd name="connsiteX0" fmla="*/ 657225 w 657225"/>
            <a:gd name="connsiteY0" fmla="*/ 0 h 1047750"/>
            <a:gd name="connsiteX1" fmla="*/ 657225 w 657225"/>
            <a:gd name="connsiteY1" fmla="*/ 457200 h 1047750"/>
            <a:gd name="connsiteX2" fmla="*/ 476250 w 657225"/>
            <a:gd name="connsiteY2" fmla="*/ 819150 h 1047750"/>
            <a:gd name="connsiteX3" fmla="*/ 0 w 657225"/>
            <a:gd name="connsiteY3" fmla="*/ 1047750 h 1047750"/>
            <a:gd name="connsiteX0" fmla="*/ 657225 w 657225"/>
            <a:gd name="connsiteY0" fmla="*/ 0 h 1047750"/>
            <a:gd name="connsiteX1" fmla="*/ 657225 w 657225"/>
            <a:gd name="connsiteY1" fmla="*/ 457200 h 1047750"/>
            <a:gd name="connsiteX2" fmla="*/ 476250 w 657225"/>
            <a:gd name="connsiteY2" fmla="*/ 819150 h 1047750"/>
            <a:gd name="connsiteX3" fmla="*/ 0 w 657225"/>
            <a:gd name="connsiteY3" fmla="*/ 1047750 h 1047750"/>
            <a:gd name="connsiteX0" fmla="*/ 657225 w 657225"/>
            <a:gd name="connsiteY0" fmla="*/ 0 h 1047750"/>
            <a:gd name="connsiteX1" fmla="*/ 657225 w 657225"/>
            <a:gd name="connsiteY1" fmla="*/ 457200 h 1047750"/>
            <a:gd name="connsiteX2" fmla="*/ 476250 w 657225"/>
            <a:gd name="connsiteY2" fmla="*/ 790575 h 1047750"/>
            <a:gd name="connsiteX3" fmla="*/ 0 w 657225"/>
            <a:gd name="connsiteY3" fmla="*/ 1047750 h 1047750"/>
            <a:gd name="connsiteX0" fmla="*/ 657225 w 657225"/>
            <a:gd name="connsiteY0" fmla="*/ 0 h 1047750"/>
            <a:gd name="connsiteX1" fmla="*/ 657225 w 657225"/>
            <a:gd name="connsiteY1" fmla="*/ 379233 h 1047750"/>
            <a:gd name="connsiteX2" fmla="*/ 476250 w 657225"/>
            <a:gd name="connsiteY2" fmla="*/ 790575 h 1047750"/>
            <a:gd name="connsiteX3" fmla="*/ 0 w 657225"/>
            <a:gd name="connsiteY3" fmla="*/ 1047750 h 1047750"/>
            <a:gd name="connsiteX0" fmla="*/ 657225 w 657225"/>
            <a:gd name="connsiteY0" fmla="*/ 0 h 1004435"/>
            <a:gd name="connsiteX1" fmla="*/ 657225 w 657225"/>
            <a:gd name="connsiteY1" fmla="*/ 335918 h 1004435"/>
            <a:gd name="connsiteX2" fmla="*/ 476250 w 657225"/>
            <a:gd name="connsiteY2" fmla="*/ 747260 h 1004435"/>
            <a:gd name="connsiteX3" fmla="*/ 0 w 657225"/>
            <a:gd name="connsiteY3" fmla="*/ 1004435 h 1004435"/>
            <a:gd name="connsiteX0" fmla="*/ 657225 w 657225"/>
            <a:gd name="connsiteY0" fmla="*/ 0 h 1021761"/>
            <a:gd name="connsiteX1" fmla="*/ 657225 w 657225"/>
            <a:gd name="connsiteY1" fmla="*/ 353244 h 1021761"/>
            <a:gd name="connsiteX2" fmla="*/ 476250 w 657225"/>
            <a:gd name="connsiteY2" fmla="*/ 764586 h 1021761"/>
            <a:gd name="connsiteX3" fmla="*/ 0 w 657225"/>
            <a:gd name="connsiteY3" fmla="*/ 1021761 h 1021761"/>
          </a:gdLst>
          <a:ahLst/>
          <a:cxnLst>
            <a:cxn ang="0">
              <a:pos x="connsiteX0" y="connsiteY0"/>
            </a:cxn>
            <a:cxn ang="0">
              <a:pos x="connsiteX1" y="connsiteY1"/>
            </a:cxn>
            <a:cxn ang="0">
              <a:pos x="connsiteX2" y="connsiteY2"/>
            </a:cxn>
            <a:cxn ang="0">
              <a:pos x="connsiteX3" y="connsiteY3"/>
            </a:cxn>
          </a:cxnLst>
          <a:rect l="l" t="t" r="r" b="b"/>
          <a:pathLst>
            <a:path w="657225" h="1021761">
              <a:moveTo>
                <a:pt x="657225" y="0"/>
              </a:moveTo>
              <a:lnTo>
                <a:pt x="657225" y="353244"/>
              </a:lnTo>
              <a:cubicBezTo>
                <a:pt x="627063" y="489769"/>
                <a:pt x="585787" y="653167"/>
                <a:pt x="476250" y="764586"/>
              </a:cubicBezTo>
              <a:cubicBezTo>
                <a:pt x="366713" y="876005"/>
                <a:pt x="158750" y="945561"/>
                <a:pt x="0" y="1021761"/>
              </a:cubicBez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72</xdr:row>
      <xdr:rowOff>190497</xdr:rowOff>
    </xdr:from>
    <xdr:to>
      <xdr:col>3</xdr:col>
      <xdr:colOff>76200</xdr:colOff>
      <xdr:row>79</xdr:row>
      <xdr:rowOff>9524</xdr:rowOff>
    </xdr:to>
    <xdr:sp macro="" textlink="">
      <xdr:nvSpPr>
        <xdr:cNvPr id="63" name="Right Triangle 62"/>
        <xdr:cNvSpPr/>
      </xdr:nvSpPr>
      <xdr:spPr>
        <a:xfrm flipV="1">
          <a:off x="1028700" y="24117297"/>
          <a:ext cx="590550" cy="1152527"/>
        </a:xfrm>
        <a:prstGeom prst="rtTriangle">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0</xdr:colOff>
      <xdr:row>73</xdr:row>
      <xdr:rowOff>0</xdr:rowOff>
    </xdr:from>
    <xdr:to>
      <xdr:col>5</xdr:col>
      <xdr:colOff>0</xdr:colOff>
      <xdr:row>78</xdr:row>
      <xdr:rowOff>182550</xdr:rowOff>
    </xdr:to>
    <xdr:cxnSp macro="">
      <xdr:nvCxnSpPr>
        <xdr:cNvPr id="64" name="Straight Connector 63"/>
        <xdr:cNvCxnSpPr/>
      </xdr:nvCxnSpPr>
      <xdr:spPr>
        <a:xfrm>
          <a:off x="2590800" y="24117300"/>
          <a:ext cx="0" cy="1135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73</xdr:row>
      <xdr:rowOff>0</xdr:rowOff>
    </xdr:from>
    <xdr:to>
      <xdr:col>5</xdr:col>
      <xdr:colOff>513525</xdr:colOff>
      <xdr:row>73</xdr:row>
      <xdr:rowOff>0</xdr:rowOff>
    </xdr:to>
    <xdr:cxnSp macro="">
      <xdr:nvCxnSpPr>
        <xdr:cNvPr id="65" name="Straight Connector 64"/>
        <xdr:cNvCxnSpPr/>
      </xdr:nvCxnSpPr>
      <xdr:spPr>
        <a:xfrm>
          <a:off x="2600325" y="24117300"/>
          <a:ext cx="504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75</xdr:row>
      <xdr:rowOff>0</xdr:rowOff>
    </xdr:from>
    <xdr:to>
      <xdr:col>2</xdr:col>
      <xdr:colOff>409575</xdr:colOff>
      <xdr:row>75</xdr:row>
      <xdr:rowOff>0</xdr:rowOff>
    </xdr:to>
    <xdr:cxnSp macro="">
      <xdr:nvCxnSpPr>
        <xdr:cNvPr id="66" name="Straight Connector 65"/>
        <xdr:cNvCxnSpPr/>
      </xdr:nvCxnSpPr>
      <xdr:spPr>
        <a:xfrm>
          <a:off x="1038225" y="24498300"/>
          <a:ext cx="40005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361950</xdr:colOff>
      <xdr:row>73</xdr:row>
      <xdr:rowOff>0</xdr:rowOff>
    </xdr:from>
    <xdr:to>
      <xdr:col>4</xdr:col>
      <xdr:colOff>361950</xdr:colOff>
      <xdr:row>75</xdr:row>
      <xdr:rowOff>0</xdr:rowOff>
    </xdr:to>
    <xdr:cxnSp macro="">
      <xdr:nvCxnSpPr>
        <xdr:cNvPr id="67" name="Straight Connector 66"/>
        <xdr:cNvCxnSpPr/>
      </xdr:nvCxnSpPr>
      <xdr:spPr>
        <a:xfrm>
          <a:off x="2438400" y="24117300"/>
          <a:ext cx="0" cy="38100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73</xdr:row>
      <xdr:rowOff>0</xdr:rowOff>
    </xdr:from>
    <xdr:to>
      <xdr:col>5</xdr:col>
      <xdr:colOff>76200</xdr:colOff>
      <xdr:row>73</xdr:row>
      <xdr:rowOff>0</xdr:rowOff>
    </xdr:to>
    <xdr:cxnSp macro="">
      <xdr:nvCxnSpPr>
        <xdr:cNvPr id="68" name="Straight Connector 67"/>
        <xdr:cNvCxnSpPr/>
      </xdr:nvCxnSpPr>
      <xdr:spPr>
        <a:xfrm flipH="1">
          <a:off x="2314575" y="24117300"/>
          <a:ext cx="3524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75</xdr:row>
      <xdr:rowOff>0</xdr:rowOff>
    </xdr:from>
    <xdr:to>
      <xdr:col>5</xdr:col>
      <xdr:colOff>114300</xdr:colOff>
      <xdr:row>75</xdr:row>
      <xdr:rowOff>0</xdr:rowOff>
    </xdr:to>
    <xdr:cxnSp macro="">
      <xdr:nvCxnSpPr>
        <xdr:cNvPr id="69" name="Straight Connector 68"/>
        <xdr:cNvCxnSpPr/>
      </xdr:nvCxnSpPr>
      <xdr:spPr>
        <a:xfrm flipH="1">
          <a:off x="2352675" y="24498300"/>
          <a:ext cx="3524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79</xdr:row>
      <xdr:rowOff>0</xdr:rowOff>
    </xdr:from>
    <xdr:to>
      <xdr:col>5</xdr:col>
      <xdr:colOff>114300</xdr:colOff>
      <xdr:row>79</xdr:row>
      <xdr:rowOff>0</xdr:rowOff>
    </xdr:to>
    <xdr:cxnSp macro="">
      <xdr:nvCxnSpPr>
        <xdr:cNvPr id="70" name="Straight Connector 69"/>
        <xdr:cNvCxnSpPr/>
      </xdr:nvCxnSpPr>
      <xdr:spPr>
        <a:xfrm flipH="1">
          <a:off x="2352675" y="25260300"/>
          <a:ext cx="3524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361950</xdr:colOff>
      <xdr:row>75</xdr:row>
      <xdr:rowOff>9525</xdr:rowOff>
    </xdr:from>
    <xdr:to>
      <xdr:col>4</xdr:col>
      <xdr:colOff>361950</xdr:colOff>
      <xdr:row>78</xdr:row>
      <xdr:rowOff>171450</xdr:rowOff>
    </xdr:to>
    <xdr:cxnSp macro="">
      <xdr:nvCxnSpPr>
        <xdr:cNvPr id="71" name="Straight Connector 70"/>
        <xdr:cNvCxnSpPr/>
      </xdr:nvCxnSpPr>
      <xdr:spPr>
        <a:xfrm>
          <a:off x="2438400" y="24507825"/>
          <a:ext cx="0" cy="733425"/>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276225</xdr:colOff>
      <xdr:row>79</xdr:row>
      <xdr:rowOff>9525</xdr:rowOff>
    </xdr:from>
    <xdr:to>
      <xdr:col>2</xdr:col>
      <xdr:colOff>114300</xdr:colOff>
      <xdr:row>79</xdr:row>
      <xdr:rowOff>9525</xdr:rowOff>
    </xdr:to>
    <xdr:cxnSp macro="">
      <xdr:nvCxnSpPr>
        <xdr:cNvPr id="72" name="Straight Connector 71"/>
        <xdr:cNvCxnSpPr/>
      </xdr:nvCxnSpPr>
      <xdr:spPr>
        <a:xfrm flipH="1">
          <a:off x="790575" y="25269825"/>
          <a:ext cx="3524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361950</xdr:colOff>
      <xdr:row>73</xdr:row>
      <xdr:rowOff>0</xdr:rowOff>
    </xdr:from>
    <xdr:to>
      <xdr:col>1</xdr:col>
      <xdr:colOff>361950</xdr:colOff>
      <xdr:row>79</xdr:row>
      <xdr:rowOff>0</xdr:rowOff>
    </xdr:to>
    <xdr:cxnSp macro="">
      <xdr:nvCxnSpPr>
        <xdr:cNvPr id="73" name="Straight Connector 72"/>
        <xdr:cNvCxnSpPr/>
      </xdr:nvCxnSpPr>
      <xdr:spPr>
        <a:xfrm>
          <a:off x="876300" y="24117300"/>
          <a:ext cx="0" cy="114300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276225</xdr:colOff>
      <xdr:row>73</xdr:row>
      <xdr:rowOff>0</xdr:rowOff>
    </xdr:from>
    <xdr:to>
      <xdr:col>2</xdr:col>
      <xdr:colOff>114300</xdr:colOff>
      <xdr:row>73</xdr:row>
      <xdr:rowOff>0</xdr:rowOff>
    </xdr:to>
    <xdr:cxnSp macro="">
      <xdr:nvCxnSpPr>
        <xdr:cNvPr id="74" name="Straight Connector 73"/>
        <xdr:cNvCxnSpPr/>
      </xdr:nvCxnSpPr>
      <xdr:spPr>
        <a:xfrm flipH="1">
          <a:off x="790575" y="24117300"/>
          <a:ext cx="3524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381000</xdr:colOff>
      <xdr:row>74</xdr:row>
      <xdr:rowOff>123825</xdr:rowOff>
    </xdr:from>
    <xdr:to>
      <xdr:col>6</xdr:col>
      <xdr:colOff>390525</xdr:colOff>
      <xdr:row>74</xdr:row>
      <xdr:rowOff>123825</xdr:rowOff>
    </xdr:to>
    <xdr:cxnSp macro="">
      <xdr:nvCxnSpPr>
        <xdr:cNvPr id="75" name="Straight Connector 74"/>
        <xdr:cNvCxnSpPr/>
      </xdr:nvCxnSpPr>
      <xdr:spPr>
        <a:xfrm>
          <a:off x="2971800" y="15668625"/>
          <a:ext cx="523875" cy="0"/>
        </a:xfrm>
        <a:prstGeom prst="line">
          <a:avLst/>
        </a:prstGeom>
        <a:ln>
          <a:head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73</xdr:row>
      <xdr:rowOff>0</xdr:rowOff>
    </xdr:from>
    <xdr:to>
      <xdr:col>6</xdr:col>
      <xdr:colOff>171450</xdr:colOff>
      <xdr:row>74</xdr:row>
      <xdr:rowOff>104775</xdr:rowOff>
    </xdr:to>
    <xdr:cxnSp macro="">
      <xdr:nvCxnSpPr>
        <xdr:cNvPr id="76" name="Straight Connector 75"/>
        <xdr:cNvCxnSpPr/>
      </xdr:nvCxnSpPr>
      <xdr:spPr>
        <a:xfrm>
          <a:off x="3276600" y="15354300"/>
          <a:ext cx="0" cy="295275"/>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447675</xdr:colOff>
      <xdr:row>73</xdr:row>
      <xdr:rowOff>0</xdr:rowOff>
    </xdr:from>
    <xdr:to>
      <xdr:col>6</xdr:col>
      <xdr:colOff>285750</xdr:colOff>
      <xdr:row>73</xdr:row>
      <xdr:rowOff>0</xdr:rowOff>
    </xdr:to>
    <xdr:cxnSp macro="">
      <xdr:nvCxnSpPr>
        <xdr:cNvPr id="77" name="Straight Connector 76"/>
        <xdr:cNvCxnSpPr/>
      </xdr:nvCxnSpPr>
      <xdr:spPr>
        <a:xfrm flipH="1">
          <a:off x="3038475" y="24117300"/>
          <a:ext cx="3524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9526</xdr:colOff>
      <xdr:row>73</xdr:row>
      <xdr:rowOff>9525</xdr:rowOff>
    </xdr:from>
    <xdr:to>
      <xdr:col>5</xdr:col>
      <xdr:colOff>513526</xdr:colOff>
      <xdr:row>78</xdr:row>
      <xdr:rowOff>180450</xdr:rowOff>
    </xdr:to>
    <xdr:sp macro="" textlink="">
      <xdr:nvSpPr>
        <xdr:cNvPr id="83" name="Freeform 82"/>
        <xdr:cNvSpPr/>
      </xdr:nvSpPr>
      <xdr:spPr>
        <a:xfrm>
          <a:off x="2600326" y="24126825"/>
          <a:ext cx="504000" cy="1123425"/>
        </a:xfrm>
        <a:custGeom>
          <a:avLst/>
          <a:gdLst>
            <a:gd name="connsiteX0" fmla="*/ 657225 w 657225"/>
            <a:gd name="connsiteY0" fmla="*/ 0 h 1047750"/>
            <a:gd name="connsiteX1" fmla="*/ 657225 w 657225"/>
            <a:gd name="connsiteY1" fmla="*/ 457200 h 1047750"/>
            <a:gd name="connsiteX2" fmla="*/ 514350 w 657225"/>
            <a:gd name="connsiteY2" fmla="*/ 771525 h 1047750"/>
            <a:gd name="connsiteX3" fmla="*/ 0 w 657225"/>
            <a:gd name="connsiteY3" fmla="*/ 1047750 h 1047750"/>
            <a:gd name="connsiteX0" fmla="*/ 657225 w 657225"/>
            <a:gd name="connsiteY0" fmla="*/ 0 h 1047750"/>
            <a:gd name="connsiteX1" fmla="*/ 657225 w 657225"/>
            <a:gd name="connsiteY1" fmla="*/ 457200 h 1047750"/>
            <a:gd name="connsiteX2" fmla="*/ 161925 w 657225"/>
            <a:gd name="connsiteY2" fmla="*/ 457200 h 1047750"/>
            <a:gd name="connsiteX3" fmla="*/ 0 w 657225"/>
            <a:gd name="connsiteY3" fmla="*/ 1047750 h 1047750"/>
            <a:gd name="connsiteX0" fmla="*/ 657225 w 657225"/>
            <a:gd name="connsiteY0" fmla="*/ 0 h 1047750"/>
            <a:gd name="connsiteX1" fmla="*/ 657225 w 657225"/>
            <a:gd name="connsiteY1" fmla="*/ 457200 h 1047750"/>
            <a:gd name="connsiteX2" fmla="*/ 409575 w 657225"/>
            <a:gd name="connsiteY2" fmla="*/ 752475 h 1047750"/>
            <a:gd name="connsiteX3" fmla="*/ 0 w 657225"/>
            <a:gd name="connsiteY3" fmla="*/ 1047750 h 1047750"/>
            <a:gd name="connsiteX0" fmla="*/ 657225 w 657225"/>
            <a:gd name="connsiteY0" fmla="*/ 0 h 1047750"/>
            <a:gd name="connsiteX1" fmla="*/ 657225 w 657225"/>
            <a:gd name="connsiteY1" fmla="*/ 457200 h 1047750"/>
            <a:gd name="connsiteX2" fmla="*/ 0 w 657225"/>
            <a:gd name="connsiteY2" fmla="*/ 1047750 h 1047750"/>
            <a:gd name="connsiteX0" fmla="*/ 657225 w 657225"/>
            <a:gd name="connsiteY0" fmla="*/ 0 h 1047750"/>
            <a:gd name="connsiteX1" fmla="*/ 657225 w 657225"/>
            <a:gd name="connsiteY1" fmla="*/ 457200 h 1047750"/>
            <a:gd name="connsiteX2" fmla="*/ 352425 w 657225"/>
            <a:gd name="connsiteY2" fmla="*/ 742950 h 1047750"/>
            <a:gd name="connsiteX3" fmla="*/ 0 w 657225"/>
            <a:gd name="connsiteY3" fmla="*/ 1047750 h 1047750"/>
            <a:gd name="connsiteX0" fmla="*/ 657225 w 657225"/>
            <a:gd name="connsiteY0" fmla="*/ 0 h 1047750"/>
            <a:gd name="connsiteX1" fmla="*/ 657225 w 657225"/>
            <a:gd name="connsiteY1" fmla="*/ 457200 h 1047750"/>
            <a:gd name="connsiteX2" fmla="*/ 447675 w 657225"/>
            <a:gd name="connsiteY2" fmla="*/ 800100 h 1047750"/>
            <a:gd name="connsiteX3" fmla="*/ 0 w 657225"/>
            <a:gd name="connsiteY3" fmla="*/ 1047750 h 1047750"/>
            <a:gd name="connsiteX0" fmla="*/ 657225 w 657225"/>
            <a:gd name="connsiteY0" fmla="*/ 0 h 1047750"/>
            <a:gd name="connsiteX1" fmla="*/ 657225 w 657225"/>
            <a:gd name="connsiteY1" fmla="*/ 457200 h 1047750"/>
            <a:gd name="connsiteX2" fmla="*/ 476250 w 657225"/>
            <a:gd name="connsiteY2" fmla="*/ 819150 h 1047750"/>
            <a:gd name="connsiteX3" fmla="*/ 0 w 657225"/>
            <a:gd name="connsiteY3" fmla="*/ 1047750 h 1047750"/>
            <a:gd name="connsiteX0" fmla="*/ 657225 w 657225"/>
            <a:gd name="connsiteY0" fmla="*/ 0 h 1047750"/>
            <a:gd name="connsiteX1" fmla="*/ 657225 w 657225"/>
            <a:gd name="connsiteY1" fmla="*/ 457200 h 1047750"/>
            <a:gd name="connsiteX2" fmla="*/ 476250 w 657225"/>
            <a:gd name="connsiteY2" fmla="*/ 819150 h 1047750"/>
            <a:gd name="connsiteX3" fmla="*/ 0 w 657225"/>
            <a:gd name="connsiteY3" fmla="*/ 1047750 h 1047750"/>
            <a:gd name="connsiteX0" fmla="*/ 657225 w 657225"/>
            <a:gd name="connsiteY0" fmla="*/ 0 h 1047750"/>
            <a:gd name="connsiteX1" fmla="*/ 657225 w 657225"/>
            <a:gd name="connsiteY1" fmla="*/ 457200 h 1047750"/>
            <a:gd name="connsiteX2" fmla="*/ 476250 w 657225"/>
            <a:gd name="connsiteY2" fmla="*/ 790575 h 1047750"/>
            <a:gd name="connsiteX3" fmla="*/ 0 w 657225"/>
            <a:gd name="connsiteY3" fmla="*/ 1047750 h 1047750"/>
            <a:gd name="connsiteX0" fmla="*/ 657225 w 657225"/>
            <a:gd name="connsiteY0" fmla="*/ 0 h 1047750"/>
            <a:gd name="connsiteX1" fmla="*/ 657225 w 657225"/>
            <a:gd name="connsiteY1" fmla="*/ 379233 h 1047750"/>
            <a:gd name="connsiteX2" fmla="*/ 476250 w 657225"/>
            <a:gd name="connsiteY2" fmla="*/ 790575 h 1047750"/>
            <a:gd name="connsiteX3" fmla="*/ 0 w 657225"/>
            <a:gd name="connsiteY3" fmla="*/ 1047750 h 1047750"/>
            <a:gd name="connsiteX0" fmla="*/ 657225 w 657225"/>
            <a:gd name="connsiteY0" fmla="*/ 0 h 1004435"/>
            <a:gd name="connsiteX1" fmla="*/ 657225 w 657225"/>
            <a:gd name="connsiteY1" fmla="*/ 335918 h 1004435"/>
            <a:gd name="connsiteX2" fmla="*/ 476250 w 657225"/>
            <a:gd name="connsiteY2" fmla="*/ 747260 h 1004435"/>
            <a:gd name="connsiteX3" fmla="*/ 0 w 657225"/>
            <a:gd name="connsiteY3" fmla="*/ 1004435 h 1004435"/>
            <a:gd name="connsiteX0" fmla="*/ 657225 w 657225"/>
            <a:gd name="connsiteY0" fmla="*/ 0 h 1021761"/>
            <a:gd name="connsiteX1" fmla="*/ 657225 w 657225"/>
            <a:gd name="connsiteY1" fmla="*/ 353244 h 1021761"/>
            <a:gd name="connsiteX2" fmla="*/ 476250 w 657225"/>
            <a:gd name="connsiteY2" fmla="*/ 764586 h 1021761"/>
            <a:gd name="connsiteX3" fmla="*/ 0 w 657225"/>
            <a:gd name="connsiteY3" fmla="*/ 1021761 h 1021761"/>
          </a:gdLst>
          <a:ahLst/>
          <a:cxnLst>
            <a:cxn ang="0">
              <a:pos x="connsiteX0" y="connsiteY0"/>
            </a:cxn>
            <a:cxn ang="0">
              <a:pos x="connsiteX1" y="connsiteY1"/>
            </a:cxn>
            <a:cxn ang="0">
              <a:pos x="connsiteX2" y="connsiteY2"/>
            </a:cxn>
            <a:cxn ang="0">
              <a:pos x="connsiteX3" y="connsiteY3"/>
            </a:cxn>
          </a:cxnLst>
          <a:rect l="l" t="t" r="r" b="b"/>
          <a:pathLst>
            <a:path w="657225" h="1021761">
              <a:moveTo>
                <a:pt x="657225" y="0"/>
              </a:moveTo>
              <a:lnTo>
                <a:pt x="657225" y="353244"/>
              </a:lnTo>
              <a:cubicBezTo>
                <a:pt x="627063" y="489769"/>
                <a:pt x="585787" y="653167"/>
                <a:pt x="476250" y="764586"/>
              </a:cubicBezTo>
              <a:cubicBezTo>
                <a:pt x="366713" y="876005"/>
                <a:pt x="158750" y="945561"/>
                <a:pt x="0" y="1021761"/>
              </a:cubicBez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409575</xdr:colOff>
      <xdr:row>49</xdr:row>
      <xdr:rowOff>38100</xdr:rowOff>
    </xdr:from>
    <xdr:to>
      <xdr:col>3</xdr:col>
      <xdr:colOff>0</xdr:colOff>
      <xdr:row>51</xdr:row>
      <xdr:rowOff>0</xdr:rowOff>
    </xdr:to>
    <xdr:sp macro="" textlink="">
      <xdr:nvSpPr>
        <xdr:cNvPr id="79" name="Left Brace 78"/>
        <xdr:cNvSpPr/>
      </xdr:nvSpPr>
      <xdr:spPr>
        <a:xfrm>
          <a:off x="1438275" y="9296400"/>
          <a:ext cx="104775" cy="371475"/>
        </a:xfrm>
        <a:prstGeom prst="leftBrace">
          <a:avLst>
            <a:gd name="adj1" fmla="val 17708"/>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383894</xdr:colOff>
      <xdr:row>54</xdr:row>
      <xdr:rowOff>203</xdr:rowOff>
    </xdr:from>
    <xdr:to>
      <xdr:col>3</xdr:col>
      <xdr:colOff>409857</xdr:colOff>
      <xdr:row>61</xdr:row>
      <xdr:rowOff>187413</xdr:rowOff>
    </xdr:to>
    <xdr:grpSp>
      <xdr:nvGrpSpPr>
        <xdr:cNvPr id="104" name="Group 103"/>
        <xdr:cNvGrpSpPr/>
      </xdr:nvGrpSpPr>
      <xdr:grpSpPr>
        <a:xfrm>
          <a:off x="898244" y="10363403"/>
          <a:ext cx="1054663" cy="1520710"/>
          <a:chOff x="1000125" y="6667500"/>
          <a:chExt cx="1076325" cy="1714500"/>
        </a:xfrm>
      </xdr:grpSpPr>
      <xdr:sp macro="" textlink="">
        <xdr:nvSpPr>
          <xdr:cNvPr id="105" name="Freeform 104"/>
          <xdr:cNvSpPr/>
        </xdr:nvSpPr>
        <xdr:spPr>
          <a:xfrm>
            <a:off x="1000125"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6" name="Freeform 105"/>
          <xdr:cNvSpPr/>
        </xdr:nvSpPr>
        <xdr:spPr>
          <a:xfrm flipH="1">
            <a:off x="1524000"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3</xdr:col>
      <xdr:colOff>303768</xdr:colOff>
      <xdr:row>54</xdr:row>
      <xdr:rowOff>203</xdr:rowOff>
    </xdr:from>
    <xdr:to>
      <xdr:col>4</xdr:col>
      <xdr:colOff>288667</xdr:colOff>
      <xdr:row>54</xdr:row>
      <xdr:rowOff>203</xdr:rowOff>
    </xdr:to>
    <xdr:cxnSp macro="">
      <xdr:nvCxnSpPr>
        <xdr:cNvPr id="107" name="Straight Connector 106"/>
        <xdr:cNvCxnSpPr/>
      </xdr:nvCxnSpPr>
      <xdr:spPr>
        <a:xfrm>
          <a:off x="1846818" y="6477203"/>
          <a:ext cx="499249"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132971</xdr:colOff>
      <xdr:row>61</xdr:row>
      <xdr:rowOff>187411</xdr:rowOff>
    </xdr:from>
    <xdr:to>
      <xdr:col>5</xdr:col>
      <xdr:colOff>104775</xdr:colOff>
      <xdr:row>61</xdr:row>
      <xdr:rowOff>187411</xdr:rowOff>
    </xdr:to>
    <xdr:cxnSp macro="">
      <xdr:nvCxnSpPr>
        <xdr:cNvPr id="108" name="Straight Connector 107"/>
        <xdr:cNvCxnSpPr/>
      </xdr:nvCxnSpPr>
      <xdr:spPr>
        <a:xfrm>
          <a:off x="1676021" y="7997911"/>
          <a:ext cx="1000504"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4229</xdr:colOff>
      <xdr:row>54</xdr:row>
      <xdr:rowOff>22675</xdr:rowOff>
    </xdr:from>
    <xdr:to>
      <xdr:col>5</xdr:col>
      <xdr:colOff>4229</xdr:colOff>
      <xdr:row>61</xdr:row>
      <xdr:rowOff>189770</xdr:rowOff>
    </xdr:to>
    <xdr:cxnSp macro="">
      <xdr:nvCxnSpPr>
        <xdr:cNvPr id="109" name="Straight Connector 108"/>
        <xdr:cNvCxnSpPr/>
      </xdr:nvCxnSpPr>
      <xdr:spPr>
        <a:xfrm>
          <a:off x="2575979" y="6499675"/>
          <a:ext cx="0" cy="1500595"/>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325774</xdr:colOff>
      <xdr:row>61</xdr:row>
      <xdr:rowOff>22606</xdr:rowOff>
    </xdr:from>
    <xdr:to>
      <xdr:col>4</xdr:col>
      <xdr:colOff>47290</xdr:colOff>
      <xdr:row>61</xdr:row>
      <xdr:rowOff>22606</xdr:rowOff>
    </xdr:to>
    <xdr:cxnSp macro="">
      <xdr:nvCxnSpPr>
        <xdr:cNvPr id="110" name="Straight Connector 109"/>
        <xdr:cNvCxnSpPr/>
      </xdr:nvCxnSpPr>
      <xdr:spPr>
        <a:xfrm>
          <a:off x="1868824" y="7833106"/>
          <a:ext cx="235866"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316249</xdr:colOff>
      <xdr:row>54</xdr:row>
      <xdr:rowOff>172499</xdr:rowOff>
    </xdr:from>
    <xdr:to>
      <xdr:col>4</xdr:col>
      <xdr:colOff>37765</xdr:colOff>
      <xdr:row>54</xdr:row>
      <xdr:rowOff>172499</xdr:rowOff>
    </xdr:to>
    <xdr:cxnSp macro="">
      <xdr:nvCxnSpPr>
        <xdr:cNvPr id="111" name="Straight Connector 110"/>
        <xdr:cNvCxnSpPr/>
      </xdr:nvCxnSpPr>
      <xdr:spPr>
        <a:xfrm>
          <a:off x="1859299" y="6649499"/>
          <a:ext cx="235866"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316249</xdr:colOff>
      <xdr:row>55</xdr:row>
      <xdr:rowOff>154297</xdr:rowOff>
    </xdr:from>
    <xdr:to>
      <xdr:col>4</xdr:col>
      <xdr:colOff>37765</xdr:colOff>
      <xdr:row>55</xdr:row>
      <xdr:rowOff>154297</xdr:rowOff>
    </xdr:to>
    <xdr:cxnSp macro="">
      <xdr:nvCxnSpPr>
        <xdr:cNvPr id="112" name="Straight Connector 111"/>
        <xdr:cNvCxnSpPr/>
      </xdr:nvCxnSpPr>
      <xdr:spPr>
        <a:xfrm>
          <a:off x="1859299" y="6821797"/>
          <a:ext cx="235866"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344824</xdr:colOff>
      <xdr:row>60</xdr:row>
      <xdr:rowOff>33317</xdr:rowOff>
    </xdr:from>
    <xdr:to>
      <xdr:col>4</xdr:col>
      <xdr:colOff>66340</xdr:colOff>
      <xdr:row>60</xdr:row>
      <xdr:rowOff>33317</xdr:rowOff>
    </xdr:to>
    <xdr:cxnSp macro="">
      <xdr:nvCxnSpPr>
        <xdr:cNvPr id="113" name="Straight Connector 112"/>
        <xdr:cNvCxnSpPr/>
      </xdr:nvCxnSpPr>
      <xdr:spPr>
        <a:xfrm>
          <a:off x="1887874" y="7653317"/>
          <a:ext cx="235866"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509708</xdr:colOff>
      <xdr:row>54</xdr:row>
      <xdr:rowOff>172498</xdr:rowOff>
    </xdr:from>
    <xdr:to>
      <xdr:col>3</xdr:col>
      <xdr:colOff>509708</xdr:colOff>
      <xdr:row>55</xdr:row>
      <xdr:rowOff>151877</xdr:rowOff>
    </xdr:to>
    <xdr:cxnSp macro="">
      <xdr:nvCxnSpPr>
        <xdr:cNvPr id="114" name="Straight Connector 113"/>
        <xdr:cNvCxnSpPr/>
      </xdr:nvCxnSpPr>
      <xdr:spPr>
        <a:xfrm>
          <a:off x="2052758" y="6649498"/>
          <a:ext cx="0" cy="169879"/>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509708</xdr:colOff>
      <xdr:row>53</xdr:row>
      <xdr:rowOff>183210</xdr:rowOff>
    </xdr:from>
    <xdr:to>
      <xdr:col>3</xdr:col>
      <xdr:colOff>509708</xdr:colOff>
      <xdr:row>54</xdr:row>
      <xdr:rowOff>172499</xdr:rowOff>
    </xdr:to>
    <xdr:cxnSp macro="">
      <xdr:nvCxnSpPr>
        <xdr:cNvPr id="115" name="Straight Connector 114"/>
        <xdr:cNvCxnSpPr/>
      </xdr:nvCxnSpPr>
      <xdr:spPr>
        <a:xfrm>
          <a:off x="2052758" y="6469710"/>
          <a:ext cx="0" cy="179789"/>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1926</xdr:colOff>
      <xdr:row>60</xdr:row>
      <xdr:rowOff>40808</xdr:rowOff>
    </xdr:from>
    <xdr:to>
      <xdr:col>4</xdr:col>
      <xdr:colOff>1926</xdr:colOff>
      <xdr:row>61</xdr:row>
      <xdr:rowOff>20187</xdr:rowOff>
    </xdr:to>
    <xdr:cxnSp macro="">
      <xdr:nvCxnSpPr>
        <xdr:cNvPr id="116" name="Straight Connector 115"/>
        <xdr:cNvCxnSpPr/>
      </xdr:nvCxnSpPr>
      <xdr:spPr>
        <a:xfrm>
          <a:off x="2059326" y="7660808"/>
          <a:ext cx="0" cy="169879"/>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1926</xdr:colOff>
      <xdr:row>61</xdr:row>
      <xdr:rowOff>30097</xdr:rowOff>
    </xdr:from>
    <xdr:to>
      <xdr:col>4</xdr:col>
      <xdr:colOff>1926</xdr:colOff>
      <xdr:row>61</xdr:row>
      <xdr:rowOff>171662</xdr:rowOff>
    </xdr:to>
    <xdr:cxnSp macro="">
      <xdr:nvCxnSpPr>
        <xdr:cNvPr id="117" name="Straight Connector 116"/>
        <xdr:cNvCxnSpPr/>
      </xdr:nvCxnSpPr>
      <xdr:spPr>
        <a:xfrm>
          <a:off x="2059326" y="7840597"/>
          <a:ext cx="0" cy="141565"/>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382646</xdr:colOff>
      <xdr:row>52</xdr:row>
      <xdr:rowOff>114298</xdr:rowOff>
    </xdr:from>
    <xdr:to>
      <xdr:col>1</xdr:col>
      <xdr:colOff>382646</xdr:colOff>
      <xdr:row>54</xdr:row>
      <xdr:rowOff>57298</xdr:rowOff>
    </xdr:to>
    <xdr:cxnSp macro="">
      <xdr:nvCxnSpPr>
        <xdr:cNvPr id="118" name="Straight Connector 117"/>
        <xdr:cNvCxnSpPr/>
      </xdr:nvCxnSpPr>
      <xdr:spPr>
        <a:xfrm>
          <a:off x="896996" y="6210298"/>
          <a:ext cx="0" cy="32400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408609</xdr:colOff>
      <xdr:row>52</xdr:row>
      <xdr:rowOff>125213</xdr:rowOff>
    </xdr:from>
    <xdr:to>
      <xdr:col>3</xdr:col>
      <xdr:colOff>408609</xdr:colOff>
      <xdr:row>54</xdr:row>
      <xdr:rowOff>32213</xdr:rowOff>
    </xdr:to>
    <xdr:cxnSp macro="">
      <xdr:nvCxnSpPr>
        <xdr:cNvPr id="119" name="Straight Connector 118"/>
        <xdr:cNvCxnSpPr/>
      </xdr:nvCxnSpPr>
      <xdr:spPr>
        <a:xfrm>
          <a:off x="1951659" y="6221213"/>
          <a:ext cx="0" cy="28800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393420</xdr:colOff>
      <xdr:row>52</xdr:row>
      <xdr:rowOff>187177</xdr:rowOff>
    </xdr:from>
    <xdr:to>
      <xdr:col>3</xdr:col>
      <xdr:colOff>402528</xdr:colOff>
      <xdr:row>52</xdr:row>
      <xdr:rowOff>187177</xdr:rowOff>
    </xdr:to>
    <xdr:cxnSp macro="">
      <xdr:nvCxnSpPr>
        <xdr:cNvPr id="120" name="Straight Connector 119"/>
        <xdr:cNvCxnSpPr/>
      </xdr:nvCxnSpPr>
      <xdr:spPr>
        <a:xfrm flipV="1">
          <a:off x="907770" y="6283177"/>
          <a:ext cx="1037808"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75485</xdr:colOff>
      <xdr:row>63</xdr:row>
      <xdr:rowOff>4623</xdr:rowOff>
    </xdr:from>
    <xdr:to>
      <xdr:col>3</xdr:col>
      <xdr:colOff>216399</xdr:colOff>
      <xdr:row>63</xdr:row>
      <xdr:rowOff>4623</xdr:rowOff>
    </xdr:to>
    <xdr:cxnSp macro="">
      <xdr:nvCxnSpPr>
        <xdr:cNvPr id="121" name="Straight Connector 120"/>
        <xdr:cNvCxnSpPr/>
      </xdr:nvCxnSpPr>
      <xdr:spPr>
        <a:xfrm>
          <a:off x="1104185" y="8196123"/>
          <a:ext cx="655264"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67996</xdr:colOff>
      <xdr:row>61</xdr:row>
      <xdr:rowOff>142465</xdr:rowOff>
    </xdr:from>
    <xdr:to>
      <xdr:col>2</xdr:col>
      <xdr:colOff>67996</xdr:colOff>
      <xdr:row>63</xdr:row>
      <xdr:rowOff>91949</xdr:rowOff>
    </xdr:to>
    <xdr:cxnSp macro="">
      <xdr:nvCxnSpPr>
        <xdr:cNvPr id="122" name="Straight Connector 121"/>
        <xdr:cNvCxnSpPr/>
      </xdr:nvCxnSpPr>
      <xdr:spPr>
        <a:xfrm>
          <a:off x="1096696" y="7952965"/>
          <a:ext cx="0" cy="330484"/>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215150</xdr:colOff>
      <xdr:row>61</xdr:row>
      <xdr:rowOff>134973</xdr:rowOff>
    </xdr:from>
    <xdr:to>
      <xdr:col>3</xdr:col>
      <xdr:colOff>215150</xdr:colOff>
      <xdr:row>63</xdr:row>
      <xdr:rowOff>84457</xdr:rowOff>
    </xdr:to>
    <xdr:cxnSp macro="">
      <xdr:nvCxnSpPr>
        <xdr:cNvPr id="123" name="Straight Connector 122"/>
        <xdr:cNvCxnSpPr/>
      </xdr:nvCxnSpPr>
      <xdr:spPr>
        <a:xfrm>
          <a:off x="1758200" y="7945473"/>
          <a:ext cx="0" cy="330484"/>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275185</xdr:colOff>
      <xdr:row>58</xdr:row>
      <xdr:rowOff>269</xdr:rowOff>
    </xdr:from>
    <xdr:to>
      <xdr:col>2</xdr:col>
      <xdr:colOff>511051</xdr:colOff>
      <xdr:row>58</xdr:row>
      <xdr:rowOff>269</xdr:rowOff>
    </xdr:to>
    <xdr:cxnSp macro="">
      <xdr:nvCxnSpPr>
        <xdr:cNvPr id="124" name="Straight Connector 123"/>
        <xdr:cNvCxnSpPr/>
      </xdr:nvCxnSpPr>
      <xdr:spPr>
        <a:xfrm>
          <a:off x="1303885" y="7239269"/>
          <a:ext cx="235866"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383894</xdr:colOff>
      <xdr:row>54</xdr:row>
      <xdr:rowOff>172499</xdr:rowOff>
    </xdr:from>
    <xdr:to>
      <xdr:col>2</xdr:col>
      <xdr:colOff>270515</xdr:colOff>
      <xdr:row>54</xdr:row>
      <xdr:rowOff>172499</xdr:rowOff>
    </xdr:to>
    <xdr:cxnSp macro="">
      <xdr:nvCxnSpPr>
        <xdr:cNvPr id="141" name="Straight Connector 140"/>
        <xdr:cNvCxnSpPr/>
      </xdr:nvCxnSpPr>
      <xdr:spPr>
        <a:xfrm>
          <a:off x="898244" y="6649499"/>
          <a:ext cx="400971" cy="0"/>
        </a:xfrm>
        <a:prstGeom prst="line">
          <a:avLst/>
        </a:prstGeom>
        <a:ln w="63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69244</xdr:colOff>
      <xdr:row>61</xdr:row>
      <xdr:rowOff>34384</xdr:rowOff>
    </xdr:from>
    <xdr:to>
      <xdr:col>2</xdr:col>
      <xdr:colOff>281425</xdr:colOff>
      <xdr:row>61</xdr:row>
      <xdr:rowOff>34384</xdr:rowOff>
    </xdr:to>
    <xdr:cxnSp macro="">
      <xdr:nvCxnSpPr>
        <xdr:cNvPr id="142" name="Straight Connector 141"/>
        <xdr:cNvCxnSpPr/>
      </xdr:nvCxnSpPr>
      <xdr:spPr>
        <a:xfrm>
          <a:off x="1097944" y="7844884"/>
          <a:ext cx="212181" cy="0"/>
        </a:xfrm>
        <a:prstGeom prst="line">
          <a:avLst/>
        </a:prstGeom>
        <a:ln w="63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4218</xdr:colOff>
      <xdr:row>54</xdr:row>
      <xdr:rowOff>15185</xdr:rowOff>
    </xdr:from>
    <xdr:to>
      <xdr:col>3</xdr:col>
      <xdr:colOff>4218</xdr:colOff>
      <xdr:row>55</xdr:row>
      <xdr:rowOff>136129</xdr:rowOff>
    </xdr:to>
    <xdr:cxnSp macro="">
      <xdr:nvCxnSpPr>
        <xdr:cNvPr id="143" name="Straight Connector 142"/>
        <xdr:cNvCxnSpPr/>
      </xdr:nvCxnSpPr>
      <xdr:spPr>
        <a:xfrm flipV="1">
          <a:off x="1547268" y="6492185"/>
          <a:ext cx="0" cy="311444"/>
        </a:xfrm>
        <a:prstGeom prst="line">
          <a:avLst/>
        </a:prstGeom>
        <a:ln w="63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275185</xdr:colOff>
      <xdr:row>54</xdr:row>
      <xdr:rowOff>7693</xdr:rowOff>
    </xdr:from>
    <xdr:to>
      <xdr:col>2</xdr:col>
      <xdr:colOff>275185</xdr:colOff>
      <xdr:row>55</xdr:row>
      <xdr:rowOff>128637</xdr:rowOff>
    </xdr:to>
    <xdr:cxnSp macro="">
      <xdr:nvCxnSpPr>
        <xdr:cNvPr id="144" name="Straight Connector 143"/>
        <xdr:cNvCxnSpPr/>
      </xdr:nvCxnSpPr>
      <xdr:spPr>
        <a:xfrm flipV="1">
          <a:off x="1303885" y="6484693"/>
          <a:ext cx="0" cy="311444"/>
        </a:xfrm>
        <a:prstGeom prst="line">
          <a:avLst/>
        </a:prstGeom>
        <a:ln w="63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10458</xdr:colOff>
      <xdr:row>54</xdr:row>
      <xdr:rowOff>172499</xdr:rowOff>
    </xdr:from>
    <xdr:to>
      <xdr:col>3</xdr:col>
      <xdr:colOff>411429</xdr:colOff>
      <xdr:row>54</xdr:row>
      <xdr:rowOff>172499</xdr:rowOff>
    </xdr:to>
    <xdr:cxnSp macro="">
      <xdr:nvCxnSpPr>
        <xdr:cNvPr id="145" name="Straight Connector 144"/>
        <xdr:cNvCxnSpPr/>
      </xdr:nvCxnSpPr>
      <xdr:spPr>
        <a:xfrm>
          <a:off x="1553508" y="6649499"/>
          <a:ext cx="400971" cy="0"/>
        </a:xfrm>
        <a:prstGeom prst="line">
          <a:avLst/>
        </a:prstGeom>
        <a:ln w="63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275185</xdr:colOff>
      <xdr:row>59</xdr:row>
      <xdr:rowOff>171379</xdr:rowOff>
    </xdr:from>
    <xdr:to>
      <xdr:col>2</xdr:col>
      <xdr:colOff>275185</xdr:colOff>
      <xdr:row>61</xdr:row>
      <xdr:rowOff>186763</xdr:rowOff>
    </xdr:to>
    <xdr:cxnSp macro="">
      <xdr:nvCxnSpPr>
        <xdr:cNvPr id="146" name="Straight Connector 145"/>
        <xdr:cNvCxnSpPr/>
      </xdr:nvCxnSpPr>
      <xdr:spPr>
        <a:xfrm flipV="1">
          <a:off x="1303885" y="7600879"/>
          <a:ext cx="0" cy="396384"/>
        </a:xfrm>
        <a:prstGeom prst="line">
          <a:avLst/>
        </a:prstGeom>
        <a:ln w="63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4218</xdr:colOff>
      <xdr:row>59</xdr:row>
      <xdr:rowOff>163888</xdr:rowOff>
    </xdr:from>
    <xdr:to>
      <xdr:col>3</xdr:col>
      <xdr:colOff>4218</xdr:colOff>
      <xdr:row>61</xdr:row>
      <xdr:rowOff>179272</xdr:rowOff>
    </xdr:to>
    <xdr:cxnSp macro="">
      <xdr:nvCxnSpPr>
        <xdr:cNvPr id="147" name="Straight Connector 146"/>
        <xdr:cNvCxnSpPr/>
      </xdr:nvCxnSpPr>
      <xdr:spPr>
        <a:xfrm flipV="1">
          <a:off x="1547268" y="7593388"/>
          <a:ext cx="0" cy="396384"/>
        </a:xfrm>
        <a:prstGeom prst="line">
          <a:avLst/>
        </a:prstGeom>
        <a:ln w="63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4218</xdr:colOff>
      <xdr:row>61</xdr:row>
      <xdr:rowOff>34384</xdr:rowOff>
    </xdr:from>
    <xdr:to>
      <xdr:col>3</xdr:col>
      <xdr:colOff>216399</xdr:colOff>
      <xdr:row>61</xdr:row>
      <xdr:rowOff>34384</xdr:rowOff>
    </xdr:to>
    <xdr:cxnSp macro="">
      <xdr:nvCxnSpPr>
        <xdr:cNvPr id="148" name="Straight Connector 147"/>
        <xdr:cNvCxnSpPr/>
      </xdr:nvCxnSpPr>
      <xdr:spPr>
        <a:xfrm>
          <a:off x="1547268" y="7844884"/>
          <a:ext cx="212181" cy="0"/>
        </a:xfrm>
        <a:prstGeom prst="line">
          <a:avLst/>
        </a:prstGeom>
        <a:ln w="63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502467</xdr:colOff>
      <xdr:row>54</xdr:row>
      <xdr:rowOff>37659</xdr:rowOff>
    </xdr:from>
    <xdr:to>
      <xdr:col>2</xdr:col>
      <xdr:colOff>75486</xdr:colOff>
      <xdr:row>54</xdr:row>
      <xdr:rowOff>142536</xdr:rowOff>
    </xdr:to>
    <xdr:sp macro="" textlink="">
      <xdr:nvSpPr>
        <xdr:cNvPr id="153" name="TextBox 152"/>
        <xdr:cNvSpPr txBox="1"/>
      </xdr:nvSpPr>
      <xdr:spPr>
        <a:xfrm>
          <a:off x="1016817" y="6514659"/>
          <a:ext cx="87369" cy="104877"/>
        </a:xfrm>
        <a:prstGeom prst="rect">
          <a:avLst/>
        </a:prstGeom>
        <a:noFill/>
        <a:ln>
          <a:solidFill>
            <a:schemeClr val="accent1">
              <a:shade val="95000"/>
              <a:satMod val="10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1">
          <a:noAutofit/>
        </a:bodyPr>
        <a:lstStyle/>
        <a:p>
          <a:r>
            <a:rPr lang="en-IN" sz="1000">
              <a:latin typeface="Garamond" pitchFamily="18" charset="0"/>
            </a:rPr>
            <a:t>1</a:t>
          </a:r>
        </a:p>
      </xdr:txBody>
    </xdr:sp>
    <xdr:clientData/>
  </xdr:twoCellAnchor>
  <xdr:twoCellAnchor>
    <xdr:from>
      <xdr:col>2</xdr:col>
      <xdr:colOff>144132</xdr:colOff>
      <xdr:row>55</xdr:row>
      <xdr:rowOff>4474</xdr:rowOff>
    </xdr:from>
    <xdr:to>
      <xdr:col>2</xdr:col>
      <xdr:colOff>231501</xdr:colOff>
      <xdr:row>55</xdr:row>
      <xdr:rowOff>109351</xdr:rowOff>
    </xdr:to>
    <xdr:sp macro="" textlink="">
      <xdr:nvSpPr>
        <xdr:cNvPr id="154" name="TextBox 153"/>
        <xdr:cNvSpPr txBox="1"/>
      </xdr:nvSpPr>
      <xdr:spPr>
        <a:xfrm>
          <a:off x="1172832" y="6671974"/>
          <a:ext cx="87369" cy="104877"/>
        </a:xfrm>
        <a:prstGeom prst="rect">
          <a:avLst/>
        </a:prstGeom>
        <a:noFill/>
        <a:ln>
          <a:solidFill>
            <a:schemeClr val="accent1">
              <a:shade val="95000"/>
              <a:satMod val="10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1">
          <a:noAutofit/>
        </a:bodyPr>
        <a:lstStyle/>
        <a:p>
          <a:r>
            <a:rPr lang="en-IN" sz="1000">
              <a:latin typeface="Garamond" pitchFamily="18" charset="0"/>
            </a:rPr>
            <a:t>2</a:t>
          </a:r>
        </a:p>
      </xdr:txBody>
    </xdr:sp>
    <xdr:clientData/>
  </xdr:twoCellAnchor>
  <xdr:twoCellAnchor>
    <xdr:from>
      <xdr:col>2</xdr:col>
      <xdr:colOff>343831</xdr:colOff>
      <xdr:row>55</xdr:row>
      <xdr:rowOff>169280</xdr:rowOff>
    </xdr:from>
    <xdr:to>
      <xdr:col>2</xdr:col>
      <xdr:colOff>431200</xdr:colOff>
      <xdr:row>56</xdr:row>
      <xdr:rowOff>83657</xdr:rowOff>
    </xdr:to>
    <xdr:sp macro="" textlink="">
      <xdr:nvSpPr>
        <xdr:cNvPr id="155" name="TextBox 154"/>
        <xdr:cNvSpPr txBox="1"/>
      </xdr:nvSpPr>
      <xdr:spPr>
        <a:xfrm>
          <a:off x="1372531" y="6836780"/>
          <a:ext cx="87369" cy="104877"/>
        </a:xfrm>
        <a:prstGeom prst="rect">
          <a:avLst/>
        </a:prstGeom>
        <a:noFill/>
        <a:ln>
          <a:solidFill>
            <a:schemeClr val="accent1">
              <a:shade val="95000"/>
              <a:satMod val="10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1">
          <a:noAutofit/>
        </a:bodyPr>
        <a:lstStyle/>
        <a:p>
          <a:r>
            <a:rPr lang="en-IN" sz="1000">
              <a:latin typeface="Garamond" pitchFamily="18" charset="0"/>
            </a:rPr>
            <a:t>3</a:t>
          </a:r>
        </a:p>
      </xdr:txBody>
    </xdr:sp>
    <xdr:clientData/>
  </xdr:twoCellAnchor>
  <xdr:twoCellAnchor>
    <xdr:from>
      <xdr:col>2</xdr:col>
      <xdr:colOff>137891</xdr:colOff>
      <xdr:row>61</xdr:row>
      <xdr:rowOff>60063</xdr:rowOff>
    </xdr:from>
    <xdr:to>
      <xdr:col>2</xdr:col>
      <xdr:colOff>225260</xdr:colOff>
      <xdr:row>61</xdr:row>
      <xdr:rowOff>164940</xdr:rowOff>
    </xdr:to>
    <xdr:sp macro="" textlink="">
      <xdr:nvSpPr>
        <xdr:cNvPr id="156" name="TextBox 155"/>
        <xdr:cNvSpPr txBox="1"/>
      </xdr:nvSpPr>
      <xdr:spPr>
        <a:xfrm>
          <a:off x="1166591" y="7870563"/>
          <a:ext cx="87369" cy="104877"/>
        </a:xfrm>
        <a:prstGeom prst="rect">
          <a:avLst/>
        </a:prstGeom>
        <a:noFill/>
        <a:ln>
          <a:solidFill>
            <a:schemeClr val="accent1">
              <a:shade val="95000"/>
              <a:satMod val="10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1">
          <a:noAutofit/>
        </a:bodyPr>
        <a:lstStyle/>
        <a:p>
          <a:r>
            <a:rPr lang="en-IN" sz="1000">
              <a:latin typeface="Garamond" pitchFamily="18" charset="0"/>
            </a:rPr>
            <a:t>5</a:t>
          </a:r>
        </a:p>
      </xdr:txBody>
    </xdr:sp>
    <xdr:clientData/>
  </xdr:twoCellAnchor>
  <xdr:twoCellAnchor>
    <xdr:from>
      <xdr:col>2</xdr:col>
      <xdr:colOff>144132</xdr:colOff>
      <xdr:row>60</xdr:row>
      <xdr:rowOff>78265</xdr:rowOff>
    </xdr:from>
    <xdr:to>
      <xdr:col>2</xdr:col>
      <xdr:colOff>231501</xdr:colOff>
      <xdr:row>60</xdr:row>
      <xdr:rowOff>183142</xdr:rowOff>
    </xdr:to>
    <xdr:sp macro="" textlink="">
      <xdr:nvSpPr>
        <xdr:cNvPr id="157" name="TextBox 156"/>
        <xdr:cNvSpPr txBox="1"/>
      </xdr:nvSpPr>
      <xdr:spPr>
        <a:xfrm>
          <a:off x="1172832" y="7698265"/>
          <a:ext cx="87369" cy="104877"/>
        </a:xfrm>
        <a:prstGeom prst="rect">
          <a:avLst/>
        </a:prstGeom>
        <a:noFill/>
        <a:ln>
          <a:solidFill>
            <a:schemeClr val="accent1">
              <a:shade val="95000"/>
              <a:satMod val="10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1">
          <a:noAutofit/>
        </a:bodyPr>
        <a:lstStyle/>
        <a:p>
          <a:r>
            <a:rPr lang="en-IN" sz="1000">
              <a:latin typeface="Garamond" pitchFamily="18" charset="0"/>
            </a:rPr>
            <a:t>4</a:t>
          </a:r>
        </a:p>
      </xdr:txBody>
    </xdr:sp>
    <xdr:clientData/>
  </xdr:twoCellAnchor>
  <xdr:twoCellAnchor>
    <xdr:from>
      <xdr:col>4</xdr:col>
      <xdr:colOff>155973</xdr:colOff>
      <xdr:row>54</xdr:row>
      <xdr:rowOff>203</xdr:rowOff>
    </xdr:from>
    <xdr:to>
      <xdr:col>5</xdr:col>
      <xdr:colOff>109623</xdr:colOff>
      <xdr:row>54</xdr:row>
      <xdr:rowOff>203</xdr:rowOff>
    </xdr:to>
    <xdr:cxnSp macro="">
      <xdr:nvCxnSpPr>
        <xdr:cNvPr id="172" name="Straight Connector 171"/>
        <xdr:cNvCxnSpPr/>
      </xdr:nvCxnSpPr>
      <xdr:spPr>
        <a:xfrm>
          <a:off x="2213373" y="6477203"/>
          <a:ext cx="46800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388921</xdr:colOff>
      <xdr:row>52</xdr:row>
      <xdr:rowOff>133354</xdr:rowOff>
    </xdr:from>
    <xdr:to>
      <xdr:col>11</xdr:col>
      <xdr:colOff>85725</xdr:colOff>
      <xdr:row>63</xdr:row>
      <xdr:rowOff>97278</xdr:rowOff>
    </xdr:to>
    <xdr:grpSp>
      <xdr:nvGrpSpPr>
        <xdr:cNvPr id="184" name="Group 183"/>
        <xdr:cNvGrpSpPr/>
      </xdr:nvGrpSpPr>
      <xdr:grpSpPr>
        <a:xfrm>
          <a:off x="3989371" y="10115554"/>
          <a:ext cx="1754204" cy="2059424"/>
          <a:chOff x="2741596" y="2843353"/>
          <a:chExt cx="1754204" cy="2059722"/>
        </a:xfrm>
      </xdr:grpSpPr>
      <xdr:cxnSp macro="">
        <xdr:nvCxnSpPr>
          <xdr:cNvPr id="125" name="Straight Connector 124"/>
          <xdr:cNvCxnSpPr/>
        </xdr:nvCxnSpPr>
        <xdr:spPr>
          <a:xfrm>
            <a:off x="3691418" y="3093606"/>
            <a:ext cx="794857"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26" name="Straight Connector 125"/>
          <xdr:cNvCxnSpPr/>
        </xdr:nvCxnSpPr>
        <xdr:spPr>
          <a:xfrm>
            <a:off x="3472996" y="4617028"/>
            <a:ext cx="1022804"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27" name="Straight Connector 126"/>
          <xdr:cNvCxnSpPr/>
        </xdr:nvCxnSpPr>
        <xdr:spPr>
          <a:xfrm>
            <a:off x="4411054" y="3097760"/>
            <a:ext cx="0" cy="1503272"/>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xnSp macro="">
        <xdr:nvCxnSpPr>
          <xdr:cNvPr id="128" name="Straight Connector 127"/>
          <xdr:cNvCxnSpPr/>
        </xdr:nvCxnSpPr>
        <xdr:spPr>
          <a:xfrm>
            <a:off x="3703899" y="3273715"/>
            <a:ext cx="235866"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29" name="Straight Connector 128"/>
          <xdr:cNvCxnSpPr/>
        </xdr:nvCxnSpPr>
        <xdr:spPr>
          <a:xfrm>
            <a:off x="3516681" y="3356265"/>
            <a:ext cx="423084"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30" name="Straight Connector 129"/>
          <xdr:cNvCxnSpPr/>
        </xdr:nvCxnSpPr>
        <xdr:spPr>
          <a:xfrm>
            <a:off x="3897358" y="3266209"/>
            <a:ext cx="0" cy="9756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xnSp macro="">
        <xdr:nvCxnSpPr>
          <xdr:cNvPr id="131" name="Straight Connector 130"/>
          <xdr:cNvCxnSpPr/>
        </xdr:nvCxnSpPr>
        <xdr:spPr>
          <a:xfrm>
            <a:off x="3897358" y="3086100"/>
            <a:ext cx="0" cy="18011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xnSp macro="">
        <xdr:nvCxnSpPr>
          <xdr:cNvPr id="132" name="Straight Connector 131"/>
          <xdr:cNvCxnSpPr/>
        </xdr:nvCxnSpPr>
        <xdr:spPr>
          <a:xfrm>
            <a:off x="2741596" y="2852877"/>
            <a:ext cx="0" cy="360052"/>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33" name="Straight Connector 132"/>
          <xdr:cNvCxnSpPr/>
        </xdr:nvCxnSpPr>
        <xdr:spPr>
          <a:xfrm>
            <a:off x="3796259" y="2843353"/>
            <a:ext cx="0" cy="32404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xdr:cNvCxnSpPr/>
        </xdr:nvCxnSpPr>
        <xdr:spPr>
          <a:xfrm flipV="1">
            <a:off x="2749086" y="2898996"/>
            <a:ext cx="1037808"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xnSp macro="">
        <xdr:nvCxnSpPr>
          <xdr:cNvPr id="135" name="Straight Connector 134"/>
          <xdr:cNvCxnSpPr/>
        </xdr:nvCxnSpPr>
        <xdr:spPr>
          <a:xfrm>
            <a:off x="2961267" y="4806051"/>
            <a:ext cx="61325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xdr:cNvCxnSpPr/>
        </xdr:nvCxnSpPr>
        <xdr:spPr>
          <a:xfrm>
            <a:off x="2960018" y="4572001"/>
            <a:ext cx="0" cy="331074"/>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xdr:cNvCxnSpPr/>
        </xdr:nvCxnSpPr>
        <xdr:spPr>
          <a:xfrm>
            <a:off x="3577838" y="4564496"/>
            <a:ext cx="0" cy="331074"/>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grpSp>
        <xdr:nvGrpSpPr>
          <xdr:cNvPr id="138" name="Group 137"/>
          <xdr:cNvGrpSpPr/>
        </xdr:nvGrpSpPr>
        <xdr:grpSpPr>
          <a:xfrm>
            <a:off x="2742845" y="3093605"/>
            <a:ext cx="1054664" cy="1523423"/>
            <a:chOff x="3562350" y="1114424"/>
            <a:chExt cx="1609726" cy="1933575"/>
          </a:xfrm>
        </xdr:grpSpPr>
        <xdr:sp macro="" textlink="">
          <xdr:nvSpPr>
            <xdr:cNvPr id="139" name="Freeform 138"/>
            <xdr:cNvSpPr/>
          </xdr:nvSpPr>
          <xdr:spPr>
            <a:xfrm>
              <a:off x="3562350" y="1114424"/>
              <a:ext cx="952500" cy="1933575"/>
            </a:xfrm>
            <a:custGeom>
              <a:avLst/>
              <a:gdLst>
                <a:gd name="connsiteX0" fmla="*/ 914400 w 962025"/>
                <a:gd name="connsiteY0" fmla="*/ 0 h 2019300"/>
                <a:gd name="connsiteX1" fmla="*/ 0 w 962025"/>
                <a:gd name="connsiteY1" fmla="*/ 0 h 2019300"/>
                <a:gd name="connsiteX2" fmla="*/ 0 w 962025"/>
                <a:gd name="connsiteY2" fmla="*/ 228600 h 2019300"/>
                <a:gd name="connsiteX3" fmla="*/ 333375 w 962025"/>
                <a:gd name="connsiteY3" fmla="*/ 333375 h 2019300"/>
                <a:gd name="connsiteX4" fmla="*/ 333375 w 962025"/>
                <a:gd name="connsiteY4" fmla="*/ 1933575 h 2019300"/>
                <a:gd name="connsiteX5" fmla="*/ 952500 w 962025"/>
                <a:gd name="connsiteY5" fmla="*/ 1933575 h 2019300"/>
                <a:gd name="connsiteX6" fmla="*/ 962025 w 962025"/>
                <a:gd name="connsiteY6" fmla="*/ 2019300 h 2019300"/>
                <a:gd name="connsiteX0" fmla="*/ 914400 w 952500"/>
                <a:gd name="connsiteY0" fmla="*/ 0 h 1933575"/>
                <a:gd name="connsiteX1" fmla="*/ 0 w 952500"/>
                <a:gd name="connsiteY1" fmla="*/ 0 h 1933575"/>
                <a:gd name="connsiteX2" fmla="*/ 0 w 952500"/>
                <a:gd name="connsiteY2" fmla="*/ 228600 h 1933575"/>
                <a:gd name="connsiteX3" fmla="*/ 333375 w 952500"/>
                <a:gd name="connsiteY3" fmla="*/ 333375 h 1933575"/>
                <a:gd name="connsiteX4" fmla="*/ 333375 w 952500"/>
                <a:gd name="connsiteY4" fmla="*/ 1933575 h 1933575"/>
                <a:gd name="connsiteX5" fmla="*/ 952500 w 952500"/>
                <a:gd name="connsiteY5" fmla="*/ 1933575 h 19335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952500" h="1933575">
                  <a:moveTo>
                    <a:pt x="914400" y="0"/>
                  </a:moveTo>
                  <a:lnTo>
                    <a:pt x="0" y="0"/>
                  </a:lnTo>
                  <a:lnTo>
                    <a:pt x="0" y="228600"/>
                  </a:lnTo>
                  <a:lnTo>
                    <a:pt x="333375" y="333375"/>
                  </a:lnTo>
                  <a:lnTo>
                    <a:pt x="333375" y="1933575"/>
                  </a:lnTo>
                  <a:lnTo>
                    <a:pt x="952500" y="1933575"/>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0" name="Freeform 139"/>
            <xdr:cNvSpPr/>
          </xdr:nvSpPr>
          <xdr:spPr>
            <a:xfrm flipH="1">
              <a:off x="4219576" y="1114424"/>
              <a:ext cx="952500" cy="1933575"/>
            </a:xfrm>
            <a:custGeom>
              <a:avLst/>
              <a:gdLst>
                <a:gd name="connsiteX0" fmla="*/ 914400 w 962025"/>
                <a:gd name="connsiteY0" fmla="*/ 0 h 2019300"/>
                <a:gd name="connsiteX1" fmla="*/ 0 w 962025"/>
                <a:gd name="connsiteY1" fmla="*/ 0 h 2019300"/>
                <a:gd name="connsiteX2" fmla="*/ 0 w 962025"/>
                <a:gd name="connsiteY2" fmla="*/ 228600 h 2019300"/>
                <a:gd name="connsiteX3" fmla="*/ 333375 w 962025"/>
                <a:gd name="connsiteY3" fmla="*/ 333375 h 2019300"/>
                <a:gd name="connsiteX4" fmla="*/ 333375 w 962025"/>
                <a:gd name="connsiteY4" fmla="*/ 1933575 h 2019300"/>
                <a:gd name="connsiteX5" fmla="*/ 952500 w 962025"/>
                <a:gd name="connsiteY5" fmla="*/ 1933575 h 2019300"/>
                <a:gd name="connsiteX6" fmla="*/ 962025 w 962025"/>
                <a:gd name="connsiteY6" fmla="*/ 2019300 h 2019300"/>
                <a:gd name="connsiteX0" fmla="*/ 914400 w 952500"/>
                <a:gd name="connsiteY0" fmla="*/ 0 h 1933575"/>
                <a:gd name="connsiteX1" fmla="*/ 0 w 952500"/>
                <a:gd name="connsiteY1" fmla="*/ 0 h 1933575"/>
                <a:gd name="connsiteX2" fmla="*/ 0 w 952500"/>
                <a:gd name="connsiteY2" fmla="*/ 228600 h 1933575"/>
                <a:gd name="connsiteX3" fmla="*/ 333375 w 952500"/>
                <a:gd name="connsiteY3" fmla="*/ 333375 h 1933575"/>
                <a:gd name="connsiteX4" fmla="*/ 333375 w 952500"/>
                <a:gd name="connsiteY4" fmla="*/ 1933575 h 1933575"/>
                <a:gd name="connsiteX5" fmla="*/ 952500 w 952500"/>
                <a:gd name="connsiteY5" fmla="*/ 1933575 h 19335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952500" h="1933575">
                  <a:moveTo>
                    <a:pt x="914400" y="0"/>
                  </a:moveTo>
                  <a:lnTo>
                    <a:pt x="0" y="0"/>
                  </a:lnTo>
                  <a:lnTo>
                    <a:pt x="0" y="228600"/>
                  </a:lnTo>
                  <a:lnTo>
                    <a:pt x="333375" y="333375"/>
                  </a:lnTo>
                  <a:lnTo>
                    <a:pt x="333375" y="1933575"/>
                  </a:lnTo>
                  <a:lnTo>
                    <a:pt x="952500" y="1933575"/>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xnSp macro="">
        <xdr:nvCxnSpPr>
          <xdr:cNvPr id="149" name="Straight Connector 148"/>
          <xdr:cNvCxnSpPr/>
        </xdr:nvCxnSpPr>
        <xdr:spPr>
          <a:xfrm flipV="1">
            <a:off x="2961267" y="3086101"/>
            <a:ext cx="0" cy="312000"/>
          </a:xfrm>
          <a:prstGeom prst="line">
            <a:avLst/>
          </a:prstGeom>
          <a:ln w="6350">
            <a:prstDash val="dash"/>
          </a:ln>
        </xdr:spPr>
        <xdr:style>
          <a:lnRef idx="1">
            <a:schemeClr val="accent1"/>
          </a:lnRef>
          <a:fillRef idx="0">
            <a:schemeClr val="accent1"/>
          </a:fillRef>
          <a:effectRef idx="0">
            <a:schemeClr val="accent1"/>
          </a:effectRef>
          <a:fontRef idx="minor">
            <a:schemeClr val="tx1"/>
          </a:fontRef>
        </xdr:style>
      </xdr:cxnSp>
      <xdr:cxnSp macro="">
        <xdr:nvCxnSpPr>
          <xdr:cNvPr id="150" name="Straight Connector 149"/>
          <xdr:cNvCxnSpPr/>
        </xdr:nvCxnSpPr>
        <xdr:spPr>
          <a:xfrm flipV="1">
            <a:off x="3579087" y="3086101"/>
            <a:ext cx="0" cy="312000"/>
          </a:xfrm>
          <a:prstGeom prst="line">
            <a:avLst/>
          </a:prstGeom>
          <a:ln w="6350">
            <a:prstDash val="dash"/>
          </a:ln>
        </xdr:spPr>
        <xdr:style>
          <a:lnRef idx="1">
            <a:schemeClr val="accent1"/>
          </a:lnRef>
          <a:fillRef idx="0">
            <a:schemeClr val="accent1"/>
          </a:fillRef>
          <a:effectRef idx="0">
            <a:schemeClr val="accent1"/>
          </a:effectRef>
          <a:fontRef idx="minor">
            <a:schemeClr val="tx1"/>
          </a:fontRef>
        </xdr:style>
      </xdr:cxnSp>
      <xdr:cxnSp macro="">
        <xdr:nvCxnSpPr>
          <xdr:cNvPr id="151" name="Straight Connector 150"/>
          <xdr:cNvCxnSpPr/>
        </xdr:nvCxnSpPr>
        <xdr:spPr>
          <a:xfrm>
            <a:off x="2755326" y="3266210"/>
            <a:ext cx="212181" cy="0"/>
          </a:xfrm>
          <a:prstGeom prst="line">
            <a:avLst/>
          </a:prstGeom>
          <a:ln w="6350">
            <a:prstDash val="dash"/>
          </a:ln>
        </xdr:spPr>
        <xdr:style>
          <a:lnRef idx="1">
            <a:schemeClr val="accent1"/>
          </a:lnRef>
          <a:fillRef idx="0">
            <a:schemeClr val="accent1"/>
          </a:fillRef>
          <a:effectRef idx="0">
            <a:schemeClr val="accent1"/>
          </a:effectRef>
          <a:fontRef idx="minor">
            <a:schemeClr val="tx1"/>
          </a:fontRef>
        </xdr:style>
      </xdr:cxnSp>
      <xdr:cxnSp macro="">
        <xdr:nvCxnSpPr>
          <xdr:cNvPr id="152" name="Straight Connector 151"/>
          <xdr:cNvCxnSpPr/>
        </xdr:nvCxnSpPr>
        <xdr:spPr>
          <a:xfrm>
            <a:off x="3579086" y="3273715"/>
            <a:ext cx="212181" cy="0"/>
          </a:xfrm>
          <a:prstGeom prst="line">
            <a:avLst/>
          </a:prstGeom>
          <a:ln w="6350">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58" name="TextBox 157"/>
          <xdr:cNvSpPr txBox="1"/>
        </xdr:nvSpPr>
        <xdr:spPr>
          <a:xfrm>
            <a:off x="2799011" y="3138634"/>
            <a:ext cx="87369" cy="105064"/>
          </a:xfrm>
          <a:prstGeom prst="rect">
            <a:avLst/>
          </a:prstGeom>
          <a:noFill/>
          <a:ln>
            <a:solidFill>
              <a:schemeClr val="accent1">
                <a:shade val="95000"/>
                <a:satMod val="10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1">
            <a:noAutofit/>
          </a:bodyPr>
          <a:lstStyle/>
          <a:p>
            <a:r>
              <a:rPr lang="en-IN" sz="1000">
                <a:latin typeface="Garamond" pitchFamily="18" charset="0"/>
              </a:rPr>
              <a:t>1</a:t>
            </a:r>
          </a:p>
        </xdr:txBody>
      </xdr:sp>
      <xdr:sp macro="" textlink="">
        <xdr:nvSpPr>
          <xdr:cNvPr id="159" name="TextBox 158"/>
          <xdr:cNvSpPr txBox="1"/>
        </xdr:nvSpPr>
        <xdr:spPr>
          <a:xfrm>
            <a:off x="2823973" y="3296229"/>
            <a:ext cx="87369" cy="105064"/>
          </a:xfrm>
          <a:prstGeom prst="rect">
            <a:avLst/>
          </a:prstGeom>
          <a:noFill/>
          <a:ln>
            <a:solidFill>
              <a:schemeClr val="accent1">
                <a:shade val="95000"/>
                <a:satMod val="10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1">
            <a:noAutofit/>
          </a:bodyPr>
          <a:lstStyle/>
          <a:p>
            <a:r>
              <a:rPr lang="en-IN" sz="1000">
                <a:latin typeface="Garamond" pitchFamily="18" charset="0"/>
              </a:rPr>
              <a:t>2</a:t>
            </a:r>
          </a:p>
        </xdr:txBody>
      </xdr:sp>
      <xdr:sp macro="" textlink="">
        <xdr:nvSpPr>
          <xdr:cNvPr id="160" name="TextBox 159"/>
          <xdr:cNvSpPr txBox="1"/>
        </xdr:nvSpPr>
        <xdr:spPr>
          <a:xfrm>
            <a:off x="3248335" y="3814043"/>
            <a:ext cx="87369" cy="105064"/>
          </a:xfrm>
          <a:prstGeom prst="rect">
            <a:avLst/>
          </a:prstGeom>
          <a:noFill/>
          <a:ln>
            <a:solidFill>
              <a:schemeClr val="accent1">
                <a:shade val="95000"/>
                <a:satMod val="10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1">
            <a:noAutofit/>
          </a:bodyPr>
          <a:lstStyle/>
          <a:p>
            <a:r>
              <a:rPr lang="en-IN" sz="1000">
                <a:latin typeface="Garamond" pitchFamily="18" charset="0"/>
              </a:rPr>
              <a:t>3</a:t>
            </a:r>
          </a:p>
        </xdr:txBody>
      </xdr:sp>
    </xdr:grpSp>
    <xdr:clientData/>
  </xdr:twoCellAnchor>
  <xdr:twoCellAnchor>
    <xdr:from>
      <xdr:col>2</xdr:col>
      <xdr:colOff>295275</xdr:colOff>
      <xdr:row>70</xdr:row>
      <xdr:rowOff>9525</xdr:rowOff>
    </xdr:from>
    <xdr:to>
      <xdr:col>10</xdr:col>
      <xdr:colOff>38100</xdr:colOff>
      <xdr:row>72</xdr:row>
      <xdr:rowOff>123825</xdr:rowOff>
    </xdr:to>
    <xdr:sp macro="" textlink="">
      <xdr:nvSpPr>
        <xdr:cNvPr id="224" name="Freeform 223"/>
        <xdr:cNvSpPr/>
      </xdr:nvSpPr>
      <xdr:spPr>
        <a:xfrm>
          <a:off x="1323975" y="18830925"/>
          <a:ext cx="3857625" cy="495300"/>
        </a:xfrm>
        <a:custGeom>
          <a:avLst/>
          <a:gdLst>
            <a:gd name="connsiteX0" fmla="*/ 0 w 3857625"/>
            <a:gd name="connsiteY0" fmla="*/ 0 h 495300"/>
            <a:gd name="connsiteX1" fmla="*/ 0 w 3857625"/>
            <a:gd name="connsiteY1" fmla="*/ 314325 h 495300"/>
            <a:gd name="connsiteX2" fmla="*/ 847725 w 3857625"/>
            <a:gd name="connsiteY2" fmla="*/ 314325 h 495300"/>
            <a:gd name="connsiteX3" fmla="*/ 1762125 w 3857625"/>
            <a:gd name="connsiteY3" fmla="*/ 495300 h 495300"/>
            <a:gd name="connsiteX4" fmla="*/ 3857625 w 3857625"/>
            <a:gd name="connsiteY4" fmla="*/ 495300 h 4953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57625" h="495300">
              <a:moveTo>
                <a:pt x="0" y="0"/>
              </a:moveTo>
              <a:lnTo>
                <a:pt x="0" y="314325"/>
              </a:lnTo>
              <a:lnTo>
                <a:pt x="847725" y="314325"/>
              </a:lnTo>
              <a:lnTo>
                <a:pt x="1762125" y="495300"/>
              </a:lnTo>
              <a:lnTo>
                <a:pt x="3857625" y="4953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466725</xdr:colOff>
      <xdr:row>70</xdr:row>
      <xdr:rowOff>19050</xdr:rowOff>
    </xdr:from>
    <xdr:to>
      <xdr:col>2</xdr:col>
      <xdr:colOff>1</xdr:colOff>
      <xdr:row>77</xdr:row>
      <xdr:rowOff>0</xdr:rowOff>
    </xdr:to>
    <xdr:sp macro="" textlink="">
      <xdr:nvSpPr>
        <xdr:cNvPr id="225" name="Freeform 224"/>
        <xdr:cNvSpPr/>
      </xdr:nvSpPr>
      <xdr:spPr>
        <a:xfrm flipH="1">
          <a:off x="981075" y="18840450"/>
          <a:ext cx="47626" cy="1314450"/>
        </a:xfrm>
        <a:custGeom>
          <a:avLst/>
          <a:gdLst>
            <a:gd name="connsiteX0" fmla="*/ 257175 w 257175"/>
            <a:gd name="connsiteY0" fmla="*/ 0 h 333375"/>
            <a:gd name="connsiteX1" fmla="*/ 257175 w 257175"/>
            <a:gd name="connsiteY1" fmla="*/ 333375 h 333375"/>
            <a:gd name="connsiteX2" fmla="*/ 0 w 257175"/>
            <a:gd name="connsiteY2" fmla="*/ 333375 h 333375"/>
            <a:gd name="connsiteX0" fmla="*/ 0 w 0"/>
            <a:gd name="connsiteY0" fmla="*/ 0 h 333375"/>
            <a:gd name="connsiteX1" fmla="*/ 0 w 0"/>
            <a:gd name="connsiteY1" fmla="*/ 333375 h 333375"/>
          </a:gdLst>
          <a:ahLst/>
          <a:cxnLst>
            <a:cxn ang="0">
              <a:pos x="connsiteX0" y="connsiteY0"/>
            </a:cxn>
            <a:cxn ang="0">
              <a:pos x="connsiteX1" y="connsiteY1"/>
            </a:cxn>
          </a:cxnLst>
          <a:rect l="l" t="t" r="r" b="b"/>
          <a:pathLst>
            <a:path h="333375">
              <a:moveTo>
                <a:pt x="0" y="0"/>
              </a:moveTo>
              <a:lnTo>
                <a:pt x="0" y="333375"/>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295275</xdr:colOff>
      <xdr:row>74</xdr:row>
      <xdr:rowOff>76200</xdr:rowOff>
    </xdr:from>
    <xdr:to>
      <xdr:col>10</xdr:col>
      <xdr:colOff>38100</xdr:colOff>
      <xdr:row>77</xdr:row>
      <xdr:rowOff>0</xdr:rowOff>
    </xdr:to>
    <xdr:sp macro="" textlink="">
      <xdr:nvSpPr>
        <xdr:cNvPr id="222" name="Freeform 221"/>
        <xdr:cNvSpPr/>
      </xdr:nvSpPr>
      <xdr:spPr>
        <a:xfrm flipV="1">
          <a:off x="1323975" y="19659600"/>
          <a:ext cx="3857625" cy="495300"/>
        </a:xfrm>
        <a:custGeom>
          <a:avLst/>
          <a:gdLst>
            <a:gd name="connsiteX0" fmla="*/ 0 w 3857625"/>
            <a:gd name="connsiteY0" fmla="*/ 0 h 495300"/>
            <a:gd name="connsiteX1" fmla="*/ 0 w 3857625"/>
            <a:gd name="connsiteY1" fmla="*/ 314325 h 495300"/>
            <a:gd name="connsiteX2" fmla="*/ 847725 w 3857625"/>
            <a:gd name="connsiteY2" fmla="*/ 314325 h 495300"/>
            <a:gd name="connsiteX3" fmla="*/ 1762125 w 3857625"/>
            <a:gd name="connsiteY3" fmla="*/ 495300 h 495300"/>
            <a:gd name="connsiteX4" fmla="*/ 3857625 w 3857625"/>
            <a:gd name="connsiteY4" fmla="*/ 495300 h 4953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57625" h="495300">
              <a:moveTo>
                <a:pt x="0" y="0"/>
              </a:moveTo>
              <a:lnTo>
                <a:pt x="0" y="314325"/>
              </a:lnTo>
              <a:lnTo>
                <a:pt x="847725" y="314325"/>
              </a:lnTo>
              <a:lnTo>
                <a:pt x="1762125" y="495300"/>
              </a:lnTo>
              <a:lnTo>
                <a:pt x="3857625" y="4953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152400</xdr:colOff>
      <xdr:row>70</xdr:row>
      <xdr:rowOff>142875</xdr:rowOff>
    </xdr:from>
    <xdr:to>
      <xdr:col>2</xdr:col>
      <xdr:colOff>152400</xdr:colOff>
      <xdr:row>79</xdr:row>
      <xdr:rowOff>171450</xdr:rowOff>
    </xdr:to>
    <xdr:cxnSp macro="">
      <xdr:nvCxnSpPr>
        <xdr:cNvPr id="199" name="Straight Connector 198"/>
        <xdr:cNvCxnSpPr/>
      </xdr:nvCxnSpPr>
      <xdr:spPr>
        <a:xfrm>
          <a:off x="1181100" y="9477375"/>
          <a:ext cx="0" cy="174307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304800</xdr:colOff>
      <xdr:row>78</xdr:row>
      <xdr:rowOff>0</xdr:rowOff>
    </xdr:from>
    <xdr:to>
      <xdr:col>4</xdr:col>
      <xdr:colOff>123825</xdr:colOff>
      <xdr:row>78</xdr:row>
      <xdr:rowOff>0</xdr:rowOff>
    </xdr:to>
    <xdr:cxnSp macro="">
      <xdr:nvCxnSpPr>
        <xdr:cNvPr id="200" name="Straight Connector 199"/>
        <xdr:cNvCxnSpPr/>
      </xdr:nvCxnSpPr>
      <xdr:spPr>
        <a:xfrm>
          <a:off x="1333500" y="20345400"/>
          <a:ext cx="847725"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121919</xdr:colOff>
      <xdr:row>75</xdr:row>
      <xdr:rowOff>28575</xdr:rowOff>
    </xdr:from>
    <xdr:to>
      <xdr:col>4</xdr:col>
      <xdr:colOff>121919</xdr:colOff>
      <xdr:row>78</xdr:row>
      <xdr:rowOff>104775</xdr:rowOff>
    </xdr:to>
    <xdr:cxnSp macro="">
      <xdr:nvCxnSpPr>
        <xdr:cNvPr id="201" name="Straight Connector 200"/>
        <xdr:cNvCxnSpPr/>
      </xdr:nvCxnSpPr>
      <xdr:spPr>
        <a:xfrm>
          <a:off x="2179319" y="10315575"/>
          <a:ext cx="0" cy="64770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502919</xdr:colOff>
      <xdr:row>74</xdr:row>
      <xdr:rowOff>19050</xdr:rowOff>
    </xdr:from>
    <xdr:to>
      <xdr:col>5</xdr:col>
      <xdr:colOff>502919</xdr:colOff>
      <xdr:row>78</xdr:row>
      <xdr:rowOff>104775</xdr:rowOff>
    </xdr:to>
    <xdr:cxnSp macro="">
      <xdr:nvCxnSpPr>
        <xdr:cNvPr id="202" name="Straight Connector 201"/>
        <xdr:cNvCxnSpPr/>
      </xdr:nvCxnSpPr>
      <xdr:spPr>
        <a:xfrm>
          <a:off x="3074669" y="10115550"/>
          <a:ext cx="0" cy="84772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78</xdr:row>
      <xdr:rowOff>0</xdr:rowOff>
    </xdr:from>
    <xdr:to>
      <xdr:col>5</xdr:col>
      <xdr:colOff>504825</xdr:colOff>
      <xdr:row>78</xdr:row>
      <xdr:rowOff>0</xdr:rowOff>
    </xdr:to>
    <xdr:cxnSp macro="">
      <xdr:nvCxnSpPr>
        <xdr:cNvPr id="203" name="Straight Connector 202"/>
        <xdr:cNvCxnSpPr/>
      </xdr:nvCxnSpPr>
      <xdr:spPr>
        <a:xfrm>
          <a:off x="2190750" y="10858500"/>
          <a:ext cx="885825"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79</xdr:row>
      <xdr:rowOff>0</xdr:rowOff>
    </xdr:from>
    <xdr:to>
      <xdr:col>9</xdr:col>
      <xdr:colOff>511950</xdr:colOff>
      <xdr:row>79</xdr:row>
      <xdr:rowOff>0</xdr:rowOff>
    </xdr:to>
    <xdr:cxnSp macro="">
      <xdr:nvCxnSpPr>
        <xdr:cNvPr id="204" name="Straight Connector 203"/>
        <xdr:cNvCxnSpPr/>
      </xdr:nvCxnSpPr>
      <xdr:spPr>
        <a:xfrm>
          <a:off x="1181100" y="11049000"/>
          <a:ext cx="39600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71</xdr:row>
      <xdr:rowOff>142874</xdr:rowOff>
    </xdr:from>
    <xdr:to>
      <xdr:col>1</xdr:col>
      <xdr:colOff>0</xdr:colOff>
      <xdr:row>75</xdr:row>
      <xdr:rowOff>64874</xdr:rowOff>
    </xdr:to>
    <xdr:cxnSp macro="">
      <xdr:nvCxnSpPr>
        <xdr:cNvPr id="205" name="Straight Connector 204"/>
        <xdr:cNvCxnSpPr/>
      </xdr:nvCxnSpPr>
      <xdr:spPr>
        <a:xfrm>
          <a:off x="514350" y="9667874"/>
          <a:ext cx="0" cy="68400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428625</xdr:colOff>
      <xdr:row>71</xdr:row>
      <xdr:rowOff>133350</xdr:rowOff>
    </xdr:from>
    <xdr:to>
      <xdr:col>1</xdr:col>
      <xdr:colOff>312375</xdr:colOff>
      <xdr:row>71</xdr:row>
      <xdr:rowOff>133350</xdr:rowOff>
    </xdr:to>
    <xdr:cxnSp macro="">
      <xdr:nvCxnSpPr>
        <xdr:cNvPr id="206" name="Straight Connector 205"/>
        <xdr:cNvCxnSpPr/>
      </xdr:nvCxnSpPr>
      <xdr:spPr>
        <a:xfrm>
          <a:off x="428625" y="9658350"/>
          <a:ext cx="39810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419100</xdr:colOff>
      <xdr:row>75</xdr:row>
      <xdr:rowOff>66675</xdr:rowOff>
    </xdr:from>
    <xdr:to>
      <xdr:col>1</xdr:col>
      <xdr:colOff>302850</xdr:colOff>
      <xdr:row>75</xdr:row>
      <xdr:rowOff>66675</xdr:rowOff>
    </xdr:to>
    <xdr:cxnSp macro="">
      <xdr:nvCxnSpPr>
        <xdr:cNvPr id="207" name="Straight Connector 206"/>
        <xdr:cNvCxnSpPr/>
      </xdr:nvCxnSpPr>
      <xdr:spPr>
        <a:xfrm>
          <a:off x="419100" y="10353675"/>
          <a:ext cx="39810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78</xdr:row>
      <xdr:rowOff>0</xdr:rowOff>
    </xdr:from>
    <xdr:to>
      <xdr:col>2</xdr:col>
      <xdr:colOff>138825</xdr:colOff>
      <xdr:row>78</xdr:row>
      <xdr:rowOff>0</xdr:rowOff>
    </xdr:to>
    <xdr:cxnSp macro="">
      <xdr:nvCxnSpPr>
        <xdr:cNvPr id="208" name="Straight Connector 207"/>
        <xdr:cNvCxnSpPr/>
      </xdr:nvCxnSpPr>
      <xdr:spPr>
        <a:xfrm>
          <a:off x="771525" y="10858500"/>
          <a:ext cx="3960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255269</xdr:colOff>
      <xdr:row>74</xdr:row>
      <xdr:rowOff>123825</xdr:rowOff>
    </xdr:from>
    <xdr:to>
      <xdr:col>1</xdr:col>
      <xdr:colOff>255269</xdr:colOff>
      <xdr:row>78</xdr:row>
      <xdr:rowOff>142875</xdr:rowOff>
    </xdr:to>
    <xdr:cxnSp macro="">
      <xdr:nvCxnSpPr>
        <xdr:cNvPr id="209" name="Straight Connector 208"/>
        <xdr:cNvCxnSpPr/>
      </xdr:nvCxnSpPr>
      <xdr:spPr>
        <a:xfrm>
          <a:off x="769619" y="10220325"/>
          <a:ext cx="0" cy="78105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390525</xdr:colOff>
      <xdr:row>72</xdr:row>
      <xdr:rowOff>123825</xdr:rowOff>
    </xdr:from>
    <xdr:to>
      <xdr:col>10</xdr:col>
      <xdr:colOff>209550</xdr:colOff>
      <xdr:row>72</xdr:row>
      <xdr:rowOff>123825</xdr:rowOff>
    </xdr:to>
    <xdr:cxnSp macro="">
      <xdr:nvCxnSpPr>
        <xdr:cNvPr id="210" name="Straight Connector 209"/>
        <xdr:cNvCxnSpPr/>
      </xdr:nvCxnSpPr>
      <xdr:spPr>
        <a:xfrm>
          <a:off x="5019675" y="9839325"/>
          <a:ext cx="33337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390525</xdr:colOff>
      <xdr:row>74</xdr:row>
      <xdr:rowOff>76200</xdr:rowOff>
    </xdr:from>
    <xdr:to>
      <xdr:col>10</xdr:col>
      <xdr:colOff>219075</xdr:colOff>
      <xdr:row>74</xdr:row>
      <xdr:rowOff>76200</xdr:rowOff>
    </xdr:to>
    <xdr:cxnSp macro="">
      <xdr:nvCxnSpPr>
        <xdr:cNvPr id="211" name="Straight Connector 210"/>
        <xdr:cNvCxnSpPr/>
      </xdr:nvCxnSpPr>
      <xdr:spPr>
        <a:xfrm>
          <a:off x="5019675" y="10172700"/>
          <a:ext cx="34290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133350</xdr:colOff>
      <xdr:row>72</xdr:row>
      <xdr:rowOff>123824</xdr:rowOff>
    </xdr:from>
    <xdr:to>
      <xdr:col>10</xdr:col>
      <xdr:colOff>133350</xdr:colOff>
      <xdr:row>74</xdr:row>
      <xdr:rowOff>66675</xdr:rowOff>
    </xdr:to>
    <xdr:cxnSp macro="">
      <xdr:nvCxnSpPr>
        <xdr:cNvPr id="212" name="Straight Connector 211"/>
        <xdr:cNvCxnSpPr/>
      </xdr:nvCxnSpPr>
      <xdr:spPr>
        <a:xfrm>
          <a:off x="5276850" y="9839324"/>
          <a:ext cx="0" cy="323851"/>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69</xdr:row>
      <xdr:rowOff>0</xdr:rowOff>
    </xdr:from>
    <xdr:to>
      <xdr:col>2</xdr:col>
      <xdr:colOff>304800</xdr:colOff>
      <xdr:row>69</xdr:row>
      <xdr:rowOff>0</xdr:rowOff>
    </xdr:to>
    <xdr:cxnSp macro="">
      <xdr:nvCxnSpPr>
        <xdr:cNvPr id="213" name="Straight Connector 212"/>
        <xdr:cNvCxnSpPr/>
      </xdr:nvCxnSpPr>
      <xdr:spPr>
        <a:xfrm>
          <a:off x="1028700" y="9144000"/>
          <a:ext cx="3048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512444</xdr:colOff>
      <xdr:row>68</xdr:row>
      <xdr:rowOff>104775</xdr:rowOff>
    </xdr:from>
    <xdr:to>
      <xdr:col>1</xdr:col>
      <xdr:colOff>512444</xdr:colOff>
      <xdr:row>71</xdr:row>
      <xdr:rowOff>38100</xdr:rowOff>
    </xdr:to>
    <xdr:cxnSp macro="">
      <xdr:nvCxnSpPr>
        <xdr:cNvPr id="214" name="Straight Connector 213"/>
        <xdr:cNvCxnSpPr/>
      </xdr:nvCxnSpPr>
      <xdr:spPr>
        <a:xfrm>
          <a:off x="1026794" y="9058275"/>
          <a:ext cx="0" cy="50482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293369</xdr:colOff>
      <xdr:row>68</xdr:row>
      <xdr:rowOff>114300</xdr:rowOff>
    </xdr:from>
    <xdr:to>
      <xdr:col>2</xdr:col>
      <xdr:colOff>293369</xdr:colOff>
      <xdr:row>71</xdr:row>
      <xdr:rowOff>0</xdr:rowOff>
    </xdr:to>
    <xdr:cxnSp macro="">
      <xdr:nvCxnSpPr>
        <xdr:cNvPr id="215" name="Straight Connector 214"/>
        <xdr:cNvCxnSpPr/>
      </xdr:nvCxnSpPr>
      <xdr:spPr>
        <a:xfrm>
          <a:off x="1322069" y="9067800"/>
          <a:ext cx="0" cy="45720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78</xdr:row>
      <xdr:rowOff>0</xdr:rowOff>
    </xdr:from>
    <xdr:to>
      <xdr:col>10</xdr:col>
      <xdr:colOff>19050</xdr:colOff>
      <xdr:row>78</xdr:row>
      <xdr:rowOff>0</xdr:rowOff>
    </xdr:to>
    <xdr:cxnSp macro="">
      <xdr:nvCxnSpPr>
        <xdr:cNvPr id="218" name="Straight Connector 217"/>
        <xdr:cNvCxnSpPr/>
      </xdr:nvCxnSpPr>
      <xdr:spPr>
        <a:xfrm>
          <a:off x="3095625" y="10858500"/>
          <a:ext cx="2066925"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xdr:colOff>
      <xdr:row>70</xdr:row>
      <xdr:rowOff>9525</xdr:rowOff>
    </xdr:from>
    <xdr:to>
      <xdr:col>10</xdr:col>
      <xdr:colOff>19050</xdr:colOff>
      <xdr:row>79</xdr:row>
      <xdr:rowOff>95250</xdr:rowOff>
    </xdr:to>
    <xdr:cxnSp macro="">
      <xdr:nvCxnSpPr>
        <xdr:cNvPr id="226" name="Straight Connector 225"/>
        <xdr:cNvCxnSpPr/>
      </xdr:nvCxnSpPr>
      <xdr:spPr>
        <a:xfrm>
          <a:off x="5162550" y="5534025"/>
          <a:ext cx="0" cy="180022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76200</xdr:colOff>
      <xdr:row>108</xdr:row>
      <xdr:rowOff>0</xdr:rowOff>
    </xdr:from>
    <xdr:to>
      <xdr:col>9</xdr:col>
      <xdr:colOff>173400</xdr:colOff>
      <xdr:row>108</xdr:row>
      <xdr:rowOff>0</xdr:rowOff>
    </xdr:to>
    <xdr:cxnSp macro="">
      <xdr:nvCxnSpPr>
        <xdr:cNvPr id="229" name="Straight Connector 228"/>
        <xdr:cNvCxnSpPr/>
      </xdr:nvCxnSpPr>
      <xdr:spPr>
        <a:xfrm>
          <a:off x="590550" y="2124075"/>
          <a:ext cx="4212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108</xdr:row>
      <xdr:rowOff>0</xdr:rowOff>
    </xdr:from>
    <xdr:to>
      <xdr:col>2</xdr:col>
      <xdr:colOff>0</xdr:colOff>
      <xdr:row>110</xdr:row>
      <xdr:rowOff>114300</xdr:rowOff>
    </xdr:to>
    <xdr:cxnSp macro="">
      <xdr:nvCxnSpPr>
        <xdr:cNvPr id="230" name="Straight Connector 229"/>
        <xdr:cNvCxnSpPr/>
      </xdr:nvCxnSpPr>
      <xdr:spPr>
        <a:xfrm>
          <a:off x="1028700" y="2124075"/>
          <a:ext cx="0" cy="495300"/>
        </a:xfrm>
        <a:prstGeom prst="line">
          <a:avLst/>
        </a:prstGeom>
        <a:ln>
          <a:head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9524</xdr:colOff>
      <xdr:row>110</xdr:row>
      <xdr:rowOff>0</xdr:rowOff>
    </xdr:from>
    <xdr:to>
      <xdr:col>9</xdr:col>
      <xdr:colOff>153074</xdr:colOff>
      <xdr:row>110</xdr:row>
      <xdr:rowOff>0</xdr:rowOff>
    </xdr:to>
    <xdr:cxnSp macro="">
      <xdr:nvCxnSpPr>
        <xdr:cNvPr id="231" name="Straight Connector 230"/>
        <xdr:cNvCxnSpPr/>
      </xdr:nvCxnSpPr>
      <xdr:spPr>
        <a:xfrm>
          <a:off x="1038224" y="2505075"/>
          <a:ext cx="37440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109</xdr:row>
      <xdr:rowOff>0</xdr:rowOff>
    </xdr:from>
    <xdr:to>
      <xdr:col>1</xdr:col>
      <xdr:colOff>491250</xdr:colOff>
      <xdr:row>109</xdr:row>
      <xdr:rowOff>0</xdr:rowOff>
    </xdr:to>
    <xdr:cxnSp macro="">
      <xdr:nvCxnSpPr>
        <xdr:cNvPr id="232" name="Straight Connector 231"/>
        <xdr:cNvCxnSpPr/>
      </xdr:nvCxnSpPr>
      <xdr:spPr>
        <a:xfrm>
          <a:off x="609600" y="2314575"/>
          <a:ext cx="3960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76200</xdr:colOff>
      <xdr:row>107</xdr:row>
      <xdr:rowOff>133350</xdr:rowOff>
    </xdr:from>
    <xdr:to>
      <xdr:col>1</xdr:col>
      <xdr:colOff>76200</xdr:colOff>
      <xdr:row>109</xdr:row>
      <xdr:rowOff>142875</xdr:rowOff>
    </xdr:to>
    <xdr:cxnSp macro="">
      <xdr:nvCxnSpPr>
        <xdr:cNvPr id="233" name="Straight Connector 232"/>
        <xdr:cNvCxnSpPr/>
      </xdr:nvCxnSpPr>
      <xdr:spPr>
        <a:xfrm>
          <a:off x="590550" y="2066925"/>
          <a:ext cx="0" cy="390525"/>
        </a:xfrm>
        <a:prstGeom prst="line">
          <a:avLst/>
        </a:prstGeom>
        <a:ln>
          <a:prstDash val="sysDot"/>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76200</xdr:colOff>
      <xdr:row>106</xdr:row>
      <xdr:rowOff>9524</xdr:rowOff>
    </xdr:from>
    <xdr:to>
      <xdr:col>9</xdr:col>
      <xdr:colOff>173400</xdr:colOff>
      <xdr:row>107</xdr:row>
      <xdr:rowOff>180975</xdr:rowOff>
    </xdr:to>
    <xdr:sp macro="" textlink="">
      <xdr:nvSpPr>
        <xdr:cNvPr id="234" name="Freeform 233"/>
        <xdr:cNvSpPr/>
      </xdr:nvSpPr>
      <xdr:spPr>
        <a:xfrm>
          <a:off x="590550" y="1752599"/>
          <a:ext cx="4212000" cy="361951"/>
        </a:xfrm>
        <a:custGeom>
          <a:avLst/>
          <a:gdLst>
            <a:gd name="connsiteX0" fmla="*/ 0 w 2495550"/>
            <a:gd name="connsiteY0" fmla="*/ 371475 h 371475"/>
            <a:gd name="connsiteX1" fmla="*/ 0 w 2495550"/>
            <a:gd name="connsiteY1" fmla="*/ 0 h 371475"/>
            <a:gd name="connsiteX2" fmla="*/ 857250 w 2495550"/>
            <a:gd name="connsiteY2" fmla="*/ 0 h 371475"/>
            <a:gd name="connsiteX3" fmla="*/ 1590675 w 2495550"/>
            <a:gd name="connsiteY3" fmla="*/ 180975 h 371475"/>
            <a:gd name="connsiteX4" fmla="*/ 2495550 w 2495550"/>
            <a:gd name="connsiteY4" fmla="*/ 180975 h 371475"/>
            <a:gd name="connsiteX5" fmla="*/ 2495550 w 2495550"/>
            <a:gd name="connsiteY5" fmla="*/ 371475 h 371475"/>
            <a:gd name="connsiteX0" fmla="*/ 0 w 4029075"/>
            <a:gd name="connsiteY0" fmla="*/ 371475 h 371475"/>
            <a:gd name="connsiteX1" fmla="*/ 0 w 4029075"/>
            <a:gd name="connsiteY1" fmla="*/ 0 h 371475"/>
            <a:gd name="connsiteX2" fmla="*/ 857250 w 4029075"/>
            <a:gd name="connsiteY2" fmla="*/ 0 h 371475"/>
            <a:gd name="connsiteX3" fmla="*/ 1590675 w 4029075"/>
            <a:gd name="connsiteY3" fmla="*/ 180975 h 371475"/>
            <a:gd name="connsiteX4" fmla="*/ 2495550 w 4029075"/>
            <a:gd name="connsiteY4" fmla="*/ 180975 h 371475"/>
            <a:gd name="connsiteX5" fmla="*/ 4029075 w 4029075"/>
            <a:gd name="connsiteY5" fmla="*/ 371475 h 371475"/>
            <a:gd name="connsiteX0" fmla="*/ 0 w 4029075"/>
            <a:gd name="connsiteY0" fmla="*/ 371475 h 371475"/>
            <a:gd name="connsiteX1" fmla="*/ 0 w 4029075"/>
            <a:gd name="connsiteY1" fmla="*/ 0 h 371475"/>
            <a:gd name="connsiteX2" fmla="*/ 857250 w 4029075"/>
            <a:gd name="connsiteY2" fmla="*/ 0 h 371475"/>
            <a:gd name="connsiteX3" fmla="*/ 1590675 w 4029075"/>
            <a:gd name="connsiteY3" fmla="*/ 180975 h 371475"/>
            <a:gd name="connsiteX4" fmla="*/ 4029075 w 4029075"/>
            <a:gd name="connsiteY4" fmla="*/ 190500 h 371475"/>
            <a:gd name="connsiteX5" fmla="*/ 4029075 w 4029075"/>
            <a:gd name="connsiteY5" fmla="*/ 371475 h 371475"/>
            <a:gd name="connsiteX0" fmla="*/ 0 w 4029075"/>
            <a:gd name="connsiteY0" fmla="*/ 371475 h 371475"/>
            <a:gd name="connsiteX1" fmla="*/ 0 w 4029075"/>
            <a:gd name="connsiteY1" fmla="*/ 0 h 371475"/>
            <a:gd name="connsiteX2" fmla="*/ 857250 w 4029075"/>
            <a:gd name="connsiteY2" fmla="*/ 0 h 371475"/>
            <a:gd name="connsiteX3" fmla="*/ 1590675 w 4029075"/>
            <a:gd name="connsiteY3" fmla="*/ 180975 h 371475"/>
            <a:gd name="connsiteX4" fmla="*/ 4019550 w 4029075"/>
            <a:gd name="connsiteY4" fmla="*/ 180975 h 371475"/>
            <a:gd name="connsiteX5" fmla="*/ 4029075 w 4029075"/>
            <a:gd name="connsiteY5" fmla="*/ 371475 h 371475"/>
            <a:gd name="connsiteX0" fmla="*/ 0 w 4019550"/>
            <a:gd name="connsiteY0" fmla="*/ 371475 h 371475"/>
            <a:gd name="connsiteX1" fmla="*/ 0 w 4019550"/>
            <a:gd name="connsiteY1" fmla="*/ 0 h 371475"/>
            <a:gd name="connsiteX2" fmla="*/ 857250 w 4019550"/>
            <a:gd name="connsiteY2" fmla="*/ 0 h 371475"/>
            <a:gd name="connsiteX3" fmla="*/ 1590675 w 4019550"/>
            <a:gd name="connsiteY3" fmla="*/ 180975 h 371475"/>
            <a:gd name="connsiteX4" fmla="*/ 4019550 w 4019550"/>
            <a:gd name="connsiteY4" fmla="*/ 180975 h 371475"/>
            <a:gd name="connsiteX5" fmla="*/ 4010025 w 4019550"/>
            <a:gd name="connsiteY5" fmla="*/ 371475 h 371475"/>
            <a:gd name="connsiteX0" fmla="*/ 0 w 4038512"/>
            <a:gd name="connsiteY0" fmla="*/ 371475 h 371475"/>
            <a:gd name="connsiteX1" fmla="*/ 0 w 4038512"/>
            <a:gd name="connsiteY1" fmla="*/ 0 h 371475"/>
            <a:gd name="connsiteX2" fmla="*/ 857250 w 4038512"/>
            <a:gd name="connsiteY2" fmla="*/ 0 h 371475"/>
            <a:gd name="connsiteX3" fmla="*/ 1590675 w 4038512"/>
            <a:gd name="connsiteY3" fmla="*/ 180975 h 371475"/>
            <a:gd name="connsiteX4" fmla="*/ 4019550 w 4038512"/>
            <a:gd name="connsiteY4" fmla="*/ 180975 h 371475"/>
            <a:gd name="connsiteX5" fmla="*/ 4038512 w 4038512"/>
            <a:gd name="connsiteY5" fmla="*/ 371475 h 371475"/>
            <a:gd name="connsiteX0" fmla="*/ 0 w 4019550"/>
            <a:gd name="connsiteY0" fmla="*/ 371475 h 371475"/>
            <a:gd name="connsiteX1" fmla="*/ 0 w 4019550"/>
            <a:gd name="connsiteY1" fmla="*/ 0 h 371475"/>
            <a:gd name="connsiteX2" fmla="*/ 857250 w 4019550"/>
            <a:gd name="connsiteY2" fmla="*/ 0 h 371475"/>
            <a:gd name="connsiteX3" fmla="*/ 1590675 w 4019550"/>
            <a:gd name="connsiteY3" fmla="*/ 180975 h 371475"/>
            <a:gd name="connsiteX4" fmla="*/ 4019550 w 4019550"/>
            <a:gd name="connsiteY4" fmla="*/ 180975 h 371475"/>
            <a:gd name="connsiteX5" fmla="*/ 4019521 w 4019550"/>
            <a:gd name="connsiteY5" fmla="*/ 371475 h 3714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019550" h="371475">
              <a:moveTo>
                <a:pt x="0" y="371475"/>
              </a:moveTo>
              <a:lnTo>
                <a:pt x="0" y="0"/>
              </a:lnTo>
              <a:lnTo>
                <a:pt x="857250" y="0"/>
              </a:lnTo>
              <a:lnTo>
                <a:pt x="1590675" y="180975"/>
              </a:lnTo>
              <a:lnTo>
                <a:pt x="4019550" y="180975"/>
              </a:lnTo>
              <a:cubicBezTo>
                <a:pt x="4019540" y="244475"/>
                <a:pt x="4019531" y="307975"/>
                <a:pt x="4019521" y="371475"/>
              </a:cubicBezTo>
            </a:path>
          </a:pathLst>
        </a:custGeom>
        <a:pattFill prst="ltVert">
          <a:fgClr>
            <a:schemeClr val="accent1"/>
          </a:fgClr>
          <a:bgClr>
            <a:schemeClr val="bg1"/>
          </a:bgClr>
        </a:patt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9525</xdr:colOff>
      <xdr:row>109</xdr:row>
      <xdr:rowOff>0</xdr:rowOff>
    </xdr:from>
    <xdr:to>
      <xdr:col>2</xdr:col>
      <xdr:colOff>441525</xdr:colOff>
      <xdr:row>109</xdr:row>
      <xdr:rowOff>0</xdr:rowOff>
    </xdr:to>
    <xdr:cxnSp macro="">
      <xdr:nvCxnSpPr>
        <xdr:cNvPr id="235" name="Straight Connector 234"/>
        <xdr:cNvCxnSpPr/>
      </xdr:nvCxnSpPr>
      <xdr:spPr>
        <a:xfrm>
          <a:off x="1038225" y="2314575"/>
          <a:ext cx="4320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457200</xdr:colOff>
      <xdr:row>107</xdr:row>
      <xdr:rowOff>19050</xdr:rowOff>
    </xdr:from>
    <xdr:to>
      <xdr:col>2</xdr:col>
      <xdr:colOff>457200</xdr:colOff>
      <xdr:row>109</xdr:row>
      <xdr:rowOff>76200</xdr:rowOff>
    </xdr:to>
    <xdr:cxnSp macro="">
      <xdr:nvCxnSpPr>
        <xdr:cNvPr id="236" name="Straight Connector 235"/>
        <xdr:cNvCxnSpPr/>
      </xdr:nvCxnSpPr>
      <xdr:spPr>
        <a:xfrm>
          <a:off x="1485900" y="1952625"/>
          <a:ext cx="0" cy="438150"/>
        </a:xfrm>
        <a:prstGeom prst="line">
          <a:avLst/>
        </a:prstGeom>
        <a:ln>
          <a:prstDash val="sysDot"/>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107</xdr:row>
      <xdr:rowOff>114300</xdr:rowOff>
    </xdr:from>
    <xdr:to>
      <xdr:col>4</xdr:col>
      <xdr:colOff>180975</xdr:colOff>
      <xdr:row>109</xdr:row>
      <xdr:rowOff>104775</xdr:rowOff>
    </xdr:to>
    <xdr:cxnSp macro="">
      <xdr:nvCxnSpPr>
        <xdr:cNvPr id="237" name="Straight Connector 236"/>
        <xdr:cNvCxnSpPr/>
      </xdr:nvCxnSpPr>
      <xdr:spPr>
        <a:xfrm>
          <a:off x="2238375" y="2047875"/>
          <a:ext cx="0" cy="371475"/>
        </a:xfrm>
        <a:prstGeom prst="line">
          <a:avLst/>
        </a:prstGeom>
        <a:ln>
          <a:prstDash val="sysDot"/>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466725</xdr:colOff>
      <xdr:row>109</xdr:row>
      <xdr:rowOff>0</xdr:rowOff>
    </xdr:from>
    <xdr:to>
      <xdr:col>4</xdr:col>
      <xdr:colOff>158025</xdr:colOff>
      <xdr:row>109</xdr:row>
      <xdr:rowOff>0</xdr:rowOff>
    </xdr:to>
    <xdr:cxnSp macro="">
      <xdr:nvCxnSpPr>
        <xdr:cNvPr id="238" name="Straight Connector 237"/>
        <xdr:cNvCxnSpPr/>
      </xdr:nvCxnSpPr>
      <xdr:spPr>
        <a:xfrm>
          <a:off x="1495425" y="2314575"/>
          <a:ext cx="7200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180975</xdr:colOff>
      <xdr:row>105</xdr:row>
      <xdr:rowOff>85725</xdr:rowOff>
    </xdr:from>
    <xdr:to>
      <xdr:col>9</xdr:col>
      <xdr:colOff>180975</xdr:colOff>
      <xdr:row>110</xdr:row>
      <xdr:rowOff>104775</xdr:rowOff>
    </xdr:to>
    <xdr:cxnSp macro="">
      <xdr:nvCxnSpPr>
        <xdr:cNvPr id="239" name="Straight Connector 238"/>
        <xdr:cNvCxnSpPr/>
      </xdr:nvCxnSpPr>
      <xdr:spPr>
        <a:xfrm>
          <a:off x="4810125" y="15459075"/>
          <a:ext cx="0" cy="971550"/>
        </a:xfrm>
        <a:prstGeom prst="line">
          <a:avLst/>
        </a:prstGeom>
        <a:ln>
          <a:prstDash val="lgDashDot"/>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180974</xdr:colOff>
      <xdr:row>109</xdr:row>
      <xdr:rowOff>0</xdr:rowOff>
    </xdr:from>
    <xdr:to>
      <xdr:col>9</xdr:col>
      <xdr:colOff>165224</xdr:colOff>
      <xdr:row>109</xdr:row>
      <xdr:rowOff>0</xdr:rowOff>
    </xdr:to>
    <xdr:cxnSp macro="">
      <xdr:nvCxnSpPr>
        <xdr:cNvPr id="240" name="Straight Connector 239"/>
        <xdr:cNvCxnSpPr/>
      </xdr:nvCxnSpPr>
      <xdr:spPr>
        <a:xfrm>
          <a:off x="2238374" y="2314575"/>
          <a:ext cx="25560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400050</xdr:colOff>
      <xdr:row>104</xdr:row>
      <xdr:rowOff>104775</xdr:rowOff>
    </xdr:from>
    <xdr:to>
      <xdr:col>2</xdr:col>
      <xdr:colOff>85725</xdr:colOff>
      <xdr:row>106</xdr:row>
      <xdr:rowOff>123825</xdr:rowOff>
    </xdr:to>
    <xdr:sp macro="" textlink="">
      <xdr:nvSpPr>
        <xdr:cNvPr id="241" name="Freeform 240"/>
        <xdr:cNvSpPr/>
      </xdr:nvSpPr>
      <xdr:spPr>
        <a:xfrm>
          <a:off x="914400" y="1466850"/>
          <a:ext cx="200025" cy="400050"/>
        </a:xfrm>
        <a:custGeom>
          <a:avLst/>
          <a:gdLst>
            <a:gd name="connsiteX0" fmla="*/ 0 w 200025"/>
            <a:gd name="connsiteY0" fmla="*/ 400050 h 400050"/>
            <a:gd name="connsiteX1" fmla="*/ 0 w 200025"/>
            <a:gd name="connsiteY1" fmla="*/ 0 h 400050"/>
            <a:gd name="connsiteX2" fmla="*/ 200025 w 200025"/>
            <a:gd name="connsiteY2" fmla="*/ 0 h 400050"/>
          </a:gdLst>
          <a:ahLst/>
          <a:cxnLst>
            <a:cxn ang="0">
              <a:pos x="connsiteX0" y="connsiteY0"/>
            </a:cxn>
            <a:cxn ang="0">
              <a:pos x="connsiteX1" y="connsiteY1"/>
            </a:cxn>
            <a:cxn ang="0">
              <a:pos x="connsiteX2" y="connsiteY2"/>
            </a:cxn>
          </a:cxnLst>
          <a:rect l="l" t="t" r="r" b="b"/>
          <a:pathLst>
            <a:path w="200025" h="400050">
              <a:moveTo>
                <a:pt x="0" y="400050"/>
              </a:moveTo>
              <a:lnTo>
                <a:pt x="0" y="0"/>
              </a:lnTo>
              <a:lnTo>
                <a:pt x="200025" y="0"/>
              </a:lnTo>
            </a:path>
          </a:pathLst>
        </a:custGeom>
        <a:noFill/>
        <a:ln w="12700">
          <a:headEnd type="ova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352425</xdr:colOff>
      <xdr:row>105</xdr:row>
      <xdr:rowOff>85724</xdr:rowOff>
    </xdr:from>
    <xdr:to>
      <xdr:col>6</xdr:col>
      <xdr:colOff>85725</xdr:colOff>
      <xdr:row>107</xdr:row>
      <xdr:rowOff>57149</xdr:rowOff>
    </xdr:to>
    <xdr:sp macro="" textlink="">
      <xdr:nvSpPr>
        <xdr:cNvPr id="242" name="Freeform 241"/>
        <xdr:cNvSpPr/>
      </xdr:nvSpPr>
      <xdr:spPr>
        <a:xfrm>
          <a:off x="2924175" y="1638299"/>
          <a:ext cx="247650" cy="352425"/>
        </a:xfrm>
        <a:custGeom>
          <a:avLst/>
          <a:gdLst>
            <a:gd name="connsiteX0" fmla="*/ 0 w 200025"/>
            <a:gd name="connsiteY0" fmla="*/ 400050 h 400050"/>
            <a:gd name="connsiteX1" fmla="*/ 0 w 200025"/>
            <a:gd name="connsiteY1" fmla="*/ 0 h 400050"/>
            <a:gd name="connsiteX2" fmla="*/ 200025 w 200025"/>
            <a:gd name="connsiteY2" fmla="*/ 0 h 400050"/>
          </a:gdLst>
          <a:ahLst/>
          <a:cxnLst>
            <a:cxn ang="0">
              <a:pos x="connsiteX0" y="connsiteY0"/>
            </a:cxn>
            <a:cxn ang="0">
              <a:pos x="connsiteX1" y="connsiteY1"/>
            </a:cxn>
            <a:cxn ang="0">
              <a:pos x="connsiteX2" y="connsiteY2"/>
            </a:cxn>
          </a:cxnLst>
          <a:rect l="l" t="t" r="r" b="b"/>
          <a:pathLst>
            <a:path w="200025" h="400050">
              <a:moveTo>
                <a:pt x="0" y="400050"/>
              </a:moveTo>
              <a:lnTo>
                <a:pt x="0" y="0"/>
              </a:lnTo>
              <a:lnTo>
                <a:pt x="200025" y="0"/>
              </a:lnTo>
            </a:path>
          </a:pathLst>
        </a:custGeom>
        <a:noFill/>
        <a:ln w="12700">
          <a:headEnd type="ova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28575</xdr:colOff>
      <xdr:row>39</xdr:row>
      <xdr:rowOff>0</xdr:rowOff>
    </xdr:from>
    <xdr:to>
      <xdr:col>10</xdr:col>
      <xdr:colOff>466725</xdr:colOff>
      <xdr:row>40</xdr:row>
      <xdr:rowOff>0</xdr:rowOff>
    </xdr:to>
    <xdr:sp macro="" textlink="">
      <xdr:nvSpPr>
        <xdr:cNvPr id="243" name="Rectangle 242"/>
        <xdr:cNvSpPr/>
      </xdr:nvSpPr>
      <xdr:spPr>
        <a:xfrm>
          <a:off x="542925" y="34404300"/>
          <a:ext cx="5067300" cy="19050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2</xdr:col>
      <xdr:colOff>1</xdr:colOff>
      <xdr:row>40</xdr:row>
      <xdr:rowOff>0</xdr:rowOff>
    </xdr:from>
    <xdr:to>
      <xdr:col>3</xdr:col>
      <xdr:colOff>61651</xdr:colOff>
      <xdr:row>44</xdr:row>
      <xdr:rowOff>174000</xdr:rowOff>
    </xdr:to>
    <xdr:grpSp>
      <xdr:nvGrpSpPr>
        <xdr:cNvPr id="244" name="Group 243"/>
        <xdr:cNvGrpSpPr/>
      </xdr:nvGrpSpPr>
      <xdr:grpSpPr>
        <a:xfrm>
          <a:off x="1028701" y="7696200"/>
          <a:ext cx="576000" cy="936000"/>
          <a:chOff x="1000125" y="6667500"/>
          <a:chExt cx="1076325" cy="1714500"/>
        </a:xfrm>
      </xdr:grpSpPr>
      <xdr:sp macro="" textlink="">
        <xdr:nvSpPr>
          <xdr:cNvPr id="245" name="Freeform 244"/>
          <xdr:cNvSpPr/>
        </xdr:nvSpPr>
        <xdr:spPr>
          <a:xfrm>
            <a:off x="1000125"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6" name="Freeform 245"/>
          <xdr:cNvSpPr/>
        </xdr:nvSpPr>
        <xdr:spPr>
          <a:xfrm flipH="1">
            <a:off x="1524000"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228601</xdr:colOff>
      <xdr:row>40</xdr:row>
      <xdr:rowOff>0</xdr:rowOff>
    </xdr:from>
    <xdr:to>
      <xdr:col>5</xdr:col>
      <xdr:colOff>290251</xdr:colOff>
      <xdr:row>44</xdr:row>
      <xdr:rowOff>174000</xdr:rowOff>
    </xdr:to>
    <xdr:grpSp>
      <xdr:nvGrpSpPr>
        <xdr:cNvPr id="247" name="Group 246"/>
        <xdr:cNvGrpSpPr/>
      </xdr:nvGrpSpPr>
      <xdr:grpSpPr>
        <a:xfrm>
          <a:off x="2286001" y="7696200"/>
          <a:ext cx="576000" cy="936000"/>
          <a:chOff x="1000125" y="6667500"/>
          <a:chExt cx="1076325" cy="1714500"/>
        </a:xfrm>
      </xdr:grpSpPr>
      <xdr:sp macro="" textlink="">
        <xdr:nvSpPr>
          <xdr:cNvPr id="248" name="Freeform 247"/>
          <xdr:cNvSpPr/>
        </xdr:nvSpPr>
        <xdr:spPr>
          <a:xfrm>
            <a:off x="1000125"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9" name="Freeform 248"/>
          <xdr:cNvSpPr/>
        </xdr:nvSpPr>
        <xdr:spPr>
          <a:xfrm flipH="1">
            <a:off x="1524000"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8</xdr:col>
      <xdr:colOff>457201</xdr:colOff>
      <xdr:row>40</xdr:row>
      <xdr:rowOff>0</xdr:rowOff>
    </xdr:from>
    <xdr:to>
      <xdr:col>10</xdr:col>
      <xdr:colOff>4501</xdr:colOff>
      <xdr:row>44</xdr:row>
      <xdr:rowOff>174000</xdr:rowOff>
    </xdr:to>
    <xdr:grpSp>
      <xdr:nvGrpSpPr>
        <xdr:cNvPr id="250" name="Group 249"/>
        <xdr:cNvGrpSpPr/>
      </xdr:nvGrpSpPr>
      <xdr:grpSpPr>
        <a:xfrm>
          <a:off x="4572001" y="7696200"/>
          <a:ext cx="576000" cy="936000"/>
          <a:chOff x="1000125" y="6667500"/>
          <a:chExt cx="1076325" cy="1714500"/>
        </a:xfrm>
      </xdr:grpSpPr>
      <xdr:sp macro="" textlink="">
        <xdr:nvSpPr>
          <xdr:cNvPr id="251" name="Freeform 250"/>
          <xdr:cNvSpPr/>
        </xdr:nvSpPr>
        <xdr:spPr>
          <a:xfrm>
            <a:off x="1000125"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2" name="Freeform 251"/>
          <xdr:cNvSpPr/>
        </xdr:nvSpPr>
        <xdr:spPr>
          <a:xfrm flipH="1">
            <a:off x="1524000" y="6667500"/>
            <a:ext cx="552450" cy="1714500"/>
          </a:xfrm>
          <a:custGeom>
            <a:avLst/>
            <a:gdLst>
              <a:gd name="connsiteX0" fmla="*/ 533400 w 552450"/>
              <a:gd name="connsiteY0" fmla="*/ 0 h 1714500"/>
              <a:gd name="connsiteX1" fmla="*/ 0 w 552450"/>
              <a:gd name="connsiteY1" fmla="*/ 0 h 1714500"/>
              <a:gd name="connsiteX2" fmla="*/ 0 w 552450"/>
              <a:gd name="connsiteY2" fmla="*/ 190500 h 1714500"/>
              <a:gd name="connsiteX3" fmla="*/ 409575 w 552450"/>
              <a:gd name="connsiteY3" fmla="*/ 381000 h 1714500"/>
              <a:gd name="connsiteX4" fmla="*/ 409575 w 552450"/>
              <a:gd name="connsiteY4" fmla="*/ 1323975 h 1714500"/>
              <a:gd name="connsiteX5" fmla="*/ 200025 w 552450"/>
              <a:gd name="connsiteY5" fmla="*/ 1533525 h 1714500"/>
              <a:gd name="connsiteX6" fmla="*/ 200025 w 552450"/>
              <a:gd name="connsiteY6" fmla="*/ 1714500 h 1714500"/>
              <a:gd name="connsiteX7" fmla="*/ 552450 w 552450"/>
              <a:gd name="connsiteY7" fmla="*/ 1714500 h 171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2450" h="1714500">
                <a:moveTo>
                  <a:pt x="533400" y="0"/>
                </a:moveTo>
                <a:lnTo>
                  <a:pt x="0" y="0"/>
                </a:lnTo>
                <a:lnTo>
                  <a:pt x="0" y="190500"/>
                </a:lnTo>
                <a:lnTo>
                  <a:pt x="409575" y="381000"/>
                </a:lnTo>
                <a:lnTo>
                  <a:pt x="409575" y="1323975"/>
                </a:lnTo>
                <a:lnTo>
                  <a:pt x="200025" y="1533525"/>
                </a:lnTo>
                <a:lnTo>
                  <a:pt x="200025" y="1714500"/>
                </a:lnTo>
                <a:lnTo>
                  <a:pt x="552450" y="1714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11</xdr:col>
      <xdr:colOff>76200</xdr:colOff>
      <xdr:row>39</xdr:row>
      <xdr:rowOff>19050</xdr:rowOff>
    </xdr:from>
    <xdr:to>
      <xdr:col>11</xdr:col>
      <xdr:colOff>76200</xdr:colOff>
      <xdr:row>44</xdr:row>
      <xdr:rowOff>180975</xdr:rowOff>
    </xdr:to>
    <xdr:cxnSp macro="">
      <xdr:nvCxnSpPr>
        <xdr:cNvPr id="253" name="Straight Connector 252"/>
        <xdr:cNvCxnSpPr/>
      </xdr:nvCxnSpPr>
      <xdr:spPr>
        <a:xfrm>
          <a:off x="5734050" y="34423350"/>
          <a:ext cx="0" cy="1114425"/>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209550</xdr:colOff>
      <xdr:row>39</xdr:row>
      <xdr:rowOff>0</xdr:rowOff>
    </xdr:from>
    <xdr:to>
      <xdr:col>11</xdr:col>
      <xdr:colOff>209550</xdr:colOff>
      <xdr:row>39</xdr:row>
      <xdr:rowOff>0</xdr:rowOff>
    </xdr:to>
    <xdr:cxnSp macro="">
      <xdr:nvCxnSpPr>
        <xdr:cNvPr id="254" name="Straight Connector 253"/>
        <xdr:cNvCxnSpPr/>
      </xdr:nvCxnSpPr>
      <xdr:spPr>
        <a:xfrm>
          <a:off x="5353050" y="34404300"/>
          <a:ext cx="514350"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295275</xdr:colOff>
      <xdr:row>44</xdr:row>
      <xdr:rowOff>171450</xdr:rowOff>
    </xdr:from>
    <xdr:to>
      <xdr:col>11</xdr:col>
      <xdr:colOff>190500</xdr:colOff>
      <xdr:row>44</xdr:row>
      <xdr:rowOff>171450</xdr:rowOff>
    </xdr:to>
    <xdr:cxnSp macro="">
      <xdr:nvCxnSpPr>
        <xdr:cNvPr id="255" name="Straight Connector 254"/>
        <xdr:cNvCxnSpPr/>
      </xdr:nvCxnSpPr>
      <xdr:spPr>
        <a:xfrm>
          <a:off x="4924425" y="35528250"/>
          <a:ext cx="923925" cy="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43</xdr:row>
      <xdr:rowOff>38100</xdr:rowOff>
    </xdr:from>
    <xdr:to>
      <xdr:col>2</xdr:col>
      <xdr:colOff>285750</xdr:colOff>
      <xdr:row>47</xdr:row>
      <xdr:rowOff>95250</xdr:rowOff>
    </xdr:to>
    <xdr:cxnSp macro="">
      <xdr:nvCxnSpPr>
        <xdr:cNvPr id="256" name="Straight Connector 255"/>
        <xdr:cNvCxnSpPr/>
      </xdr:nvCxnSpPr>
      <xdr:spPr>
        <a:xfrm>
          <a:off x="1314450" y="35204400"/>
          <a:ext cx="0" cy="819150"/>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47</xdr:row>
      <xdr:rowOff>0</xdr:rowOff>
    </xdr:from>
    <xdr:to>
      <xdr:col>5</xdr:col>
      <xdr:colOff>9525</xdr:colOff>
      <xdr:row>47</xdr:row>
      <xdr:rowOff>0</xdr:rowOff>
    </xdr:to>
    <xdr:cxnSp macro="">
      <xdr:nvCxnSpPr>
        <xdr:cNvPr id="257" name="Straight Connector 256"/>
        <xdr:cNvCxnSpPr/>
      </xdr:nvCxnSpPr>
      <xdr:spPr>
        <a:xfrm>
          <a:off x="1314450" y="35928300"/>
          <a:ext cx="1266825"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43</xdr:row>
      <xdr:rowOff>85725</xdr:rowOff>
    </xdr:from>
    <xdr:to>
      <xdr:col>5</xdr:col>
      <xdr:colOff>0</xdr:colOff>
      <xdr:row>47</xdr:row>
      <xdr:rowOff>142875</xdr:rowOff>
    </xdr:to>
    <xdr:cxnSp macro="">
      <xdr:nvCxnSpPr>
        <xdr:cNvPr id="258" name="Straight Connector 257"/>
        <xdr:cNvCxnSpPr/>
      </xdr:nvCxnSpPr>
      <xdr:spPr>
        <a:xfrm>
          <a:off x="2571750" y="35252025"/>
          <a:ext cx="0" cy="819150"/>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xdr:colOff>
      <xdr:row>37</xdr:row>
      <xdr:rowOff>76200</xdr:rowOff>
    </xdr:from>
    <xdr:to>
      <xdr:col>1</xdr:col>
      <xdr:colOff>28575</xdr:colOff>
      <xdr:row>47</xdr:row>
      <xdr:rowOff>133350</xdr:rowOff>
    </xdr:to>
    <xdr:cxnSp macro="">
      <xdr:nvCxnSpPr>
        <xdr:cNvPr id="259" name="Straight Connector 258"/>
        <xdr:cNvCxnSpPr/>
      </xdr:nvCxnSpPr>
      <xdr:spPr>
        <a:xfrm>
          <a:off x="542925" y="34099500"/>
          <a:ext cx="0" cy="196215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xdr:colOff>
      <xdr:row>47</xdr:row>
      <xdr:rowOff>0</xdr:rowOff>
    </xdr:from>
    <xdr:to>
      <xdr:col>2</xdr:col>
      <xdr:colOff>270225</xdr:colOff>
      <xdr:row>47</xdr:row>
      <xdr:rowOff>0</xdr:rowOff>
    </xdr:to>
    <xdr:cxnSp macro="">
      <xdr:nvCxnSpPr>
        <xdr:cNvPr id="260" name="Straight Connector 259"/>
        <xdr:cNvCxnSpPr/>
      </xdr:nvCxnSpPr>
      <xdr:spPr>
        <a:xfrm>
          <a:off x="542925" y="35928300"/>
          <a:ext cx="756000"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xdr:colOff>
      <xdr:row>38</xdr:row>
      <xdr:rowOff>0</xdr:rowOff>
    </xdr:from>
    <xdr:to>
      <xdr:col>10</xdr:col>
      <xdr:colOff>457200</xdr:colOff>
      <xdr:row>38</xdr:row>
      <xdr:rowOff>0</xdr:rowOff>
    </xdr:to>
    <xdr:cxnSp macro="">
      <xdr:nvCxnSpPr>
        <xdr:cNvPr id="261" name="Straight Connector 260"/>
        <xdr:cNvCxnSpPr/>
      </xdr:nvCxnSpPr>
      <xdr:spPr>
        <a:xfrm>
          <a:off x="542925" y="34213800"/>
          <a:ext cx="5057775" cy="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466725</xdr:colOff>
      <xdr:row>37</xdr:row>
      <xdr:rowOff>95250</xdr:rowOff>
    </xdr:from>
    <xdr:to>
      <xdr:col>10</xdr:col>
      <xdr:colOff>466725</xdr:colOff>
      <xdr:row>39</xdr:row>
      <xdr:rowOff>110250</xdr:rowOff>
    </xdr:to>
    <xdr:cxnSp macro="">
      <xdr:nvCxnSpPr>
        <xdr:cNvPr id="262" name="Straight Connector 261"/>
        <xdr:cNvCxnSpPr/>
      </xdr:nvCxnSpPr>
      <xdr:spPr>
        <a:xfrm>
          <a:off x="5610225" y="2571750"/>
          <a:ext cx="0" cy="39600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38100</xdr:colOff>
      <xdr:row>38</xdr:row>
      <xdr:rowOff>152400</xdr:rowOff>
    </xdr:from>
    <xdr:to>
      <xdr:col>10</xdr:col>
      <xdr:colOff>457200</xdr:colOff>
      <xdr:row>38</xdr:row>
      <xdr:rowOff>152400</xdr:rowOff>
    </xdr:to>
    <xdr:cxnSp macro="">
      <xdr:nvCxnSpPr>
        <xdr:cNvPr id="263" name="Straight Connector 262"/>
        <xdr:cNvCxnSpPr/>
      </xdr:nvCxnSpPr>
      <xdr:spPr>
        <a:xfrm>
          <a:off x="552450" y="34366200"/>
          <a:ext cx="50482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40</xdr:row>
      <xdr:rowOff>28575</xdr:rowOff>
    </xdr:from>
    <xdr:to>
      <xdr:col>10</xdr:col>
      <xdr:colOff>95250</xdr:colOff>
      <xdr:row>44</xdr:row>
      <xdr:rowOff>180975</xdr:rowOff>
    </xdr:to>
    <xdr:cxnSp macro="">
      <xdr:nvCxnSpPr>
        <xdr:cNvPr id="264" name="Straight Connector 263"/>
        <xdr:cNvCxnSpPr/>
      </xdr:nvCxnSpPr>
      <xdr:spPr>
        <a:xfrm>
          <a:off x="5238750" y="34623375"/>
          <a:ext cx="0" cy="91440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39</xdr:row>
      <xdr:rowOff>9524</xdr:rowOff>
    </xdr:from>
    <xdr:to>
      <xdr:col>10</xdr:col>
      <xdr:colOff>95250</xdr:colOff>
      <xdr:row>39</xdr:row>
      <xdr:rowOff>189524</xdr:rowOff>
    </xdr:to>
    <xdr:cxnSp macro="">
      <xdr:nvCxnSpPr>
        <xdr:cNvPr id="265" name="Straight Connector 264"/>
        <xdr:cNvCxnSpPr/>
      </xdr:nvCxnSpPr>
      <xdr:spPr>
        <a:xfrm>
          <a:off x="5238750" y="34413824"/>
          <a:ext cx="0" cy="180000"/>
        </a:xfrm>
        <a:prstGeom prst="line">
          <a:avLst/>
        </a:prstGeom>
        <a:ln>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468957</xdr:colOff>
      <xdr:row>44</xdr:row>
      <xdr:rowOff>75200</xdr:rowOff>
    </xdr:from>
    <xdr:to>
      <xdr:col>4</xdr:col>
      <xdr:colOff>335645</xdr:colOff>
      <xdr:row>44</xdr:row>
      <xdr:rowOff>75200</xdr:rowOff>
    </xdr:to>
    <xdr:cxnSp macro="">
      <xdr:nvCxnSpPr>
        <xdr:cNvPr id="266" name="Straight Connector 265"/>
        <xdr:cNvCxnSpPr>
          <a:stCxn id="246" idx="5"/>
          <a:endCxn id="248" idx="5"/>
        </xdr:cNvCxnSpPr>
      </xdr:nvCxnSpPr>
      <xdr:spPr>
        <a:xfrm>
          <a:off x="1497657" y="35432000"/>
          <a:ext cx="89538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183207</xdr:colOff>
      <xdr:row>44</xdr:row>
      <xdr:rowOff>75200</xdr:rowOff>
    </xdr:from>
    <xdr:to>
      <xdr:col>7</xdr:col>
      <xdr:colOff>49895</xdr:colOff>
      <xdr:row>44</xdr:row>
      <xdr:rowOff>75200</xdr:rowOff>
    </xdr:to>
    <xdr:cxnSp macro="">
      <xdr:nvCxnSpPr>
        <xdr:cNvPr id="267" name="Straight Connector 266"/>
        <xdr:cNvCxnSpPr/>
      </xdr:nvCxnSpPr>
      <xdr:spPr>
        <a:xfrm>
          <a:off x="2754957" y="35432000"/>
          <a:ext cx="89538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71</xdr:row>
      <xdr:rowOff>133350</xdr:rowOff>
    </xdr:from>
    <xdr:to>
      <xdr:col>2</xdr:col>
      <xdr:colOff>295275</xdr:colOff>
      <xdr:row>75</xdr:row>
      <xdr:rowOff>66675</xdr:rowOff>
    </xdr:to>
    <xdr:cxnSp macro="">
      <xdr:nvCxnSpPr>
        <xdr:cNvPr id="4" name="Straight Connector 3"/>
        <xdr:cNvCxnSpPr>
          <a:stCxn id="224" idx="1"/>
          <a:endCxn id="222" idx="1"/>
        </xdr:cNvCxnSpPr>
      </xdr:nvCxnSpPr>
      <xdr:spPr>
        <a:xfrm>
          <a:off x="1323975" y="19145250"/>
          <a:ext cx="0" cy="695325"/>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293369</xdr:colOff>
      <xdr:row>76</xdr:row>
      <xdr:rowOff>38100</xdr:rowOff>
    </xdr:from>
    <xdr:to>
      <xdr:col>2</xdr:col>
      <xdr:colOff>293369</xdr:colOff>
      <xdr:row>78</xdr:row>
      <xdr:rowOff>95250</xdr:rowOff>
    </xdr:to>
    <xdr:cxnSp macro="">
      <xdr:nvCxnSpPr>
        <xdr:cNvPr id="174" name="Straight Connector 173"/>
        <xdr:cNvCxnSpPr/>
      </xdr:nvCxnSpPr>
      <xdr:spPr>
        <a:xfrm>
          <a:off x="1322069" y="20002500"/>
          <a:ext cx="0" cy="43815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71</xdr:row>
      <xdr:rowOff>133350</xdr:rowOff>
    </xdr:from>
    <xdr:to>
      <xdr:col>2</xdr:col>
      <xdr:colOff>323850</xdr:colOff>
      <xdr:row>75</xdr:row>
      <xdr:rowOff>66675</xdr:rowOff>
    </xdr:to>
    <xdr:sp macro="" textlink="">
      <xdr:nvSpPr>
        <xdr:cNvPr id="3" name="Left Bracket 2"/>
        <xdr:cNvSpPr/>
      </xdr:nvSpPr>
      <xdr:spPr>
        <a:xfrm>
          <a:off x="771525" y="13354050"/>
          <a:ext cx="581025" cy="695325"/>
        </a:xfrm>
        <a:prstGeom prst="leftBracket">
          <a:avLst>
            <a:gd name="adj" fmla="val 0"/>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400051</xdr:colOff>
      <xdr:row>5</xdr:row>
      <xdr:rowOff>104775</xdr:rowOff>
    </xdr:from>
    <xdr:to>
      <xdr:col>4</xdr:col>
      <xdr:colOff>66675</xdr:colOff>
      <xdr:row>7</xdr:row>
      <xdr:rowOff>142875</xdr:rowOff>
    </xdr:to>
    <xdr:sp macro="" textlink="">
      <xdr:nvSpPr>
        <xdr:cNvPr id="18" name="Freeform 17"/>
        <xdr:cNvSpPr/>
      </xdr:nvSpPr>
      <xdr:spPr>
        <a:xfrm>
          <a:off x="1943101" y="1276350"/>
          <a:ext cx="180974" cy="419100"/>
        </a:xfrm>
        <a:custGeom>
          <a:avLst/>
          <a:gdLst>
            <a:gd name="connsiteX0" fmla="*/ 0 w 352425"/>
            <a:gd name="connsiteY0" fmla="*/ 495300 h 495300"/>
            <a:gd name="connsiteX1" fmla="*/ 0 w 352425"/>
            <a:gd name="connsiteY1" fmla="*/ 0 h 495300"/>
            <a:gd name="connsiteX2" fmla="*/ 352425 w 352425"/>
            <a:gd name="connsiteY2" fmla="*/ 0 h 495300"/>
          </a:gdLst>
          <a:ahLst/>
          <a:cxnLst>
            <a:cxn ang="0">
              <a:pos x="connsiteX0" y="connsiteY0"/>
            </a:cxn>
            <a:cxn ang="0">
              <a:pos x="connsiteX1" y="connsiteY1"/>
            </a:cxn>
            <a:cxn ang="0">
              <a:pos x="connsiteX2" y="connsiteY2"/>
            </a:cxn>
          </a:cxnLst>
          <a:rect l="l" t="t" r="r" b="b"/>
          <a:pathLst>
            <a:path w="352425" h="495300">
              <a:moveTo>
                <a:pt x="0" y="495300"/>
              </a:moveTo>
              <a:lnTo>
                <a:pt x="0" y="0"/>
              </a:lnTo>
              <a:lnTo>
                <a:pt x="352425" y="0"/>
              </a:lnTo>
            </a:path>
          </a:pathLst>
        </a:custGeom>
        <a:noFill/>
        <a:ln w="9525">
          <a:solidFill>
            <a:schemeClr val="tx2"/>
          </a:solidFill>
          <a:headEnd type="stealt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7</xdr:col>
      <xdr:colOff>180975</xdr:colOff>
      <xdr:row>5</xdr:row>
      <xdr:rowOff>9525</xdr:rowOff>
    </xdr:from>
    <xdr:to>
      <xdr:col>7</xdr:col>
      <xdr:colOff>390525</xdr:colOff>
      <xdr:row>7</xdr:row>
      <xdr:rowOff>168525</xdr:rowOff>
    </xdr:to>
    <xdr:sp macro="" textlink="">
      <xdr:nvSpPr>
        <xdr:cNvPr id="19" name="Freeform 18"/>
        <xdr:cNvSpPr/>
      </xdr:nvSpPr>
      <xdr:spPr>
        <a:xfrm flipH="1">
          <a:off x="3781425" y="1181100"/>
          <a:ext cx="209550" cy="540000"/>
        </a:xfrm>
        <a:custGeom>
          <a:avLst/>
          <a:gdLst>
            <a:gd name="connsiteX0" fmla="*/ 0 w 390525"/>
            <a:gd name="connsiteY0" fmla="*/ 628650 h 704850"/>
            <a:gd name="connsiteX1" fmla="*/ 0 w 390525"/>
            <a:gd name="connsiteY1" fmla="*/ 0 h 704850"/>
            <a:gd name="connsiteX2" fmla="*/ 209550 w 390525"/>
            <a:gd name="connsiteY2" fmla="*/ 0 h 704850"/>
            <a:gd name="connsiteX3" fmla="*/ 209550 w 390525"/>
            <a:gd name="connsiteY3" fmla="*/ 304800 h 704850"/>
            <a:gd name="connsiteX4" fmla="*/ 390525 w 390525"/>
            <a:gd name="connsiteY4" fmla="*/ 485775 h 704850"/>
            <a:gd name="connsiteX5" fmla="*/ 390525 w 390525"/>
            <a:gd name="connsiteY5" fmla="*/ 704850 h 704850"/>
            <a:gd name="connsiteX0" fmla="*/ 0 w 400050"/>
            <a:gd name="connsiteY0" fmla="*/ 742950 h 742950"/>
            <a:gd name="connsiteX1" fmla="*/ 9525 w 400050"/>
            <a:gd name="connsiteY1" fmla="*/ 0 h 742950"/>
            <a:gd name="connsiteX2" fmla="*/ 219075 w 400050"/>
            <a:gd name="connsiteY2" fmla="*/ 0 h 742950"/>
            <a:gd name="connsiteX3" fmla="*/ 219075 w 400050"/>
            <a:gd name="connsiteY3" fmla="*/ 304800 h 742950"/>
            <a:gd name="connsiteX4" fmla="*/ 400050 w 400050"/>
            <a:gd name="connsiteY4" fmla="*/ 485775 h 742950"/>
            <a:gd name="connsiteX5" fmla="*/ 400050 w 400050"/>
            <a:gd name="connsiteY5" fmla="*/ 704850 h 7429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00050" h="742950">
              <a:moveTo>
                <a:pt x="0" y="742950"/>
              </a:moveTo>
              <a:lnTo>
                <a:pt x="9525" y="0"/>
              </a:lnTo>
              <a:lnTo>
                <a:pt x="219075" y="0"/>
              </a:lnTo>
              <a:lnTo>
                <a:pt x="219075" y="304800"/>
              </a:lnTo>
              <a:lnTo>
                <a:pt x="400050" y="485775"/>
              </a:lnTo>
              <a:lnTo>
                <a:pt x="400050" y="704850"/>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xdr:col>
      <xdr:colOff>85725</xdr:colOff>
      <xdr:row>5</xdr:row>
      <xdr:rowOff>0</xdr:rowOff>
    </xdr:from>
    <xdr:to>
      <xdr:col>2</xdr:col>
      <xdr:colOff>295275</xdr:colOff>
      <xdr:row>7</xdr:row>
      <xdr:rowOff>159000</xdr:rowOff>
    </xdr:to>
    <xdr:sp macro="" textlink="">
      <xdr:nvSpPr>
        <xdr:cNvPr id="20" name="Freeform 19"/>
        <xdr:cNvSpPr/>
      </xdr:nvSpPr>
      <xdr:spPr>
        <a:xfrm>
          <a:off x="1114425" y="1171575"/>
          <a:ext cx="209550" cy="540000"/>
        </a:xfrm>
        <a:custGeom>
          <a:avLst/>
          <a:gdLst>
            <a:gd name="connsiteX0" fmla="*/ 0 w 390525"/>
            <a:gd name="connsiteY0" fmla="*/ 628650 h 704850"/>
            <a:gd name="connsiteX1" fmla="*/ 0 w 390525"/>
            <a:gd name="connsiteY1" fmla="*/ 0 h 704850"/>
            <a:gd name="connsiteX2" fmla="*/ 209550 w 390525"/>
            <a:gd name="connsiteY2" fmla="*/ 0 h 704850"/>
            <a:gd name="connsiteX3" fmla="*/ 209550 w 390525"/>
            <a:gd name="connsiteY3" fmla="*/ 304800 h 704850"/>
            <a:gd name="connsiteX4" fmla="*/ 390525 w 390525"/>
            <a:gd name="connsiteY4" fmla="*/ 485775 h 704850"/>
            <a:gd name="connsiteX5" fmla="*/ 390525 w 390525"/>
            <a:gd name="connsiteY5" fmla="*/ 704850 h 704850"/>
            <a:gd name="connsiteX0" fmla="*/ 0 w 400050"/>
            <a:gd name="connsiteY0" fmla="*/ 742950 h 742950"/>
            <a:gd name="connsiteX1" fmla="*/ 9525 w 400050"/>
            <a:gd name="connsiteY1" fmla="*/ 0 h 742950"/>
            <a:gd name="connsiteX2" fmla="*/ 219075 w 400050"/>
            <a:gd name="connsiteY2" fmla="*/ 0 h 742950"/>
            <a:gd name="connsiteX3" fmla="*/ 219075 w 400050"/>
            <a:gd name="connsiteY3" fmla="*/ 304800 h 742950"/>
            <a:gd name="connsiteX4" fmla="*/ 400050 w 400050"/>
            <a:gd name="connsiteY4" fmla="*/ 485775 h 742950"/>
            <a:gd name="connsiteX5" fmla="*/ 400050 w 400050"/>
            <a:gd name="connsiteY5" fmla="*/ 704850 h 7429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00050" h="742950">
              <a:moveTo>
                <a:pt x="0" y="742950"/>
              </a:moveTo>
              <a:lnTo>
                <a:pt x="9525" y="0"/>
              </a:lnTo>
              <a:lnTo>
                <a:pt x="219075" y="0"/>
              </a:lnTo>
              <a:lnTo>
                <a:pt x="219075" y="304800"/>
              </a:lnTo>
              <a:lnTo>
                <a:pt x="400050" y="485775"/>
              </a:lnTo>
              <a:lnTo>
                <a:pt x="400050" y="704850"/>
              </a:lnTo>
            </a:path>
          </a:pathLst>
        </a:custGeom>
        <a:noFill/>
        <a:ln w="952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0</xdr:col>
      <xdr:colOff>266700</xdr:colOff>
      <xdr:row>5</xdr:row>
      <xdr:rowOff>0</xdr:rowOff>
    </xdr:from>
    <xdr:to>
      <xdr:col>1</xdr:col>
      <xdr:colOff>0</xdr:colOff>
      <xdr:row>7</xdr:row>
      <xdr:rowOff>180975</xdr:rowOff>
    </xdr:to>
    <xdr:grpSp>
      <xdr:nvGrpSpPr>
        <xdr:cNvPr id="21" name="Group 20"/>
        <xdr:cNvGrpSpPr/>
      </xdr:nvGrpSpPr>
      <xdr:grpSpPr>
        <a:xfrm>
          <a:off x="266700" y="952500"/>
          <a:ext cx="247650" cy="561975"/>
          <a:chOff x="466725" y="2314575"/>
          <a:chExt cx="247650" cy="561975"/>
        </a:xfrm>
      </xdr:grpSpPr>
      <xdr:sp macro="" textlink="">
        <xdr:nvSpPr>
          <xdr:cNvPr id="22" name="Freeform 21"/>
          <xdr:cNvSpPr/>
        </xdr:nvSpPr>
        <xdr:spPr>
          <a:xfrm>
            <a:off x="466725" y="2686050"/>
            <a:ext cx="247650" cy="190500"/>
          </a:xfrm>
          <a:custGeom>
            <a:avLst/>
            <a:gdLst>
              <a:gd name="connsiteX0" fmla="*/ 247650 w 247650"/>
              <a:gd name="connsiteY0" fmla="*/ 152400 h 190500"/>
              <a:gd name="connsiteX1" fmla="*/ 219075 w 247650"/>
              <a:gd name="connsiteY1" fmla="*/ 0 h 190500"/>
              <a:gd name="connsiteX2" fmla="*/ 0 w 247650"/>
              <a:gd name="connsiteY2" fmla="*/ 0 h 190500"/>
              <a:gd name="connsiteX3" fmla="*/ 0 w 247650"/>
              <a:gd name="connsiteY3" fmla="*/ 190500 h 190500"/>
              <a:gd name="connsiteX0" fmla="*/ 257175 w 257175"/>
              <a:gd name="connsiteY0" fmla="*/ 209550 h 209550"/>
              <a:gd name="connsiteX1" fmla="*/ 219075 w 257175"/>
              <a:gd name="connsiteY1" fmla="*/ 0 h 209550"/>
              <a:gd name="connsiteX2" fmla="*/ 0 w 257175"/>
              <a:gd name="connsiteY2" fmla="*/ 0 h 209550"/>
              <a:gd name="connsiteX3" fmla="*/ 0 w 257175"/>
              <a:gd name="connsiteY3" fmla="*/ 190500 h 209550"/>
              <a:gd name="connsiteX0" fmla="*/ 247650 w 247650"/>
              <a:gd name="connsiteY0" fmla="*/ 180975 h 190500"/>
              <a:gd name="connsiteX1" fmla="*/ 219075 w 247650"/>
              <a:gd name="connsiteY1" fmla="*/ 0 h 190500"/>
              <a:gd name="connsiteX2" fmla="*/ 0 w 247650"/>
              <a:gd name="connsiteY2" fmla="*/ 0 h 190500"/>
              <a:gd name="connsiteX3" fmla="*/ 0 w 247650"/>
              <a:gd name="connsiteY3" fmla="*/ 190500 h 190500"/>
            </a:gdLst>
            <a:ahLst/>
            <a:cxnLst>
              <a:cxn ang="0">
                <a:pos x="connsiteX0" y="connsiteY0"/>
              </a:cxn>
              <a:cxn ang="0">
                <a:pos x="connsiteX1" y="connsiteY1"/>
              </a:cxn>
              <a:cxn ang="0">
                <a:pos x="connsiteX2" y="connsiteY2"/>
              </a:cxn>
              <a:cxn ang="0">
                <a:pos x="connsiteX3" y="connsiteY3"/>
              </a:cxn>
            </a:cxnLst>
            <a:rect l="l" t="t" r="r" b="b"/>
            <a:pathLst>
              <a:path w="247650" h="190500">
                <a:moveTo>
                  <a:pt x="247650" y="180975"/>
                </a:moveTo>
                <a:lnTo>
                  <a:pt x="219075" y="0"/>
                </a:lnTo>
                <a:lnTo>
                  <a:pt x="0" y="0"/>
                </a:lnTo>
                <a:lnTo>
                  <a:pt x="0" y="190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22"/>
          <xdr:cNvSpPr/>
        </xdr:nvSpPr>
        <xdr:spPr>
          <a:xfrm>
            <a:off x="476250" y="2314575"/>
            <a:ext cx="114300" cy="371475"/>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clientData/>
  </xdr:twoCellAnchor>
  <xdr:twoCellAnchor>
    <xdr:from>
      <xdr:col>8</xdr:col>
      <xdr:colOff>476250</xdr:colOff>
      <xdr:row>5</xdr:row>
      <xdr:rowOff>9525</xdr:rowOff>
    </xdr:from>
    <xdr:to>
      <xdr:col>9</xdr:col>
      <xdr:colOff>209550</xdr:colOff>
      <xdr:row>8</xdr:row>
      <xdr:rowOff>0</xdr:rowOff>
    </xdr:to>
    <xdr:grpSp>
      <xdr:nvGrpSpPr>
        <xdr:cNvPr id="25" name="Group 24"/>
        <xdr:cNvGrpSpPr/>
      </xdr:nvGrpSpPr>
      <xdr:grpSpPr>
        <a:xfrm flipH="1">
          <a:off x="4591050" y="962025"/>
          <a:ext cx="247650" cy="561975"/>
          <a:chOff x="466725" y="2314575"/>
          <a:chExt cx="247650" cy="561975"/>
        </a:xfrm>
      </xdr:grpSpPr>
      <xdr:sp macro="" textlink="">
        <xdr:nvSpPr>
          <xdr:cNvPr id="26" name="Freeform 25"/>
          <xdr:cNvSpPr/>
        </xdr:nvSpPr>
        <xdr:spPr>
          <a:xfrm>
            <a:off x="466725" y="2686050"/>
            <a:ext cx="247650" cy="190500"/>
          </a:xfrm>
          <a:custGeom>
            <a:avLst/>
            <a:gdLst>
              <a:gd name="connsiteX0" fmla="*/ 247650 w 247650"/>
              <a:gd name="connsiteY0" fmla="*/ 152400 h 190500"/>
              <a:gd name="connsiteX1" fmla="*/ 219075 w 247650"/>
              <a:gd name="connsiteY1" fmla="*/ 0 h 190500"/>
              <a:gd name="connsiteX2" fmla="*/ 0 w 247650"/>
              <a:gd name="connsiteY2" fmla="*/ 0 h 190500"/>
              <a:gd name="connsiteX3" fmla="*/ 0 w 247650"/>
              <a:gd name="connsiteY3" fmla="*/ 190500 h 190500"/>
              <a:gd name="connsiteX0" fmla="*/ 257175 w 257175"/>
              <a:gd name="connsiteY0" fmla="*/ 209550 h 209550"/>
              <a:gd name="connsiteX1" fmla="*/ 219075 w 257175"/>
              <a:gd name="connsiteY1" fmla="*/ 0 h 209550"/>
              <a:gd name="connsiteX2" fmla="*/ 0 w 257175"/>
              <a:gd name="connsiteY2" fmla="*/ 0 h 209550"/>
              <a:gd name="connsiteX3" fmla="*/ 0 w 257175"/>
              <a:gd name="connsiteY3" fmla="*/ 190500 h 209550"/>
              <a:gd name="connsiteX0" fmla="*/ 247650 w 247650"/>
              <a:gd name="connsiteY0" fmla="*/ 180975 h 190500"/>
              <a:gd name="connsiteX1" fmla="*/ 219075 w 247650"/>
              <a:gd name="connsiteY1" fmla="*/ 0 h 190500"/>
              <a:gd name="connsiteX2" fmla="*/ 0 w 247650"/>
              <a:gd name="connsiteY2" fmla="*/ 0 h 190500"/>
              <a:gd name="connsiteX3" fmla="*/ 0 w 247650"/>
              <a:gd name="connsiteY3" fmla="*/ 190500 h 190500"/>
            </a:gdLst>
            <a:ahLst/>
            <a:cxnLst>
              <a:cxn ang="0">
                <a:pos x="connsiteX0" y="connsiteY0"/>
              </a:cxn>
              <a:cxn ang="0">
                <a:pos x="connsiteX1" y="connsiteY1"/>
              </a:cxn>
              <a:cxn ang="0">
                <a:pos x="connsiteX2" y="connsiteY2"/>
              </a:cxn>
              <a:cxn ang="0">
                <a:pos x="connsiteX3" y="connsiteY3"/>
              </a:cxn>
            </a:cxnLst>
            <a:rect l="l" t="t" r="r" b="b"/>
            <a:pathLst>
              <a:path w="247650" h="190500">
                <a:moveTo>
                  <a:pt x="247650" y="180975"/>
                </a:moveTo>
                <a:lnTo>
                  <a:pt x="219075" y="0"/>
                </a:lnTo>
                <a:lnTo>
                  <a:pt x="0" y="0"/>
                </a:lnTo>
                <a:lnTo>
                  <a:pt x="0" y="19050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Rectangle 26"/>
          <xdr:cNvSpPr/>
        </xdr:nvSpPr>
        <xdr:spPr>
          <a:xfrm>
            <a:off x="476250" y="2314575"/>
            <a:ext cx="114300" cy="371475"/>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clientData/>
  </xdr:twoCellAnchor>
  <xdr:twoCellAnchor>
    <xdr:from>
      <xdr:col>0</xdr:col>
      <xdr:colOff>266700</xdr:colOff>
      <xdr:row>7</xdr:row>
      <xdr:rowOff>123825</xdr:rowOff>
    </xdr:from>
    <xdr:to>
      <xdr:col>9</xdr:col>
      <xdr:colOff>209550</xdr:colOff>
      <xdr:row>8</xdr:row>
      <xdr:rowOff>152400</xdr:rowOff>
    </xdr:to>
    <xdr:grpSp>
      <xdr:nvGrpSpPr>
        <xdr:cNvPr id="28" name="Group 27"/>
        <xdr:cNvGrpSpPr/>
      </xdr:nvGrpSpPr>
      <xdr:grpSpPr>
        <a:xfrm>
          <a:off x="266700" y="1457325"/>
          <a:ext cx="4572000" cy="219075"/>
          <a:chOff x="466725" y="3009900"/>
          <a:chExt cx="4171950" cy="219075"/>
        </a:xfrm>
      </xdr:grpSpPr>
      <xdr:grpSp>
        <xdr:nvGrpSpPr>
          <xdr:cNvPr id="29" name="Group 28"/>
          <xdr:cNvGrpSpPr/>
        </xdr:nvGrpSpPr>
        <xdr:grpSpPr>
          <a:xfrm>
            <a:off x="466725" y="3009900"/>
            <a:ext cx="4171950" cy="57150"/>
            <a:chOff x="381000" y="2476500"/>
            <a:chExt cx="4171950" cy="57150"/>
          </a:xfrm>
        </xdr:grpSpPr>
        <xdr:sp macro="" textlink="">
          <xdr:nvSpPr>
            <xdr:cNvPr id="36" name="Freeform 35"/>
            <xdr:cNvSpPr/>
          </xdr:nvSpPr>
          <xdr:spPr>
            <a:xfrm>
              <a:off x="381000" y="2476500"/>
              <a:ext cx="2085975" cy="57150"/>
            </a:xfrm>
            <a:custGeom>
              <a:avLst/>
              <a:gdLst>
                <a:gd name="connsiteX0" fmla="*/ 0 w 2085975"/>
                <a:gd name="connsiteY0" fmla="*/ 57150 h 57150"/>
                <a:gd name="connsiteX1" fmla="*/ 2085975 w 2085975"/>
                <a:gd name="connsiteY1" fmla="*/ 0 h 57150"/>
              </a:gdLst>
              <a:ahLst/>
              <a:cxnLst>
                <a:cxn ang="0">
                  <a:pos x="connsiteX0" y="connsiteY0"/>
                </a:cxn>
                <a:cxn ang="0">
                  <a:pos x="connsiteX1" y="connsiteY1"/>
                </a:cxn>
              </a:cxnLst>
              <a:rect l="l" t="t" r="r" b="b"/>
              <a:pathLst>
                <a:path w="2085975" h="57150">
                  <a:moveTo>
                    <a:pt x="0" y="57150"/>
                  </a:moveTo>
                  <a:lnTo>
                    <a:pt x="2085975" y="0"/>
                  </a:lnTo>
                </a:path>
              </a:pathLst>
            </a:custGeom>
            <a:noFill/>
            <a:ln w="127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Freeform 36"/>
            <xdr:cNvSpPr/>
          </xdr:nvSpPr>
          <xdr:spPr>
            <a:xfrm flipH="1">
              <a:off x="2466975" y="2476500"/>
              <a:ext cx="2085975" cy="57150"/>
            </a:xfrm>
            <a:custGeom>
              <a:avLst/>
              <a:gdLst>
                <a:gd name="connsiteX0" fmla="*/ 0 w 2085975"/>
                <a:gd name="connsiteY0" fmla="*/ 57150 h 57150"/>
                <a:gd name="connsiteX1" fmla="*/ 2085975 w 2085975"/>
                <a:gd name="connsiteY1" fmla="*/ 0 h 57150"/>
              </a:gdLst>
              <a:ahLst/>
              <a:cxnLst>
                <a:cxn ang="0">
                  <a:pos x="connsiteX0" y="connsiteY0"/>
                </a:cxn>
                <a:cxn ang="0">
                  <a:pos x="connsiteX1" y="connsiteY1"/>
                </a:cxn>
              </a:cxnLst>
              <a:rect l="l" t="t" r="r" b="b"/>
              <a:pathLst>
                <a:path w="2085975" h="57150">
                  <a:moveTo>
                    <a:pt x="0" y="57150"/>
                  </a:moveTo>
                  <a:lnTo>
                    <a:pt x="2085975" y="0"/>
                  </a:lnTo>
                </a:path>
              </a:pathLst>
            </a:custGeom>
            <a:noFill/>
            <a:ln w="127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30" name="Group 29"/>
          <xdr:cNvGrpSpPr/>
        </xdr:nvGrpSpPr>
        <xdr:grpSpPr>
          <a:xfrm>
            <a:off x="466725" y="3171825"/>
            <a:ext cx="4171950" cy="57150"/>
            <a:chOff x="381000" y="2476500"/>
            <a:chExt cx="4171950" cy="57150"/>
          </a:xfrm>
        </xdr:grpSpPr>
        <xdr:sp macro="" textlink="">
          <xdr:nvSpPr>
            <xdr:cNvPr id="34" name="Freeform 33"/>
            <xdr:cNvSpPr/>
          </xdr:nvSpPr>
          <xdr:spPr>
            <a:xfrm>
              <a:off x="381000" y="2476500"/>
              <a:ext cx="2085975" cy="57150"/>
            </a:xfrm>
            <a:custGeom>
              <a:avLst/>
              <a:gdLst>
                <a:gd name="connsiteX0" fmla="*/ 0 w 2085975"/>
                <a:gd name="connsiteY0" fmla="*/ 57150 h 57150"/>
                <a:gd name="connsiteX1" fmla="*/ 2085975 w 2085975"/>
                <a:gd name="connsiteY1" fmla="*/ 0 h 57150"/>
              </a:gdLst>
              <a:ahLst/>
              <a:cxnLst>
                <a:cxn ang="0">
                  <a:pos x="connsiteX0" y="connsiteY0"/>
                </a:cxn>
                <a:cxn ang="0">
                  <a:pos x="connsiteX1" y="connsiteY1"/>
                </a:cxn>
              </a:cxnLst>
              <a:rect l="l" t="t" r="r" b="b"/>
              <a:pathLst>
                <a:path w="2085975" h="57150">
                  <a:moveTo>
                    <a:pt x="0" y="57150"/>
                  </a:moveTo>
                  <a:lnTo>
                    <a:pt x="2085975"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Freeform 34"/>
            <xdr:cNvSpPr/>
          </xdr:nvSpPr>
          <xdr:spPr>
            <a:xfrm flipH="1">
              <a:off x="2466975" y="2476500"/>
              <a:ext cx="2085975" cy="57150"/>
            </a:xfrm>
            <a:custGeom>
              <a:avLst/>
              <a:gdLst>
                <a:gd name="connsiteX0" fmla="*/ 0 w 2085975"/>
                <a:gd name="connsiteY0" fmla="*/ 57150 h 57150"/>
                <a:gd name="connsiteX1" fmla="*/ 2085975 w 2085975"/>
                <a:gd name="connsiteY1" fmla="*/ 0 h 57150"/>
              </a:gdLst>
              <a:ahLst/>
              <a:cxnLst>
                <a:cxn ang="0">
                  <a:pos x="connsiteX0" y="connsiteY0"/>
                </a:cxn>
                <a:cxn ang="0">
                  <a:pos x="connsiteX1" y="connsiteY1"/>
                </a:cxn>
              </a:cxnLst>
              <a:rect l="l" t="t" r="r" b="b"/>
              <a:pathLst>
                <a:path w="2085975" h="57150">
                  <a:moveTo>
                    <a:pt x="0" y="57150"/>
                  </a:moveTo>
                  <a:lnTo>
                    <a:pt x="2085975"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31" name="Group 30"/>
          <xdr:cNvGrpSpPr/>
        </xdr:nvGrpSpPr>
        <xdr:grpSpPr>
          <a:xfrm>
            <a:off x="466725" y="3038475"/>
            <a:ext cx="4171950" cy="57150"/>
            <a:chOff x="381000" y="2476500"/>
            <a:chExt cx="4171950" cy="57150"/>
          </a:xfrm>
        </xdr:grpSpPr>
        <xdr:sp macro="" textlink="">
          <xdr:nvSpPr>
            <xdr:cNvPr id="32" name="Freeform 31"/>
            <xdr:cNvSpPr/>
          </xdr:nvSpPr>
          <xdr:spPr>
            <a:xfrm>
              <a:off x="381000" y="2476500"/>
              <a:ext cx="2085975" cy="57150"/>
            </a:xfrm>
            <a:custGeom>
              <a:avLst/>
              <a:gdLst>
                <a:gd name="connsiteX0" fmla="*/ 0 w 2085975"/>
                <a:gd name="connsiteY0" fmla="*/ 57150 h 57150"/>
                <a:gd name="connsiteX1" fmla="*/ 2085975 w 2085975"/>
                <a:gd name="connsiteY1" fmla="*/ 0 h 57150"/>
              </a:gdLst>
              <a:ahLst/>
              <a:cxnLst>
                <a:cxn ang="0">
                  <a:pos x="connsiteX0" y="connsiteY0"/>
                </a:cxn>
                <a:cxn ang="0">
                  <a:pos x="connsiteX1" y="connsiteY1"/>
                </a:cxn>
              </a:cxnLst>
              <a:rect l="l" t="t" r="r" b="b"/>
              <a:pathLst>
                <a:path w="2085975" h="57150">
                  <a:moveTo>
                    <a:pt x="0" y="57150"/>
                  </a:moveTo>
                  <a:lnTo>
                    <a:pt x="2085975"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3" name="Freeform 32"/>
            <xdr:cNvSpPr/>
          </xdr:nvSpPr>
          <xdr:spPr>
            <a:xfrm flipH="1">
              <a:off x="2466975" y="2476500"/>
              <a:ext cx="2085975" cy="57150"/>
            </a:xfrm>
            <a:custGeom>
              <a:avLst/>
              <a:gdLst>
                <a:gd name="connsiteX0" fmla="*/ 0 w 2085975"/>
                <a:gd name="connsiteY0" fmla="*/ 57150 h 57150"/>
                <a:gd name="connsiteX1" fmla="*/ 2085975 w 2085975"/>
                <a:gd name="connsiteY1" fmla="*/ 0 h 57150"/>
              </a:gdLst>
              <a:ahLst/>
              <a:cxnLst>
                <a:cxn ang="0">
                  <a:pos x="connsiteX0" y="connsiteY0"/>
                </a:cxn>
                <a:cxn ang="0">
                  <a:pos x="connsiteX1" y="connsiteY1"/>
                </a:cxn>
              </a:cxnLst>
              <a:rect l="l" t="t" r="r" b="b"/>
              <a:pathLst>
                <a:path w="2085975" h="57150">
                  <a:moveTo>
                    <a:pt x="0" y="57150"/>
                  </a:moveTo>
                  <a:lnTo>
                    <a:pt x="2085975"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xdr:from>
      <xdr:col>0</xdr:col>
      <xdr:colOff>266700</xdr:colOff>
      <xdr:row>7</xdr:row>
      <xdr:rowOff>180975</xdr:rowOff>
    </xdr:from>
    <xdr:to>
      <xdr:col>0</xdr:col>
      <xdr:colOff>266700</xdr:colOff>
      <xdr:row>8</xdr:row>
      <xdr:rowOff>152400</xdr:rowOff>
    </xdr:to>
    <xdr:cxnSp macro="">
      <xdr:nvCxnSpPr>
        <xdr:cNvPr id="38" name="Straight Connector 37"/>
        <xdr:cNvCxnSpPr>
          <a:stCxn id="22" idx="3"/>
          <a:endCxn id="34" idx="0"/>
        </xdr:cNvCxnSpPr>
      </xdr:nvCxnSpPr>
      <xdr:spPr>
        <a:xfrm>
          <a:off x="266700" y="1733550"/>
          <a:ext cx="0" cy="161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209550</xdr:colOff>
      <xdr:row>7</xdr:row>
      <xdr:rowOff>180975</xdr:rowOff>
    </xdr:from>
    <xdr:to>
      <xdr:col>9</xdr:col>
      <xdr:colOff>209550</xdr:colOff>
      <xdr:row>8</xdr:row>
      <xdr:rowOff>152400</xdr:rowOff>
    </xdr:to>
    <xdr:cxnSp macro="">
      <xdr:nvCxnSpPr>
        <xdr:cNvPr id="39" name="Straight Connector 38"/>
        <xdr:cNvCxnSpPr>
          <a:stCxn id="37" idx="0"/>
          <a:endCxn id="35" idx="0"/>
        </xdr:cNvCxnSpPr>
      </xdr:nvCxnSpPr>
      <xdr:spPr>
        <a:xfrm>
          <a:off x="4838700" y="1733550"/>
          <a:ext cx="0" cy="161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3</xdr:row>
      <xdr:rowOff>104775</xdr:rowOff>
    </xdr:from>
    <xdr:to>
      <xdr:col>2</xdr:col>
      <xdr:colOff>295275</xdr:colOff>
      <xdr:row>6</xdr:row>
      <xdr:rowOff>172102</xdr:rowOff>
    </xdr:to>
    <xdr:cxnSp macro="">
      <xdr:nvCxnSpPr>
        <xdr:cNvPr id="40" name="Straight Connector 39"/>
        <xdr:cNvCxnSpPr/>
      </xdr:nvCxnSpPr>
      <xdr:spPr>
        <a:xfrm flipV="1">
          <a:off x="1323975" y="895350"/>
          <a:ext cx="0" cy="638827"/>
        </a:xfrm>
        <a:prstGeom prst="line">
          <a:avLst/>
        </a:prstGeom>
        <a:ln w="9525" cmpd="sng">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180975</xdr:colOff>
      <xdr:row>3</xdr:row>
      <xdr:rowOff>152400</xdr:rowOff>
    </xdr:from>
    <xdr:to>
      <xdr:col>7</xdr:col>
      <xdr:colOff>180975</xdr:colOff>
      <xdr:row>6</xdr:row>
      <xdr:rowOff>181627</xdr:rowOff>
    </xdr:to>
    <xdr:cxnSp macro="">
      <xdr:nvCxnSpPr>
        <xdr:cNvPr id="41" name="Straight Connector 40"/>
        <xdr:cNvCxnSpPr/>
      </xdr:nvCxnSpPr>
      <xdr:spPr>
        <a:xfrm flipV="1">
          <a:off x="3781425" y="942975"/>
          <a:ext cx="0" cy="600727"/>
        </a:xfrm>
        <a:prstGeom prst="line">
          <a:avLst/>
        </a:prstGeom>
        <a:ln w="9525" cmpd="sng">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304799</xdr:colOff>
      <xdr:row>4</xdr:row>
      <xdr:rowOff>0</xdr:rowOff>
    </xdr:from>
    <xdr:to>
      <xdr:col>7</xdr:col>
      <xdr:colOff>171450</xdr:colOff>
      <xdr:row>4</xdr:row>
      <xdr:rowOff>0</xdr:rowOff>
    </xdr:to>
    <xdr:cxnSp macro="">
      <xdr:nvCxnSpPr>
        <xdr:cNvPr id="42" name="Straight Connector 41"/>
        <xdr:cNvCxnSpPr/>
      </xdr:nvCxnSpPr>
      <xdr:spPr>
        <a:xfrm>
          <a:off x="1333499" y="981075"/>
          <a:ext cx="2438401"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3</xdr:row>
      <xdr:rowOff>142875</xdr:rowOff>
    </xdr:from>
    <xdr:to>
      <xdr:col>7</xdr:col>
      <xdr:colOff>390525</xdr:colOff>
      <xdr:row>6</xdr:row>
      <xdr:rowOff>172102</xdr:rowOff>
    </xdr:to>
    <xdr:cxnSp macro="">
      <xdr:nvCxnSpPr>
        <xdr:cNvPr id="43" name="Straight Connector 42"/>
        <xdr:cNvCxnSpPr/>
      </xdr:nvCxnSpPr>
      <xdr:spPr>
        <a:xfrm flipV="1">
          <a:off x="3990975" y="933450"/>
          <a:ext cx="0" cy="600727"/>
        </a:xfrm>
        <a:prstGeom prst="line">
          <a:avLst/>
        </a:prstGeom>
        <a:ln w="9525" cmpd="sng">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2</xdr:row>
      <xdr:rowOff>95250</xdr:rowOff>
    </xdr:from>
    <xdr:to>
      <xdr:col>9</xdr:col>
      <xdr:colOff>200025</xdr:colOff>
      <xdr:row>6</xdr:row>
      <xdr:rowOff>134003</xdr:rowOff>
    </xdr:to>
    <xdr:cxnSp macro="">
      <xdr:nvCxnSpPr>
        <xdr:cNvPr id="51" name="Straight Connector 50"/>
        <xdr:cNvCxnSpPr/>
      </xdr:nvCxnSpPr>
      <xdr:spPr>
        <a:xfrm flipV="1">
          <a:off x="4829175" y="695325"/>
          <a:ext cx="0" cy="800753"/>
        </a:xfrm>
        <a:prstGeom prst="line">
          <a:avLst/>
        </a:prstGeom>
        <a:ln w="9525" cmpd="sng">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85725</xdr:colOff>
      <xdr:row>3</xdr:row>
      <xdr:rowOff>104775</xdr:rowOff>
    </xdr:from>
    <xdr:to>
      <xdr:col>9</xdr:col>
      <xdr:colOff>85725</xdr:colOff>
      <xdr:row>6</xdr:row>
      <xdr:rowOff>134002</xdr:rowOff>
    </xdr:to>
    <xdr:cxnSp macro="">
      <xdr:nvCxnSpPr>
        <xdr:cNvPr id="52" name="Straight Connector 51"/>
        <xdr:cNvCxnSpPr/>
      </xdr:nvCxnSpPr>
      <xdr:spPr>
        <a:xfrm flipV="1">
          <a:off x="4714875" y="895350"/>
          <a:ext cx="0" cy="600727"/>
        </a:xfrm>
        <a:prstGeom prst="line">
          <a:avLst/>
        </a:prstGeom>
        <a:ln w="9525" cmpd="sng">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3</xdr:row>
      <xdr:rowOff>104775</xdr:rowOff>
    </xdr:from>
    <xdr:to>
      <xdr:col>2</xdr:col>
      <xdr:colOff>85725</xdr:colOff>
      <xdr:row>6</xdr:row>
      <xdr:rowOff>134002</xdr:rowOff>
    </xdr:to>
    <xdr:cxnSp macro="">
      <xdr:nvCxnSpPr>
        <xdr:cNvPr id="53" name="Straight Connector 52"/>
        <xdr:cNvCxnSpPr/>
      </xdr:nvCxnSpPr>
      <xdr:spPr>
        <a:xfrm flipV="1">
          <a:off x="1114425" y="895350"/>
          <a:ext cx="0" cy="600727"/>
        </a:xfrm>
        <a:prstGeom prst="line">
          <a:avLst/>
        </a:prstGeom>
        <a:ln w="9525" cmpd="sng">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390525</xdr:colOff>
      <xdr:row>3</xdr:row>
      <xdr:rowOff>104775</xdr:rowOff>
    </xdr:from>
    <xdr:to>
      <xdr:col>0</xdr:col>
      <xdr:colOff>390525</xdr:colOff>
      <xdr:row>6</xdr:row>
      <xdr:rowOff>134002</xdr:rowOff>
    </xdr:to>
    <xdr:cxnSp macro="">
      <xdr:nvCxnSpPr>
        <xdr:cNvPr id="54" name="Straight Connector 53"/>
        <xdr:cNvCxnSpPr/>
      </xdr:nvCxnSpPr>
      <xdr:spPr>
        <a:xfrm flipV="1">
          <a:off x="390525" y="895350"/>
          <a:ext cx="0" cy="600727"/>
        </a:xfrm>
        <a:prstGeom prst="line">
          <a:avLst/>
        </a:prstGeom>
        <a:ln w="9525" cmpd="sng">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276225</xdr:colOff>
      <xdr:row>2</xdr:row>
      <xdr:rowOff>95250</xdr:rowOff>
    </xdr:from>
    <xdr:to>
      <xdr:col>0</xdr:col>
      <xdr:colOff>276225</xdr:colOff>
      <xdr:row>6</xdr:row>
      <xdr:rowOff>134004</xdr:rowOff>
    </xdr:to>
    <xdr:cxnSp macro="">
      <xdr:nvCxnSpPr>
        <xdr:cNvPr id="55" name="Straight Connector 54"/>
        <xdr:cNvCxnSpPr/>
      </xdr:nvCxnSpPr>
      <xdr:spPr>
        <a:xfrm flipV="1">
          <a:off x="276225" y="695325"/>
          <a:ext cx="0" cy="800754"/>
        </a:xfrm>
        <a:prstGeom prst="line">
          <a:avLst/>
        </a:prstGeom>
        <a:ln w="9525" cmpd="sng">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400049</xdr:colOff>
      <xdr:row>4</xdr:row>
      <xdr:rowOff>0</xdr:rowOff>
    </xdr:from>
    <xdr:to>
      <xdr:col>2</xdr:col>
      <xdr:colOff>85725</xdr:colOff>
      <xdr:row>4</xdr:row>
      <xdr:rowOff>0</xdr:rowOff>
    </xdr:to>
    <xdr:cxnSp macro="">
      <xdr:nvCxnSpPr>
        <xdr:cNvPr id="56" name="Straight Connector 55"/>
        <xdr:cNvCxnSpPr/>
      </xdr:nvCxnSpPr>
      <xdr:spPr>
        <a:xfrm>
          <a:off x="400049" y="981075"/>
          <a:ext cx="714376"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114299</xdr:colOff>
      <xdr:row>4</xdr:row>
      <xdr:rowOff>0</xdr:rowOff>
    </xdr:from>
    <xdr:to>
      <xdr:col>0</xdr:col>
      <xdr:colOff>266700</xdr:colOff>
      <xdr:row>4</xdr:row>
      <xdr:rowOff>0</xdr:rowOff>
    </xdr:to>
    <xdr:cxnSp macro="">
      <xdr:nvCxnSpPr>
        <xdr:cNvPr id="57" name="Straight Connector 56"/>
        <xdr:cNvCxnSpPr/>
      </xdr:nvCxnSpPr>
      <xdr:spPr>
        <a:xfrm>
          <a:off x="114299" y="981075"/>
          <a:ext cx="152401" cy="0"/>
        </a:xfrm>
        <a:prstGeom prst="line">
          <a:avLst/>
        </a:prstGeom>
        <a:ln w="9525">
          <a:solidFill>
            <a:schemeClr val="tx2"/>
          </a:solidFill>
          <a:headEnd type="none"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4</xdr:row>
      <xdr:rowOff>0</xdr:rowOff>
    </xdr:from>
    <xdr:to>
      <xdr:col>9</xdr:col>
      <xdr:colOff>381000</xdr:colOff>
      <xdr:row>4</xdr:row>
      <xdr:rowOff>0</xdr:rowOff>
    </xdr:to>
    <xdr:cxnSp macro="">
      <xdr:nvCxnSpPr>
        <xdr:cNvPr id="58" name="Straight Connector 57"/>
        <xdr:cNvCxnSpPr/>
      </xdr:nvCxnSpPr>
      <xdr:spPr>
        <a:xfrm flipH="1">
          <a:off x="4829175" y="981075"/>
          <a:ext cx="180975" cy="0"/>
        </a:xfrm>
        <a:prstGeom prst="line">
          <a:avLst/>
        </a:prstGeom>
        <a:ln w="9525">
          <a:solidFill>
            <a:schemeClr val="tx2"/>
          </a:solidFill>
          <a:headEnd type="none"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390524</xdr:colOff>
      <xdr:row>4</xdr:row>
      <xdr:rowOff>0</xdr:rowOff>
    </xdr:from>
    <xdr:to>
      <xdr:col>9</xdr:col>
      <xdr:colOff>76200</xdr:colOff>
      <xdr:row>4</xdr:row>
      <xdr:rowOff>0</xdr:rowOff>
    </xdr:to>
    <xdr:cxnSp macro="">
      <xdr:nvCxnSpPr>
        <xdr:cNvPr id="60" name="Straight Connector 59"/>
        <xdr:cNvCxnSpPr/>
      </xdr:nvCxnSpPr>
      <xdr:spPr>
        <a:xfrm>
          <a:off x="3990974" y="981075"/>
          <a:ext cx="714376"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276224</xdr:colOff>
      <xdr:row>3</xdr:row>
      <xdr:rowOff>0</xdr:rowOff>
    </xdr:from>
    <xdr:to>
      <xdr:col>9</xdr:col>
      <xdr:colOff>200025</xdr:colOff>
      <xdr:row>3</xdr:row>
      <xdr:rowOff>0</xdr:rowOff>
    </xdr:to>
    <xdr:cxnSp macro="">
      <xdr:nvCxnSpPr>
        <xdr:cNvPr id="61" name="Straight Connector 60"/>
        <xdr:cNvCxnSpPr/>
      </xdr:nvCxnSpPr>
      <xdr:spPr>
        <a:xfrm>
          <a:off x="276224" y="790575"/>
          <a:ext cx="4552951"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323850</xdr:colOff>
      <xdr:row>4</xdr:row>
      <xdr:rowOff>0</xdr:rowOff>
    </xdr:from>
    <xdr:to>
      <xdr:col>4</xdr:col>
      <xdr:colOff>180975</xdr:colOff>
      <xdr:row>4</xdr:row>
      <xdr:rowOff>0</xdr:rowOff>
    </xdr:to>
    <xdr:cxnSp macro="">
      <xdr:nvCxnSpPr>
        <xdr:cNvPr id="2" name="Straight Connector 1"/>
        <xdr:cNvCxnSpPr/>
      </xdr:nvCxnSpPr>
      <xdr:spPr>
        <a:xfrm>
          <a:off x="323850" y="762000"/>
          <a:ext cx="1914525" cy="0"/>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4</xdr:row>
      <xdr:rowOff>0</xdr:rowOff>
    </xdr:from>
    <xdr:to>
      <xdr:col>4</xdr:col>
      <xdr:colOff>0</xdr:colOff>
      <xdr:row>5</xdr:row>
      <xdr:rowOff>0</xdr:rowOff>
    </xdr:to>
    <xdr:cxnSp macro="">
      <xdr:nvCxnSpPr>
        <xdr:cNvPr id="3" name="Straight Connector 2"/>
        <xdr:cNvCxnSpPr/>
      </xdr:nvCxnSpPr>
      <xdr:spPr>
        <a:xfrm>
          <a:off x="2057400" y="762000"/>
          <a:ext cx="0" cy="190500"/>
        </a:xfrm>
        <a:prstGeom prst="line">
          <a:avLst/>
        </a:prstGeom>
        <a:ln w="9525">
          <a:solidFill>
            <a:schemeClr val="tx2"/>
          </a:solidFill>
          <a:head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xdr:row>
      <xdr:rowOff>0</xdr:rowOff>
    </xdr:from>
    <xdr:to>
      <xdr:col>1</xdr:col>
      <xdr:colOff>0</xdr:colOff>
      <xdr:row>5</xdr:row>
      <xdr:rowOff>0</xdr:rowOff>
    </xdr:to>
    <xdr:cxnSp macro="">
      <xdr:nvCxnSpPr>
        <xdr:cNvPr id="4" name="Straight Connector 3"/>
        <xdr:cNvCxnSpPr/>
      </xdr:nvCxnSpPr>
      <xdr:spPr>
        <a:xfrm>
          <a:off x="514350" y="762000"/>
          <a:ext cx="0" cy="190500"/>
        </a:xfrm>
        <a:prstGeom prst="line">
          <a:avLst/>
        </a:prstGeom>
        <a:ln w="9525">
          <a:solidFill>
            <a:schemeClr val="tx2"/>
          </a:solidFill>
          <a:head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5</xdr:row>
      <xdr:rowOff>0</xdr:rowOff>
    </xdr:from>
    <xdr:to>
      <xdr:col>3</xdr:col>
      <xdr:colOff>502350</xdr:colOff>
      <xdr:row>5</xdr:row>
      <xdr:rowOff>0</xdr:rowOff>
    </xdr:to>
    <xdr:cxnSp macro="">
      <xdr:nvCxnSpPr>
        <xdr:cNvPr id="5" name="Straight Connector 4"/>
        <xdr:cNvCxnSpPr/>
      </xdr:nvCxnSpPr>
      <xdr:spPr>
        <a:xfrm>
          <a:off x="533400" y="952500"/>
          <a:ext cx="151200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xdr:row>
      <xdr:rowOff>0</xdr:rowOff>
    </xdr:from>
    <xdr:to>
      <xdr:col>1</xdr:col>
      <xdr:colOff>0</xdr:colOff>
      <xdr:row>5</xdr:row>
      <xdr:rowOff>142875</xdr:rowOff>
    </xdr:to>
    <xdr:cxnSp macro="">
      <xdr:nvCxnSpPr>
        <xdr:cNvPr id="6" name="Straight Connector 5"/>
        <xdr:cNvCxnSpPr/>
      </xdr:nvCxnSpPr>
      <xdr:spPr>
        <a:xfrm>
          <a:off x="514350" y="952500"/>
          <a:ext cx="0" cy="14287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4</xdr:row>
      <xdr:rowOff>152400</xdr:rowOff>
    </xdr:from>
    <xdr:to>
      <xdr:col>4</xdr:col>
      <xdr:colOff>0</xdr:colOff>
      <xdr:row>5</xdr:row>
      <xdr:rowOff>95250</xdr:rowOff>
    </xdr:to>
    <xdr:cxnSp macro="">
      <xdr:nvCxnSpPr>
        <xdr:cNvPr id="7" name="Straight Connector 6"/>
        <xdr:cNvCxnSpPr/>
      </xdr:nvCxnSpPr>
      <xdr:spPr>
        <a:xfrm>
          <a:off x="2057400" y="914400"/>
          <a:ext cx="0" cy="13335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2</xdr:row>
      <xdr:rowOff>123825</xdr:rowOff>
    </xdr:from>
    <xdr:to>
      <xdr:col>4</xdr:col>
      <xdr:colOff>200025</xdr:colOff>
      <xdr:row>4</xdr:row>
      <xdr:rowOff>133350</xdr:rowOff>
    </xdr:to>
    <xdr:cxnSp macro="">
      <xdr:nvCxnSpPr>
        <xdr:cNvPr id="8" name="Straight Connector 7"/>
        <xdr:cNvCxnSpPr/>
      </xdr:nvCxnSpPr>
      <xdr:spPr>
        <a:xfrm>
          <a:off x="2257425" y="504825"/>
          <a:ext cx="0" cy="39052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314325</xdr:colOff>
      <xdr:row>2</xdr:row>
      <xdr:rowOff>95250</xdr:rowOff>
    </xdr:from>
    <xdr:to>
      <xdr:col>0</xdr:col>
      <xdr:colOff>314325</xdr:colOff>
      <xdr:row>4</xdr:row>
      <xdr:rowOff>114300</xdr:rowOff>
    </xdr:to>
    <xdr:cxnSp macro="">
      <xdr:nvCxnSpPr>
        <xdr:cNvPr id="9" name="Straight Connector 8"/>
        <xdr:cNvCxnSpPr/>
      </xdr:nvCxnSpPr>
      <xdr:spPr>
        <a:xfrm>
          <a:off x="314325" y="476250"/>
          <a:ext cx="0" cy="400050"/>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333375</xdr:colOff>
      <xdr:row>3</xdr:row>
      <xdr:rowOff>0</xdr:rowOff>
    </xdr:from>
    <xdr:to>
      <xdr:col>4</xdr:col>
      <xdr:colOff>200025</xdr:colOff>
      <xdr:row>3</xdr:row>
      <xdr:rowOff>0</xdr:rowOff>
    </xdr:to>
    <xdr:cxnSp macro="">
      <xdr:nvCxnSpPr>
        <xdr:cNvPr id="10" name="Straight Connector 9"/>
        <xdr:cNvCxnSpPr/>
      </xdr:nvCxnSpPr>
      <xdr:spPr>
        <a:xfrm>
          <a:off x="333375" y="571500"/>
          <a:ext cx="192405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352788</xdr:colOff>
      <xdr:row>82</xdr:row>
      <xdr:rowOff>1047</xdr:rowOff>
    </xdr:from>
    <xdr:to>
      <xdr:col>8</xdr:col>
      <xdr:colOff>162022</xdr:colOff>
      <xdr:row>82</xdr:row>
      <xdr:rowOff>189663</xdr:rowOff>
    </xdr:to>
    <xdr:sp macro="" textlink="">
      <xdr:nvSpPr>
        <xdr:cNvPr id="11" name="Freeform 9071"/>
        <xdr:cNvSpPr>
          <a:spLocks/>
        </xdr:cNvSpPr>
      </xdr:nvSpPr>
      <xdr:spPr bwMode="auto">
        <a:xfrm>
          <a:off x="352788" y="13983747"/>
          <a:ext cx="3924034" cy="188616"/>
        </a:xfrm>
        <a:custGeom>
          <a:avLst/>
          <a:gdLst>
            <a:gd name="T0" fmla="*/ 0 w 213"/>
            <a:gd name="T1" fmla="*/ 23 h 16"/>
            <a:gd name="T2" fmla="*/ 0 w 213"/>
            <a:gd name="T3" fmla="*/ 0 h 16"/>
            <a:gd name="T4" fmla="*/ 157 w 213"/>
            <a:gd name="T5" fmla="*/ 0 h 16"/>
            <a:gd name="T6" fmla="*/ 220 w 213"/>
            <a:gd name="T7" fmla="*/ 23 h 16"/>
            <a:gd name="T8" fmla="*/ 3296 w 213"/>
            <a:gd name="T9" fmla="*/ 23 h 16"/>
            <a:gd name="T10" fmla="*/ 0 60000 65536"/>
            <a:gd name="T11" fmla="*/ 0 60000 65536"/>
            <a:gd name="T12" fmla="*/ 0 60000 65536"/>
            <a:gd name="T13" fmla="*/ 0 60000 65536"/>
            <a:gd name="T14" fmla="*/ 0 60000 65536"/>
            <a:gd name="T15" fmla="*/ 0 w 213"/>
            <a:gd name="T16" fmla="*/ 0 h 16"/>
            <a:gd name="T17" fmla="*/ 213 w 213"/>
            <a:gd name="T18" fmla="*/ 16 h 16"/>
            <a:gd name="connsiteX0" fmla="*/ 0 w 12600"/>
            <a:gd name="connsiteY0" fmla="*/ 10000 h 10000"/>
            <a:gd name="connsiteX1" fmla="*/ 0 w 12600"/>
            <a:gd name="connsiteY1" fmla="*/ 0 h 10000"/>
            <a:gd name="connsiteX2" fmla="*/ 469 w 12600"/>
            <a:gd name="connsiteY2" fmla="*/ 0 h 10000"/>
            <a:gd name="connsiteX3" fmla="*/ 657 w 12600"/>
            <a:gd name="connsiteY3" fmla="*/ 10000 h 10000"/>
            <a:gd name="connsiteX4" fmla="*/ 12600 w 12600"/>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00" h="10000">
              <a:moveTo>
                <a:pt x="0" y="10000"/>
              </a:moveTo>
              <a:lnTo>
                <a:pt x="0" y="0"/>
              </a:lnTo>
              <a:lnTo>
                <a:pt x="469" y="0"/>
              </a:lnTo>
              <a:cubicBezTo>
                <a:pt x="532" y="3333"/>
                <a:pt x="594" y="6667"/>
                <a:pt x="657" y="10000"/>
              </a:cubicBezTo>
              <a:lnTo>
                <a:pt x="12600" y="10000"/>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1</xdr:col>
      <xdr:colOff>500484</xdr:colOff>
      <xdr:row>81</xdr:row>
      <xdr:rowOff>28575</xdr:rowOff>
    </xdr:from>
    <xdr:to>
      <xdr:col>1</xdr:col>
      <xdr:colOff>500484</xdr:colOff>
      <xdr:row>82</xdr:row>
      <xdr:rowOff>178567</xdr:rowOff>
    </xdr:to>
    <xdr:sp macro="" textlink="">
      <xdr:nvSpPr>
        <xdr:cNvPr id="12" name="Line 9072"/>
        <xdr:cNvSpPr>
          <a:spLocks noChangeShapeType="1"/>
        </xdr:cNvSpPr>
      </xdr:nvSpPr>
      <xdr:spPr bwMode="auto">
        <a:xfrm flipV="1">
          <a:off x="1014834" y="13820775"/>
          <a:ext cx="0" cy="340492"/>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2</xdr:col>
      <xdr:colOff>431036</xdr:colOff>
      <xdr:row>81</xdr:row>
      <xdr:rowOff>47624</xdr:rowOff>
    </xdr:from>
    <xdr:to>
      <xdr:col>2</xdr:col>
      <xdr:colOff>431036</xdr:colOff>
      <xdr:row>82</xdr:row>
      <xdr:rowOff>178566</xdr:rowOff>
    </xdr:to>
    <xdr:sp macro="" textlink="">
      <xdr:nvSpPr>
        <xdr:cNvPr id="13" name="Line 9073"/>
        <xdr:cNvSpPr>
          <a:spLocks noChangeShapeType="1"/>
        </xdr:cNvSpPr>
      </xdr:nvSpPr>
      <xdr:spPr bwMode="auto">
        <a:xfrm flipV="1">
          <a:off x="1459736" y="13839824"/>
          <a:ext cx="0" cy="321442"/>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81</xdr:row>
      <xdr:rowOff>57150</xdr:rowOff>
    </xdr:from>
    <xdr:to>
      <xdr:col>1</xdr:col>
      <xdr:colOff>45696</xdr:colOff>
      <xdr:row>85</xdr:row>
      <xdr:rowOff>95250</xdr:rowOff>
    </xdr:to>
    <xdr:sp macro="" textlink="">
      <xdr:nvSpPr>
        <xdr:cNvPr id="14" name="Line 9076"/>
        <xdr:cNvSpPr>
          <a:spLocks noChangeShapeType="1"/>
        </xdr:cNvSpPr>
      </xdr:nvSpPr>
      <xdr:spPr bwMode="auto">
        <a:xfrm flipV="1">
          <a:off x="560046" y="13849350"/>
          <a:ext cx="0" cy="800100"/>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352425</xdr:colOff>
      <xdr:row>82</xdr:row>
      <xdr:rowOff>134187</xdr:rowOff>
    </xdr:from>
    <xdr:to>
      <xdr:col>0</xdr:col>
      <xdr:colOff>352425</xdr:colOff>
      <xdr:row>85</xdr:row>
      <xdr:rowOff>73060</xdr:rowOff>
    </xdr:to>
    <xdr:sp macro="" textlink="">
      <xdr:nvSpPr>
        <xdr:cNvPr id="15" name="Line 9077"/>
        <xdr:cNvSpPr>
          <a:spLocks noChangeShapeType="1"/>
        </xdr:cNvSpPr>
      </xdr:nvSpPr>
      <xdr:spPr bwMode="auto">
        <a:xfrm>
          <a:off x="352425" y="14116887"/>
          <a:ext cx="0" cy="510373"/>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81</xdr:row>
      <xdr:rowOff>189977</xdr:rowOff>
    </xdr:from>
    <xdr:to>
      <xdr:col>1</xdr:col>
      <xdr:colOff>490598</xdr:colOff>
      <xdr:row>81</xdr:row>
      <xdr:rowOff>189977</xdr:rowOff>
    </xdr:to>
    <xdr:sp macro="" textlink="">
      <xdr:nvSpPr>
        <xdr:cNvPr id="16" name="Line 9078"/>
        <xdr:cNvSpPr>
          <a:spLocks noChangeShapeType="1"/>
        </xdr:cNvSpPr>
      </xdr:nvSpPr>
      <xdr:spPr bwMode="auto">
        <a:xfrm>
          <a:off x="560046" y="13982177"/>
          <a:ext cx="44490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510009</xdr:colOff>
      <xdr:row>81</xdr:row>
      <xdr:rowOff>189977</xdr:rowOff>
    </xdr:from>
    <xdr:to>
      <xdr:col>2</xdr:col>
      <xdr:colOff>430674</xdr:colOff>
      <xdr:row>81</xdr:row>
      <xdr:rowOff>189977</xdr:rowOff>
    </xdr:to>
    <xdr:sp macro="" textlink="">
      <xdr:nvSpPr>
        <xdr:cNvPr id="17" name="Line 9079"/>
        <xdr:cNvSpPr>
          <a:spLocks noChangeShapeType="1"/>
        </xdr:cNvSpPr>
      </xdr:nvSpPr>
      <xdr:spPr bwMode="auto">
        <a:xfrm>
          <a:off x="1024359" y="13982177"/>
          <a:ext cx="43501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0</xdr:col>
      <xdr:colOff>352425</xdr:colOff>
      <xdr:row>85</xdr:row>
      <xdr:rowOff>0</xdr:rowOff>
    </xdr:from>
    <xdr:to>
      <xdr:col>1</xdr:col>
      <xdr:colOff>47625</xdr:colOff>
      <xdr:row>85</xdr:row>
      <xdr:rowOff>0</xdr:rowOff>
    </xdr:to>
    <xdr:sp macro="" textlink="">
      <xdr:nvSpPr>
        <xdr:cNvPr id="18" name="Line 9083"/>
        <xdr:cNvSpPr>
          <a:spLocks noChangeShapeType="1"/>
        </xdr:cNvSpPr>
      </xdr:nvSpPr>
      <xdr:spPr bwMode="auto">
        <a:xfrm>
          <a:off x="352425" y="14554200"/>
          <a:ext cx="2095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57149</xdr:colOff>
      <xdr:row>85</xdr:row>
      <xdr:rowOff>0</xdr:rowOff>
    </xdr:from>
    <xdr:to>
      <xdr:col>7</xdr:col>
      <xdr:colOff>371474</xdr:colOff>
      <xdr:row>85</xdr:row>
      <xdr:rowOff>0</xdr:rowOff>
    </xdr:to>
    <xdr:sp macro="" textlink="">
      <xdr:nvSpPr>
        <xdr:cNvPr id="19" name="Line 9084"/>
        <xdr:cNvSpPr>
          <a:spLocks noChangeShapeType="1"/>
        </xdr:cNvSpPr>
      </xdr:nvSpPr>
      <xdr:spPr bwMode="auto">
        <a:xfrm>
          <a:off x="571499" y="14554200"/>
          <a:ext cx="340042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7</xdr:col>
      <xdr:colOff>381000</xdr:colOff>
      <xdr:row>81</xdr:row>
      <xdr:rowOff>38100</xdr:rowOff>
    </xdr:from>
    <xdr:to>
      <xdr:col>7</xdr:col>
      <xdr:colOff>381000</xdr:colOff>
      <xdr:row>85</xdr:row>
      <xdr:rowOff>38100</xdr:rowOff>
    </xdr:to>
    <xdr:sp macro="" textlink="">
      <xdr:nvSpPr>
        <xdr:cNvPr id="20" name="Line 9085"/>
        <xdr:cNvSpPr>
          <a:spLocks noChangeShapeType="1"/>
        </xdr:cNvSpPr>
      </xdr:nvSpPr>
      <xdr:spPr bwMode="auto">
        <a:xfrm>
          <a:off x="3981450" y="13830300"/>
          <a:ext cx="0" cy="76200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352787</xdr:colOff>
      <xdr:row>90</xdr:row>
      <xdr:rowOff>1047</xdr:rowOff>
    </xdr:from>
    <xdr:to>
      <xdr:col>8</xdr:col>
      <xdr:colOff>190362</xdr:colOff>
      <xdr:row>90</xdr:row>
      <xdr:rowOff>189663</xdr:rowOff>
    </xdr:to>
    <xdr:sp macro="" textlink="">
      <xdr:nvSpPr>
        <xdr:cNvPr id="21" name="Freeform 9071"/>
        <xdr:cNvSpPr>
          <a:spLocks/>
        </xdr:cNvSpPr>
      </xdr:nvSpPr>
      <xdr:spPr bwMode="auto">
        <a:xfrm>
          <a:off x="352787" y="15507747"/>
          <a:ext cx="3952375" cy="188616"/>
        </a:xfrm>
        <a:custGeom>
          <a:avLst/>
          <a:gdLst>
            <a:gd name="T0" fmla="*/ 0 w 213"/>
            <a:gd name="T1" fmla="*/ 23 h 16"/>
            <a:gd name="T2" fmla="*/ 0 w 213"/>
            <a:gd name="T3" fmla="*/ 0 h 16"/>
            <a:gd name="T4" fmla="*/ 157 w 213"/>
            <a:gd name="T5" fmla="*/ 0 h 16"/>
            <a:gd name="T6" fmla="*/ 220 w 213"/>
            <a:gd name="T7" fmla="*/ 23 h 16"/>
            <a:gd name="T8" fmla="*/ 3296 w 213"/>
            <a:gd name="T9" fmla="*/ 23 h 16"/>
            <a:gd name="T10" fmla="*/ 0 60000 65536"/>
            <a:gd name="T11" fmla="*/ 0 60000 65536"/>
            <a:gd name="T12" fmla="*/ 0 60000 65536"/>
            <a:gd name="T13" fmla="*/ 0 60000 65536"/>
            <a:gd name="T14" fmla="*/ 0 60000 65536"/>
            <a:gd name="T15" fmla="*/ 0 w 213"/>
            <a:gd name="T16" fmla="*/ 0 h 16"/>
            <a:gd name="T17" fmla="*/ 213 w 213"/>
            <a:gd name="T18" fmla="*/ 16 h 16"/>
            <a:gd name="connsiteX0" fmla="*/ 0 w 12691"/>
            <a:gd name="connsiteY0" fmla="*/ 10000 h 10000"/>
            <a:gd name="connsiteX1" fmla="*/ 0 w 12691"/>
            <a:gd name="connsiteY1" fmla="*/ 0 h 10000"/>
            <a:gd name="connsiteX2" fmla="*/ 469 w 12691"/>
            <a:gd name="connsiteY2" fmla="*/ 0 h 10000"/>
            <a:gd name="connsiteX3" fmla="*/ 657 w 12691"/>
            <a:gd name="connsiteY3" fmla="*/ 10000 h 10000"/>
            <a:gd name="connsiteX4" fmla="*/ 12691 w 12691"/>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91" h="10000">
              <a:moveTo>
                <a:pt x="0" y="10000"/>
              </a:moveTo>
              <a:lnTo>
                <a:pt x="0" y="0"/>
              </a:lnTo>
              <a:lnTo>
                <a:pt x="469" y="0"/>
              </a:lnTo>
              <a:cubicBezTo>
                <a:pt x="532" y="3333"/>
                <a:pt x="594" y="6667"/>
                <a:pt x="657" y="10000"/>
              </a:cubicBezTo>
              <a:lnTo>
                <a:pt x="12691" y="10000"/>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1</xdr:col>
      <xdr:colOff>500484</xdr:colOff>
      <xdr:row>89</xdr:row>
      <xdr:rowOff>19049</xdr:rowOff>
    </xdr:from>
    <xdr:to>
      <xdr:col>1</xdr:col>
      <xdr:colOff>500484</xdr:colOff>
      <xdr:row>90</xdr:row>
      <xdr:rowOff>178566</xdr:rowOff>
    </xdr:to>
    <xdr:sp macro="" textlink="">
      <xdr:nvSpPr>
        <xdr:cNvPr id="22" name="Line 9072"/>
        <xdr:cNvSpPr>
          <a:spLocks noChangeShapeType="1"/>
        </xdr:cNvSpPr>
      </xdr:nvSpPr>
      <xdr:spPr bwMode="auto">
        <a:xfrm flipV="1">
          <a:off x="1014834" y="15335249"/>
          <a:ext cx="0" cy="350017"/>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2</xdr:col>
      <xdr:colOff>431036</xdr:colOff>
      <xdr:row>89</xdr:row>
      <xdr:rowOff>9525</xdr:rowOff>
    </xdr:from>
    <xdr:to>
      <xdr:col>2</xdr:col>
      <xdr:colOff>431036</xdr:colOff>
      <xdr:row>90</xdr:row>
      <xdr:rowOff>178566</xdr:rowOff>
    </xdr:to>
    <xdr:sp macro="" textlink="">
      <xdr:nvSpPr>
        <xdr:cNvPr id="23" name="Line 9073"/>
        <xdr:cNvSpPr>
          <a:spLocks noChangeShapeType="1"/>
        </xdr:cNvSpPr>
      </xdr:nvSpPr>
      <xdr:spPr bwMode="auto">
        <a:xfrm flipV="1">
          <a:off x="1459736" y="15325725"/>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3</xdr:col>
      <xdr:colOff>445987</xdr:colOff>
      <xdr:row>89</xdr:row>
      <xdr:rowOff>19049</xdr:rowOff>
    </xdr:from>
    <xdr:to>
      <xdr:col>3</xdr:col>
      <xdr:colOff>445987</xdr:colOff>
      <xdr:row>90</xdr:row>
      <xdr:rowOff>169042</xdr:rowOff>
    </xdr:to>
    <xdr:sp macro="" textlink="">
      <xdr:nvSpPr>
        <xdr:cNvPr id="24" name="Line 9074"/>
        <xdr:cNvSpPr>
          <a:spLocks noChangeShapeType="1"/>
        </xdr:cNvSpPr>
      </xdr:nvSpPr>
      <xdr:spPr bwMode="auto">
        <a:xfrm flipV="1">
          <a:off x="1989037" y="15335249"/>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4</xdr:col>
      <xdr:colOff>455633</xdr:colOff>
      <xdr:row>89</xdr:row>
      <xdr:rowOff>19049</xdr:rowOff>
    </xdr:from>
    <xdr:to>
      <xdr:col>4</xdr:col>
      <xdr:colOff>455633</xdr:colOff>
      <xdr:row>90</xdr:row>
      <xdr:rowOff>178567</xdr:rowOff>
    </xdr:to>
    <xdr:sp macro="" textlink="">
      <xdr:nvSpPr>
        <xdr:cNvPr id="25" name="Line 9075"/>
        <xdr:cNvSpPr>
          <a:spLocks noChangeShapeType="1"/>
        </xdr:cNvSpPr>
      </xdr:nvSpPr>
      <xdr:spPr bwMode="auto">
        <a:xfrm flipV="1">
          <a:off x="2513033" y="15335249"/>
          <a:ext cx="0" cy="350018"/>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89</xdr:row>
      <xdr:rowOff>104774</xdr:rowOff>
    </xdr:from>
    <xdr:to>
      <xdr:col>1</xdr:col>
      <xdr:colOff>45696</xdr:colOff>
      <xdr:row>93</xdr:row>
      <xdr:rowOff>95249</xdr:rowOff>
    </xdr:to>
    <xdr:sp macro="" textlink="">
      <xdr:nvSpPr>
        <xdr:cNvPr id="26" name="Line 9076"/>
        <xdr:cNvSpPr>
          <a:spLocks noChangeShapeType="1"/>
        </xdr:cNvSpPr>
      </xdr:nvSpPr>
      <xdr:spPr bwMode="auto">
        <a:xfrm flipV="1">
          <a:off x="560046" y="15420974"/>
          <a:ext cx="0" cy="752475"/>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352425</xdr:colOff>
      <xdr:row>90</xdr:row>
      <xdr:rowOff>134187</xdr:rowOff>
    </xdr:from>
    <xdr:to>
      <xdr:col>0</xdr:col>
      <xdr:colOff>352425</xdr:colOff>
      <xdr:row>93</xdr:row>
      <xdr:rowOff>73060</xdr:rowOff>
    </xdr:to>
    <xdr:sp macro="" textlink="">
      <xdr:nvSpPr>
        <xdr:cNvPr id="27" name="Line 9077"/>
        <xdr:cNvSpPr>
          <a:spLocks noChangeShapeType="1"/>
        </xdr:cNvSpPr>
      </xdr:nvSpPr>
      <xdr:spPr bwMode="auto">
        <a:xfrm>
          <a:off x="352425" y="15640887"/>
          <a:ext cx="0" cy="510373"/>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89</xdr:row>
      <xdr:rowOff>189977</xdr:rowOff>
    </xdr:from>
    <xdr:to>
      <xdr:col>1</xdr:col>
      <xdr:colOff>490598</xdr:colOff>
      <xdr:row>89</xdr:row>
      <xdr:rowOff>189977</xdr:rowOff>
    </xdr:to>
    <xdr:sp macro="" textlink="">
      <xdr:nvSpPr>
        <xdr:cNvPr id="28" name="Line 9078"/>
        <xdr:cNvSpPr>
          <a:spLocks noChangeShapeType="1"/>
        </xdr:cNvSpPr>
      </xdr:nvSpPr>
      <xdr:spPr bwMode="auto">
        <a:xfrm>
          <a:off x="560046" y="15506177"/>
          <a:ext cx="44490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510009</xdr:colOff>
      <xdr:row>89</xdr:row>
      <xdr:rowOff>189977</xdr:rowOff>
    </xdr:from>
    <xdr:to>
      <xdr:col>2</xdr:col>
      <xdr:colOff>430674</xdr:colOff>
      <xdr:row>89</xdr:row>
      <xdr:rowOff>189977</xdr:rowOff>
    </xdr:to>
    <xdr:sp macro="" textlink="">
      <xdr:nvSpPr>
        <xdr:cNvPr id="29" name="Line 9079"/>
        <xdr:cNvSpPr>
          <a:spLocks noChangeShapeType="1"/>
        </xdr:cNvSpPr>
      </xdr:nvSpPr>
      <xdr:spPr bwMode="auto">
        <a:xfrm>
          <a:off x="1024359" y="15506177"/>
          <a:ext cx="43501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2</xdr:col>
      <xdr:colOff>450811</xdr:colOff>
      <xdr:row>89</xdr:row>
      <xdr:rowOff>189977</xdr:rowOff>
    </xdr:from>
    <xdr:to>
      <xdr:col>3</xdr:col>
      <xdr:colOff>440461</xdr:colOff>
      <xdr:row>89</xdr:row>
      <xdr:rowOff>189977</xdr:rowOff>
    </xdr:to>
    <xdr:sp macro="" textlink="">
      <xdr:nvSpPr>
        <xdr:cNvPr id="30" name="Line 9080"/>
        <xdr:cNvSpPr>
          <a:spLocks noChangeShapeType="1"/>
        </xdr:cNvSpPr>
      </xdr:nvSpPr>
      <xdr:spPr bwMode="auto">
        <a:xfrm>
          <a:off x="1479511" y="15506177"/>
          <a:ext cx="504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3</xdr:col>
      <xdr:colOff>52689</xdr:colOff>
      <xdr:row>89</xdr:row>
      <xdr:rowOff>91691</xdr:rowOff>
    </xdr:from>
    <xdr:to>
      <xdr:col>3</xdr:col>
      <xdr:colOff>181216</xdr:colOff>
      <xdr:row>90</xdr:row>
      <xdr:rowOff>134187</xdr:rowOff>
    </xdr:to>
    <xdr:sp macro="" textlink="">
      <xdr:nvSpPr>
        <xdr:cNvPr id="31" name="Text Box 9081"/>
        <xdr:cNvSpPr txBox="1">
          <a:spLocks noChangeArrowheads="1"/>
        </xdr:cNvSpPr>
      </xdr:nvSpPr>
      <xdr:spPr bwMode="auto">
        <a:xfrm>
          <a:off x="1595739" y="15407891"/>
          <a:ext cx="128527" cy="232996"/>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a:t>
          </a:r>
        </a:p>
      </xdr:txBody>
    </xdr:sp>
    <xdr:clientData/>
  </xdr:twoCellAnchor>
  <xdr:twoCellAnchor>
    <xdr:from>
      <xdr:col>3</xdr:col>
      <xdr:colOff>474200</xdr:colOff>
      <xdr:row>89</xdr:row>
      <xdr:rowOff>189977</xdr:rowOff>
    </xdr:from>
    <xdr:to>
      <xdr:col>4</xdr:col>
      <xdr:colOff>427850</xdr:colOff>
      <xdr:row>89</xdr:row>
      <xdr:rowOff>189977</xdr:rowOff>
    </xdr:to>
    <xdr:sp macro="" textlink="">
      <xdr:nvSpPr>
        <xdr:cNvPr id="32" name="Line 9082"/>
        <xdr:cNvSpPr>
          <a:spLocks noChangeShapeType="1"/>
        </xdr:cNvSpPr>
      </xdr:nvSpPr>
      <xdr:spPr bwMode="auto">
        <a:xfrm>
          <a:off x="2017250" y="15506177"/>
          <a:ext cx="468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0</xdr:col>
      <xdr:colOff>352425</xdr:colOff>
      <xdr:row>93</xdr:row>
      <xdr:rowOff>0</xdr:rowOff>
    </xdr:from>
    <xdr:to>
      <xdr:col>1</xdr:col>
      <xdr:colOff>47625</xdr:colOff>
      <xdr:row>93</xdr:row>
      <xdr:rowOff>0</xdr:rowOff>
    </xdr:to>
    <xdr:sp macro="" textlink="">
      <xdr:nvSpPr>
        <xdr:cNvPr id="33" name="Line 9083"/>
        <xdr:cNvSpPr>
          <a:spLocks noChangeShapeType="1"/>
        </xdr:cNvSpPr>
      </xdr:nvSpPr>
      <xdr:spPr bwMode="auto">
        <a:xfrm>
          <a:off x="352425" y="16078200"/>
          <a:ext cx="2095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57150</xdr:colOff>
      <xdr:row>93</xdr:row>
      <xdr:rowOff>0</xdr:rowOff>
    </xdr:from>
    <xdr:to>
      <xdr:col>7</xdr:col>
      <xdr:colOff>342900</xdr:colOff>
      <xdr:row>93</xdr:row>
      <xdr:rowOff>0</xdr:rowOff>
    </xdr:to>
    <xdr:sp macro="" textlink="">
      <xdr:nvSpPr>
        <xdr:cNvPr id="34" name="Line 9084"/>
        <xdr:cNvSpPr>
          <a:spLocks noChangeShapeType="1"/>
        </xdr:cNvSpPr>
      </xdr:nvSpPr>
      <xdr:spPr bwMode="auto">
        <a:xfrm>
          <a:off x="571500" y="16078200"/>
          <a:ext cx="33718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7</xdr:col>
      <xdr:colOff>352425</xdr:colOff>
      <xdr:row>89</xdr:row>
      <xdr:rowOff>57150</xdr:rowOff>
    </xdr:from>
    <xdr:to>
      <xdr:col>7</xdr:col>
      <xdr:colOff>352425</xdr:colOff>
      <xdr:row>93</xdr:row>
      <xdr:rowOff>57150</xdr:rowOff>
    </xdr:to>
    <xdr:sp macro="" textlink="">
      <xdr:nvSpPr>
        <xdr:cNvPr id="35" name="Line 9085"/>
        <xdr:cNvSpPr>
          <a:spLocks noChangeShapeType="1"/>
        </xdr:cNvSpPr>
      </xdr:nvSpPr>
      <xdr:spPr bwMode="auto">
        <a:xfrm>
          <a:off x="3952875" y="15373350"/>
          <a:ext cx="0" cy="76200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85725</xdr:colOff>
      <xdr:row>88</xdr:row>
      <xdr:rowOff>76200</xdr:rowOff>
    </xdr:from>
    <xdr:to>
      <xdr:col>7</xdr:col>
      <xdr:colOff>390525</xdr:colOff>
      <xdr:row>89</xdr:row>
      <xdr:rowOff>65785</xdr:rowOff>
    </xdr:to>
    <xdr:sp macro="" textlink="">
      <xdr:nvSpPr>
        <xdr:cNvPr id="36" name="Text Box 9086"/>
        <xdr:cNvSpPr txBox="1">
          <a:spLocks noChangeArrowheads="1"/>
        </xdr:cNvSpPr>
      </xdr:nvSpPr>
      <xdr:spPr bwMode="auto">
        <a:xfrm>
          <a:off x="3686175" y="15201900"/>
          <a:ext cx="304800" cy="180085"/>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050" b="0" i="0" u="none" strike="noStrike" baseline="0">
              <a:solidFill>
                <a:srgbClr val="000000"/>
              </a:solidFill>
              <a:latin typeface="Garamond" pitchFamily="18" charset="0"/>
              <a:cs typeface="Arial"/>
            </a:rPr>
            <a:t>C/L</a:t>
          </a:r>
        </a:p>
      </xdr:txBody>
    </xdr:sp>
    <xdr:clientData/>
  </xdr:twoCellAnchor>
  <xdr:twoCellAnchor>
    <xdr:from>
      <xdr:col>7</xdr:col>
      <xdr:colOff>55908</xdr:colOff>
      <xdr:row>81</xdr:row>
      <xdr:rowOff>4556</xdr:rowOff>
    </xdr:from>
    <xdr:to>
      <xdr:col>7</xdr:col>
      <xdr:colOff>360708</xdr:colOff>
      <xdr:row>81</xdr:row>
      <xdr:rowOff>184641</xdr:rowOff>
    </xdr:to>
    <xdr:sp macro="" textlink="">
      <xdr:nvSpPr>
        <xdr:cNvPr id="37" name="Text Box 9086"/>
        <xdr:cNvSpPr txBox="1">
          <a:spLocks noChangeArrowheads="1"/>
        </xdr:cNvSpPr>
      </xdr:nvSpPr>
      <xdr:spPr bwMode="auto">
        <a:xfrm>
          <a:off x="3656358" y="13796756"/>
          <a:ext cx="304800" cy="180085"/>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050" b="0" i="0" u="none" strike="noStrike" baseline="0">
              <a:solidFill>
                <a:srgbClr val="000000"/>
              </a:solidFill>
              <a:latin typeface="Garamond" pitchFamily="18" charset="0"/>
              <a:cs typeface="Arial"/>
            </a:rPr>
            <a:t>C/L</a:t>
          </a:r>
        </a:p>
      </xdr:txBody>
    </xdr:sp>
    <xdr:clientData/>
  </xdr:twoCellAnchor>
  <xdr:twoCellAnchor>
    <xdr:from>
      <xdr:col>0</xdr:col>
      <xdr:colOff>352787</xdr:colOff>
      <xdr:row>114</xdr:row>
      <xdr:rowOff>1047</xdr:rowOff>
    </xdr:from>
    <xdr:to>
      <xdr:col>8</xdr:col>
      <xdr:colOff>190362</xdr:colOff>
      <xdr:row>114</xdr:row>
      <xdr:rowOff>189663</xdr:rowOff>
    </xdr:to>
    <xdr:sp macro="" textlink="">
      <xdr:nvSpPr>
        <xdr:cNvPr id="38" name="Freeform 9071"/>
        <xdr:cNvSpPr>
          <a:spLocks/>
        </xdr:cNvSpPr>
      </xdr:nvSpPr>
      <xdr:spPr bwMode="auto">
        <a:xfrm>
          <a:off x="352787" y="20098797"/>
          <a:ext cx="3952375" cy="188616"/>
        </a:xfrm>
        <a:custGeom>
          <a:avLst/>
          <a:gdLst>
            <a:gd name="T0" fmla="*/ 0 w 213"/>
            <a:gd name="T1" fmla="*/ 23 h 16"/>
            <a:gd name="T2" fmla="*/ 0 w 213"/>
            <a:gd name="T3" fmla="*/ 0 h 16"/>
            <a:gd name="T4" fmla="*/ 157 w 213"/>
            <a:gd name="T5" fmla="*/ 0 h 16"/>
            <a:gd name="T6" fmla="*/ 220 w 213"/>
            <a:gd name="T7" fmla="*/ 23 h 16"/>
            <a:gd name="T8" fmla="*/ 3296 w 213"/>
            <a:gd name="T9" fmla="*/ 23 h 16"/>
            <a:gd name="T10" fmla="*/ 0 60000 65536"/>
            <a:gd name="T11" fmla="*/ 0 60000 65536"/>
            <a:gd name="T12" fmla="*/ 0 60000 65536"/>
            <a:gd name="T13" fmla="*/ 0 60000 65536"/>
            <a:gd name="T14" fmla="*/ 0 60000 65536"/>
            <a:gd name="T15" fmla="*/ 0 w 213"/>
            <a:gd name="T16" fmla="*/ 0 h 16"/>
            <a:gd name="T17" fmla="*/ 213 w 213"/>
            <a:gd name="T18" fmla="*/ 16 h 16"/>
            <a:gd name="connsiteX0" fmla="*/ 0 w 12691"/>
            <a:gd name="connsiteY0" fmla="*/ 10000 h 10000"/>
            <a:gd name="connsiteX1" fmla="*/ 0 w 12691"/>
            <a:gd name="connsiteY1" fmla="*/ 0 h 10000"/>
            <a:gd name="connsiteX2" fmla="*/ 469 w 12691"/>
            <a:gd name="connsiteY2" fmla="*/ 0 h 10000"/>
            <a:gd name="connsiteX3" fmla="*/ 657 w 12691"/>
            <a:gd name="connsiteY3" fmla="*/ 10000 h 10000"/>
            <a:gd name="connsiteX4" fmla="*/ 12691 w 12691"/>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91" h="10000">
              <a:moveTo>
                <a:pt x="0" y="10000"/>
              </a:moveTo>
              <a:lnTo>
                <a:pt x="0" y="0"/>
              </a:lnTo>
              <a:lnTo>
                <a:pt x="469" y="0"/>
              </a:lnTo>
              <a:cubicBezTo>
                <a:pt x="532" y="3333"/>
                <a:pt x="594" y="6667"/>
                <a:pt x="657" y="10000"/>
              </a:cubicBezTo>
              <a:lnTo>
                <a:pt x="12691" y="10000"/>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1</xdr:col>
      <xdr:colOff>500484</xdr:colOff>
      <xdr:row>113</xdr:row>
      <xdr:rowOff>19049</xdr:rowOff>
    </xdr:from>
    <xdr:to>
      <xdr:col>1</xdr:col>
      <xdr:colOff>500484</xdr:colOff>
      <xdr:row>114</xdr:row>
      <xdr:rowOff>178566</xdr:rowOff>
    </xdr:to>
    <xdr:sp macro="" textlink="">
      <xdr:nvSpPr>
        <xdr:cNvPr id="39" name="Line 9072"/>
        <xdr:cNvSpPr>
          <a:spLocks noChangeShapeType="1"/>
        </xdr:cNvSpPr>
      </xdr:nvSpPr>
      <xdr:spPr bwMode="auto">
        <a:xfrm flipV="1">
          <a:off x="1014834" y="19926299"/>
          <a:ext cx="0" cy="350017"/>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2</xdr:col>
      <xdr:colOff>431036</xdr:colOff>
      <xdr:row>113</xdr:row>
      <xdr:rowOff>9525</xdr:rowOff>
    </xdr:from>
    <xdr:to>
      <xdr:col>2</xdr:col>
      <xdr:colOff>431036</xdr:colOff>
      <xdr:row>114</xdr:row>
      <xdr:rowOff>178566</xdr:rowOff>
    </xdr:to>
    <xdr:sp macro="" textlink="">
      <xdr:nvSpPr>
        <xdr:cNvPr id="40" name="Line 9073"/>
        <xdr:cNvSpPr>
          <a:spLocks noChangeShapeType="1"/>
        </xdr:cNvSpPr>
      </xdr:nvSpPr>
      <xdr:spPr bwMode="auto">
        <a:xfrm flipV="1">
          <a:off x="1459736" y="19916775"/>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3</xdr:col>
      <xdr:colOff>445987</xdr:colOff>
      <xdr:row>113</xdr:row>
      <xdr:rowOff>19049</xdr:rowOff>
    </xdr:from>
    <xdr:to>
      <xdr:col>3</xdr:col>
      <xdr:colOff>445987</xdr:colOff>
      <xdr:row>114</xdr:row>
      <xdr:rowOff>169042</xdr:rowOff>
    </xdr:to>
    <xdr:sp macro="" textlink="">
      <xdr:nvSpPr>
        <xdr:cNvPr id="41" name="Line 9074"/>
        <xdr:cNvSpPr>
          <a:spLocks noChangeShapeType="1"/>
        </xdr:cNvSpPr>
      </xdr:nvSpPr>
      <xdr:spPr bwMode="auto">
        <a:xfrm flipV="1">
          <a:off x="1989037" y="19926299"/>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4</xdr:col>
      <xdr:colOff>455633</xdr:colOff>
      <xdr:row>113</xdr:row>
      <xdr:rowOff>19049</xdr:rowOff>
    </xdr:from>
    <xdr:to>
      <xdr:col>4</xdr:col>
      <xdr:colOff>455633</xdr:colOff>
      <xdr:row>114</xdr:row>
      <xdr:rowOff>178567</xdr:rowOff>
    </xdr:to>
    <xdr:sp macro="" textlink="">
      <xdr:nvSpPr>
        <xdr:cNvPr id="42" name="Line 9075"/>
        <xdr:cNvSpPr>
          <a:spLocks noChangeShapeType="1"/>
        </xdr:cNvSpPr>
      </xdr:nvSpPr>
      <xdr:spPr bwMode="auto">
        <a:xfrm flipV="1">
          <a:off x="2513033" y="19926299"/>
          <a:ext cx="0" cy="350018"/>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113</xdr:row>
      <xdr:rowOff>104774</xdr:rowOff>
    </xdr:from>
    <xdr:to>
      <xdr:col>1</xdr:col>
      <xdr:colOff>45696</xdr:colOff>
      <xdr:row>117</xdr:row>
      <xdr:rowOff>95249</xdr:rowOff>
    </xdr:to>
    <xdr:sp macro="" textlink="">
      <xdr:nvSpPr>
        <xdr:cNvPr id="43" name="Line 9076"/>
        <xdr:cNvSpPr>
          <a:spLocks noChangeShapeType="1"/>
        </xdr:cNvSpPr>
      </xdr:nvSpPr>
      <xdr:spPr bwMode="auto">
        <a:xfrm flipV="1">
          <a:off x="560046" y="20012024"/>
          <a:ext cx="0" cy="752475"/>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352425</xdr:colOff>
      <xdr:row>114</xdr:row>
      <xdr:rowOff>134187</xdr:rowOff>
    </xdr:from>
    <xdr:to>
      <xdr:col>0</xdr:col>
      <xdr:colOff>352425</xdr:colOff>
      <xdr:row>117</xdr:row>
      <xdr:rowOff>73060</xdr:rowOff>
    </xdr:to>
    <xdr:sp macro="" textlink="">
      <xdr:nvSpPr>
        <xdr:cNvPr id="44" name="Line 9077"/>
        <xdr:cNvSpPr>
          <a:spLocks noChangeShapeType="1"/>
        </xdr:cNvSpPr>
      </xdr:nvSpPr>
      <xdr:spPr bwMode="auto">
        <a:xfrm>
          <a:off x="352425" y="20231937"/>
          <a:ext cx="0" cy="510373"/>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113</xdr:row>
      <xdr:rowOff>189977</xdr:rowOff>
    </xdr:from>
    <xdr:to>
      <xdr:col>1</xdr:col>
      <xdr:colOff>490598</xdr:colOff>
      <xdr:row>113</xdr:row>
      <xdr:rowOff>189977</xdr:rowOff>
    </xdr:to>
    <xdr:sp macro="" textlink="">
      <xdr:nvSpPr>
        <xdr:cNvPr id="45" name="Line 9078"/>
        <xdr:cNvSpPr>
          <a:spLocks noChangeShapeType="1"/>
        </xdr:cNvSpPr>
      </xdr:nvSpPr>
      <xdr:spPr bwMode="auto">
        <a:xfrm>
          <a:off x="560046" y="20097227"/>
          <a:ext cx="44490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510009</xdr:colOff>
      <xdr:row>113</xdr:row>
      <xdr:rowOff>189977</xdr:rowOff>
    </xdr:from>
    <xdr:to>
      <xdr:col>2</xdr:col>
      <xdr:colOff>430674</xdr:colOff>
      <xdr:row>113</xdr:row>
      <xdr:rowOff>189977</xdr:rowOff>
    </xdr:to>
    <xdr:sp macro="" textlink="">
      <xdr:nvSpPr>
        <xdr:cNvPr id="46" name="Line 9079"/>
        <xdr:cNvSpPr>
          <a:spLocks noChangeShapeType="1"/>
        </xdr:cNvSpPr>
      </xdr:nvSpPr>
      <xdr:spPr bwMode="auto">
        <a:xfrm>
          <a:off x="1024359" y="20097227"/>
          <a:ext cx="43501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2</xdr:col>
      <xdr:colOff>450811</xdr:colOff>
      <xdr:row>113</xdr:row>
      <xdr:rowOff>189977</xdr:rowOff>
    </xdr:from>
    <xdr:to>
      <xdr:col>3</xdr:col>
      <xdr:colOff>440461</xdr:colOff>
      <xdr:row>113</xdr:row>
      <xdr:rowOff>189977</xdr:rowOff>
    </xdr:to>
    <xdr:sp macro="" textlink="">
      <xdr:nvSpPr>
        <xdr:cNvPr id="47" name="Line 9080"/>
        <xdr:cNvSpPr>
          <a:spLocks noChangeShapeType="1"/>
        </xdr:cNvSpPr>
      </xdr:nvSpPr>
      <xdr:spPr bwMode="auto">
        <a:xfrm>
          <a:off x="1479511" y="20097227"/>
          <a:ext cx="504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3</xdr:col>
      <xdr:colOff>62214</xdr:colOff>
      <xdr:row>113</xdr:row>
      <xdr:rowOff>91691</xdr:rowOff>
    </xdr:from>
    <xdr:to>
      <xdr:col>3</xdr:col>
      <xdr:colOff>190741</xdr:colOff>
      <xdr:row>114</xdr:row>
      <xdr:rowOff>134187</xdr:rowOff>
    </xdr:to>
    <xdr:sp macro="" textlink="">
      <xdr:nvSpPr>
        <xdr:cNvPr id="48" name="Text Box 9081"/>
        <xdr:cNvSpPr txBox="1">
          <a:spLocks noChangeArrowheads="1"/>
        </xdr:cNvSpPr>
      </xdr:nvSpPr>
      <xdr:spPr bwMode="auto">
        <a:xfrm>
          <a:off x="1605264" y="19998941"/>
          <a:ext cx="128527" cy="232996"/>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a:t>
          </a:r>
        </a:p>
      </xdr:txBody>
    </xdr:sp>
    <xdr:clientData/>
  </xdr:twoCellAnchor>
  <xdr:twoCellAnchor>
    <xdr:from>
      <xdr:col>3</xdr:col>
      <xdr:colOff>474200</xdr:colOff>
      <xdr:row>113</xdr:row>
      <xdr:rowOff>189977</xdr:rowOff>
    </xdr:from>
    <xdr:to>
      <xdr:col>4</xdr:col>
      <xdr:colOff>427850</xdr:colOff>
      <xdr:row>113</xdr:row>
      <xdr:rowOff>189977</xdr:rowOff>
    </xdr:to>
    <xdr:sp macro="" textlink="">
      <xdr:nvSpPr>
        <xdr:cNvPr id="49" name="Line 9082"/>
        <xdr:cNvSpPr>
          <a:spLocks noChangeShapeType="1"/>
        </xdr:cNvSpPr>
      </xdr:nvSpPr>
      <xdr:spPr bwMode="auto">
        <a:xfrm>
          <a:off x="2017250" y="20097227"/>
          <a:ext cx="468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0</xdr:col>
      <xdr:colOff>352425</xdr:colOff>
      <xdr:row>117</xdr:row>
      <xdr:rowOff>0</xdr:rowOff>
    </xdr:from>
    <xdr:to>
      <xdr:col>1</xdr:col>
      <xdr:colOff>47625</xdr:colOff>
      <xdr:row>117</xdr:row>
      <xdr:rowOff>0</xdr:rowOff>
    </xdr:to>
    <xdr:sp macro="" textlink="">
      <xdr:nvSpPr>
        <xdr:cNvPr id="50" name="Line 9083"/>
        <xdr:cNvSpPr>
          <a:spLocks noChangeShapeType="1"/>
        </xdr:cNvSpPr>
      </xdr:nvSpPr>
      <xdr:spPr bwMode="auto">
        <a:xfrm>
          <a:off x="352425" y="20669250"/>
          <a:ext cx="2095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57150</xdr:colOff>
      <xdr:row>117</xdr:row>
      <xdr:rowOff>0</xdr:rowOff>
    </xdr:from>
    <xdr:to>
      <xdr:col>7</xdr:col>
      <xdr:colOff>342900</xdr:colOff>
      <xdr:row>117</xdr:row>
      <xdr:rowOff>0</xdr:rowOff>
    </xdr:to>
    <xdr:sp macro="" textlink="">
      <xdr:nvSpPr>
        <xdr:cNvPr id="51" name="Line 9084"/>
        <xdr:cNvSpPr>
          <a:spLocks noChangeShapeType="1"/>
        </xdr:cNvSpPr>
      </xdr:nvSpPr>
      <xdr:spPr bwMode="auto">
        <a:xfrm>
          <a:off x="571500" y="20669250"/>
          <a:ext cx="33718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7</xdr:col>
      <xdr:colOff>352425</xdr:colOff>
      <xdr:row>113</xdr:row>
      <xdr:rowOff>57150</xdr:rowOff>
    </xdr:from>
    <xdr:to>
      <xdr:col>7</xdr:col>
      <xdr:colOff>352425</xdr:colOff>
      <xdr:row>117</xdr:row>
      <xdr:rowOff>57150</xdr:rowOff>
    </xdr:to>
    <xdr:sp macro="" textlink="">
      <xdr:nvSpPr>
        <xdr:cNvPr id="52" name="Line 9085"/>
        <xdr:cNvSpPr>
          <a:spLocks noChangeShapeType="1"/>
        </xdr:cNvSpPr>
      </xdr:nvSpPr>
      <xdr:spPr bwMode="auto">
        <a:xfrm>
          <a:off x="3952875" y="19964400"/>
          <a:ext cx="0" cy="76200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85725</xdr:colOff>
      <xdr:row>112</xdr:row>
      <xdr:rowOff>76200</xdr:rowOff>
    </xdr:from>
    <xdr:to>
      <xdr:col>7</xdr:col>
      <xdr:colOff>390525</xdr:colOff>
      <xdr:row>113</xdr:row>
      <xdr:rowOff>65785</xdr:rowOff>
    </xdr:to>
    <xdr:sp macro="" textlink="">
      <xdr:nvSpPr>
        <xdr:cNvPr id="53" name="Text Box 9086"/>
        <xdr:cNvSpPr txBox="1">
          <a:spLocks noChangeArrowheads="1"/>
        </xdr:cNvSpPr>
      </xdr:nvSpPr>
      <xdr:spPr bwMode="auto">
        <a:xfrm>
          <a:off x="3686175" y="19792950"/>
          <a:ext cx="304800" cy="180085"/>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050" b="0" i="0" u="none" strike="noStrike" baseline="0">
              <a:solidFill>
                <a:srgbClr val="000000"/>
              </a:solidFill>
              <a:latin typeface="Garamond" pitchFamily="18" charset="0"/>
              <a:cs typeface="Arial"/>
            </a:rPr>
            <a:t>C/L</a:t>
          </a:r>
        </a:p>
      </xdr:txBody>
    </xdr:sp>
    <xdr:clientData/>
  </xdr:twoCellAnchor>
  <xdr:twoCellAnchor>
    <xdr:from>
      <xdr:col>5</xdr:col>
      <xdr:colOff>445987</xdr:colOff>
      <xdr:row>113</xdr:row>
      <xdr:rowOff>28574</xdr:rowOff>
    </xdr:from>
    <xdr:to>
      <xdr:col>5</xdr:col>
      <xdr:colOff>445987</xdr:colOff>
      <xdr:row>114</xdr:row>
      <xdr:rowOff>178567</xdr:rowOff>
    </xdr:to>
    <xdr:sp macro="" textlink="">
      <xdr:nvSpPr>
        <xdr:cNvPr id="54" name="Line 9074"/>
        <xdr:cNvSpPr>
          <a:spLocks noChangeShapeType="1"/>
        </xdr:cNvSpPr>
      </xdr:nvSpPr>
      <xdr:spPr bwMode="auto">
        <a:xfrm flipV="1">
          <a:off x="3017737" y="19935824"/>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6</xdr:col>
      <xdr:colOff>446108</xdr:colOff>
      <xdr:row>113</xdr:row>
      <xdr:rowOff>28574</xdr:rowOff>
    </xdr:from>
    <xdr:to>
      <xdr:col>6</xdr:col>
      <xdr:colOff>446108</xdr:colOff>
      <xdr:row>114</xdr:row>
      <xdr:rowOff>188092</xdr:rowOff>
    </xdr:to>
    <xdr:sp macro="" textlink="">
      <xdr:nvSpPr>
        <xdr:cNvPr id="55" name="Line 9075"/>
        <xdr:cNvSpPr>
          <a:spLocks noChangeShapeType="1"/>
        </xdr:cNvSpPr>
      </xdr:nvSpPr>
      <xdr:spPr bwMode="auto">
        <a:xfrm flipV="1">
          <a:off x="3532208" y="19935824"/>
          <a:ext cx="0" cy="350018"/>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4</xdr:col>
      <xdr:colOff>464675</xdr:colOff>
      <xdr:row>113</xdr:row>
      <xdr:rowOff>189977</xdr:rowOff>
    </xdr:from>
    <xdr:to>
      <xdr:col>5</xdr:col>
      <xdr:colOff>418325</xdr:colOff>
      <xdr:row>113</xdr:row>
      <xdr:rowOff>189977</xdr:rowOff>
    </xdr:to>
    <xdr:sp macro="" textlink="">
      <xdr:nvSpPr>
        <xdr:cNvPr id="56" name="Line 9082"/>
        <xdr:cNvSpPr>
          <a:spLocks noChangeShapeType="1"/>
        </xdr:cNvSpPr>
      </xdr:nvSpPr>
      <xdr:spPr bwMode="auto">
        <a:xfrm>
          <a:off x="2522075" y="20097227"/>
          <a:ext cx="468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5</xdr:col>
      <xdr:colOff>455150</xdr:colOff>
      <xdr:row>113</xdr:row>
      <xdr:rowOff>189977</xdr:rowOff>
    </xdr:from>
    <xdr:to>
      <xdr:col>6</xdr:col>
      <xdr:colOff>444800</xdr:colOff>
      <xdr:row>113</xdr:row>
      <xdr:rowOff>189977</xdr:rowOff>
    </xdr:to>
    <xdr:sp macro="" textlink="">
      <xdr:nvSpPr>
        <xdr:cNvPr id="57" name="Line 9082"/>
        <xdr:cNvSpPr>
          <a:spLocks noChangeShapeType="1"/>
        </xdr:cNvSpPr>
      </xdr:nvSpPr>
      <xdr:spPr bwMode="auto">
        <a:xfrm>
          <a:off x="3026900" y="20097227"/>
          <a:ext cx="504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5</xdr:col>
      <xdr:colOff>62214</xdr:colOff>
      <xdr:row>113</xdr:row>
      <xdr:rowOff>72641</xdr:rowOff>
    </xdr:from>
    <xdr:to>
      <xdr:col>5</xdr:col>
      <xdr:colOff>190741</xdr:colOff>
      <xdr:row>114</xdr:row>
      <xdr:rowOff>115137</xdr:rowOff>
    </xdr:to>
    <xdr:sp macro="" textlink="">
      <xdr:nvSpPr>
        <xdr:cNvPr id="58" name="Text Box 9081"/>
        <xdr:cNvSpPr txBox="1">
          <a:spLocks noChangeArrowheads="1"/>
        </xdr:cNvSpPr>
      </xdr:nvSpPr>
      <xdr:spPr bwMode="auto">
        <a:xfrm>
          <a:off x="2633964" y="19979891"/>
          <a:ext cx="128527" cy="232996"/>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a:t>
          </a:r>
        </a:p>
      </xdr:txBody>
    </xdr:sp>
    <xdr:clientData/>
  </xdr:twoCellAnchor>
  <xdr:twoCellAnchor>
    <xdr:from>
      <xdr:col>0</xdr:col>
      <xdr:colOff>352787</xdr:colOff>
      <xdr:row>123</xdr:row>
      <xdr:rowOff>1047</xdr:rowOff>
    </xdr:from>
    <xdr:to>
      <xdr:col>8</xdr:col>
      <xdr:colOff>190362</xdr:colOff>
      <xdr:row>123</xdr:row>
      <xdr:rowOff>189663</xdr:rowOff>
    </xdr:to>
    <xdr:sp macro="" textlink="">
      <xdr:nvSpPr>
        <xdr:cNvPr id="59" name="Freeform 9071"/>
        <xdr:cNvSpPr>
          <a:spLocks/>
        </xdr:cNvSpPr>
      </xdr:nvSpPr>
      <xdr:spPr bwMode="auto">
        <a:xfrm>
          <a:off x="352787" y="21813297"/>
          <a:ext cx="3952375" cy="188616"/>
        </a:xfrm>
        <a:custGeom>
          <a:avLst/>
          <a:gdLst>
            <a:gd name="T0" fmla="*/ 0 w 213"/>
            <a:gd name="T1" fmla="*/ 23 h 16"/>
            <a:gd name="T2" fmla="*/ 0 w 213"/>
            <a:gd name="T3" fmla="*/ 0 h 16"/>
            <a:gd name="T4" fmla="*/ 157 w 213"/>
            <a:gd name="T5" fmla="*/ 0 h 16"/>
            <a:gd name="T6" fmla="*/ 220 w 213"/>
            <a:gd name="T7" fmla="*/ 23 h 16"/>
            <a:gd name="T8" fmla="*/ 3296 w 213"/>
            <a:gd name="T9" fmla="*/ 23 h 16"/>
            <a:gd name="T10" fmla="*/ 0 60000 65536"/>
            <a:gd name="T11" fmla="*/ 0 60000 65536"/>
            <a:gd name="T12" fmla="*/ 0 60000 65536"/>
            <a:gd name="T13" fmla="*/ 0 60000 65536"/>
            <a:gd name="T14" fmla="*/ 0 60000 65536"/>
            <a:gd name="T15" fmla="*/ 0 w 213"/>
            <a:gd name="T16" fmla="*/ 0 h 16"/>
            <a:gd name="T17" fmla="*/ 213 w 213"/>
            <a:gd name="T18" fmla="*/ 16 h 16"/>
            <a:gd name="connsiteX0" fmla="*/ 0 w 12691"/>
            <a:gd name="connsiteY0" fmla="*/ 10000 h 10000"/>
            <a:gd name="connsiteX1" fmla="*/ 0 w 12691"/>
            <a:gd name="connsiteY1" fmla="*/ 0 h 10000"/>
            <a:gd name="connsiteX2" fmla="*/ 469 w 12691"/>
            <a:gd name="connsiteY2" fmla="*/ 0 h 10000"/>
            <a:gd name="connsiteX3" fmla="*/ 657 w 12691"/>
            <a:gd name="connsiteY3" fmla="*/ 10000 h 10000"/>
            <a:gd name="connsiteX4" fmla="*/ 12691 w 12691"/>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91" h="10000">
              <a:moveTo>
                <a:pt x="0" y="10000"/>
              </a:moveTo>
              <a:lnTo>
                <a:pt x="0" y="0"/>
              </a:lnTo>
              <a:lnTo>
                <a:pt x="469" y="0"/>
              </a:lnTo>
              <a:cubicBezTo>
                <a:pt x="532" y="3333"/>
                <a:pt x="594" y="6667"/>
                <a:pt x="657" y="10000"/>
              </a:cubicBezTo>
              <a:lnTo>
                <a:pt x="12691" y="10000"/>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1</xdr:col>
      <xdr:colOff>500484</xdr:colOff>
      <xdr:row>122</xdr:row>
      <xdr:rowOff>19049</xdr:rowOff>
    </xdr:from>
    <xdr:to>
      <xdr:col>1</xdr:col>
      <xdr:colOff>500484</xdr:colOff>
      <xdr:row>123</xdr:row>
      <xdr:rowOff>178566</xdr:rowOff>
    </xdr:to>
    <xdr:sp macro="" textlink="">
      <xdr:nvSpPr>
        <xdr:cNvPr id="60" name="Line 9072"/>
        <xdr:cNvSpPr>
          <a:spLocks noChangeShapeType="1"/>
        </xdr:cNvSpPr>
      </xdr:nvSpPr>
      <xdr:spPr bwMode="auto">
        <a:xfrm flipV="1">
          <a:off x="1014834" y="21640799"/>
          <a:ext cx="0" cy="350017"/>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2</xdr:col>
      <xdr:colOff>431036</xdr:colOff>
      <xdr:row>122</xdr:row>
      <xdr:rowOff>9525</xdr:rowOff>
    </xdr:from>
    <xdr:to>
      <xdr:col>2</xdr:col>
      <xdr:colOff>431036</xdr:colOff>
      <xdr:row>123</xdr:row>
      <xdr:rowOff>178566</xdr:rowOff>
    </xdr:to>
    <xdr:sp macro="" textlink="">
      <xdr:nvSpPr>
        <xdr:cNvPr id="61" name="Line 9073"/>
        <xdr:cNvSpPr>
          <a:spLocks noChangeShapeType="1"/>
        </xdr:cNvSpPr>
      </xdr:nvSpPr>
      <xdr:spPr bwMode="auto">
        <a:xfrm flipV="1">
          <a:off x="1459736" y="21631275"/>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3</xdr:col>
      <xdr:colOff>445987</xdr:colOff>
      <xdr:row>122</xdr:row>
      <xdr:rowOff>19049</xdr:rowOff>
    </xdr:from>
    <xdr:to>
      <xdr:col>3</xdr:col>
      <xdr:colOff>445987</xdr:colOff>
      <xdr:row>123</xdr:row>
      <xdr:rowOff>169042</xdr:rowOff>
    </xdr:to>
    <xdr:sp macro="" textlink="">
      <xdr:nvSpPr>
        <xdr:cNvPr id="62" name="Line 9074"/>
        <xdr:cNvSpPr>
          <a:spLocks noChangeShapeType="1"/>
        </xdr:cNvSpPr>
      </xdr:nvSpPr>
      <xdr:spPr bwMode="auto">
        <a:xfrm flipV="1">
          <a:off x="1989037" y="21640799"/>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4</xdr:col>
      <xdr:colOff>455633</xdr:colOff>
      <xdr:row>122</xdr:row>
      <xdr:rowOff>19049</xdr:rowOff>
    </xdr:from>
    <xdr:to>
      <xdr:col>4</xdr:col>
      <xdr:colOff>455633</xdr:colOff>
      <xdr:row>123</xdr:row>
      <xdr:rowOff>178567</xdr:rowOff>
    </xdr:to>
    <xdr:sp macro="" textlink="">
      <xdr:nvSpPr>
        <xdr:cNvPr id="63" name="Line 9075"/>
        <xdr:cNvSpPr>
          <a:spLocks noChangeShapeType="1"/>
        </xdr:cNvSpPr>
      </xdr:nvSpPr>
      <xdr:spPr bwMode="auto">
        <a:xfrm flipV="1">
          <a:off x="2513033" y="21640799"/>
          <a:ext cx="0" cy="350018"/>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122</xdr:row>
      <xdr:rowOff>104774</xdr:rowOff>
    </xdr:from>
    <xdr:to>
      <xdr:col>1</xdr:col>
      <xdr:colOff>45696</xdr:colOff>
      <xdr:row>126</xdr:row>
      <xdr:rowOff>95249</xdr:rowOff>
    </xdr:to>
    <xdr:sp macro="" textlink="">
      <xdr:nvSpPr>
        <xdr:cNvPr id="64" name="Line 9076"/>
        <xdr:cNvSpPr>
          <a:spLocks noChangeShapeType="1"/>
        </xdr:cNvSpPr>
      </xdr:nvSpPr>
      <xdr:spPr bwMode="auto">
        <a:xfrm flipV="1">
          <a:off x="560046" y="21726524"/>
          <a:ext cx="0" cy="752475"/>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352425</xdr:colOff>
      <xdr:row>123</xdr:row>
      <xdr:rowOff>134187</xdr:rowOff>
    </xdr:from>
    <xdr:to>
      <xdr:col>0</xdr:col>
      <xdr:colOff>352425</xdr:colOff>
      <xdr:row>126</xdr:row>
      <xdr:rowOff>73060</xdr:rowOff>
    </xdr:to>
    <xdr:sp macro="" textlink="">
      <xdr:nvSpPr>
        <xdr:cNvPr id="65" name="Line 9077"/>
        <xdr:cNvSpPr>
          <a:spLocks noChangeShapeType="1"/>
        </xdr:cNvSpPr>
      </xdr:nvSpPr>
      <xdr:spPr bwMode="auto">
        <a:xfrm>
          <a:off x="352425" y="21946437"/>
          <a:ext cx="0" cy="510373"/>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122</xdr:row>
      <xdr:rowOff>189977</xdr:rowOff>
    </xdr:from>
    <xdr:to>
      <xdr:col>1</xdr:col>
      <xdr:colOff>490598</xdr:colOff>
      <xdr:row>122</xdr:row>
      <xdr:rowOff>189977</xdr:rowOff>
    </xdr:to>
    <xdr:sp macro="" textlink="">
      <xdr:nvSpPr>
        <xdr:cNvPr id="66" name="Line 9078"/>
        <xdr:cNvSpPr>
          <a:spLocks noChangeShapeType="1"/>
        </xdr:cNvSpPr>
      </xdr:nvSpPr>
      <xdr:spPr bwMode="auto">
        <a:xfrm>
          <a:off x="560046" y="21811727"/>
          <a:ext cx="44490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510009</xdr:colOff>
      <xdr:row>122</xdr:row>
      <xdr:rowOff>189977</xdr:rowOff>
    </xdr:from>
    <xdr:to>
      <xdr:col>2</xdr:col>
      <xdr:colOff>430674</xdr:colOff>
      <xdr:row>122</xdr:row>
      <xdr:rowOff>189977</xdr:rowOff>
    </xdr:to>
    <xdr:sp macro="" textlink="">
      <xdr:nvSpPr>
        <xdr:cNvPr id="67" name="Line 9079"/>
        <xdr:cNvSpPr>
          <a:spLocks noChangeShapeType="1"/>
        </xdr:cNvSpPr>
      </xdr:nvSpPr>
      <xdr:spPr bwMode="auto">
        <a:xfrm>
          <a:off x="1024359" y="21811727"/>
          <a:ext cx="43501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2</xdr:col>
      <xdr:colOff>450811</xdr:colOff>
      <xdr:row>122</xdr:row>
      <xdr:rowOff>189977</xdr:rowOff>
    </xdr:from>
    <xdr:to>
      <xdr:col>3</xdr:col>
      <xdr:colOff>440461</xdr:colOff>
      <xdr:row>122</xdr:row>
      <xdr:rowOff>189977</xdr:rowOff>
    </xdr:to>
    <xdr:sp macro="" textlink="">
      <xdr:nvSpPr>
        <xdr:cNvPr id="68" name="Line 9080"/>
        <xdr:cNvSpPr>
          <a:spLocks noChangeShapeType="1"/>
        </xdr:cNvSpPr>
      </xdr:nvSpPr>
      <xdr:spPr bwMode="auto">
        <a:xfrm>
          <a:off x="1479511" y="21811727"/>
          <a:ext cx="504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3</xdr:col>
      <xdr:colOff>43164</xdr:colOff>
      <xdr:row>122</xdr:row>
      <xdr:rowOff>91691</xdr:rowOff>
    </xdr:from>
    <xdr:to>
      <xdr:col>3</xdr:col>
      <xdr:colOff>171691</xdr:colOff>
      <xdr:row>123</xdr:row>
      <xdr:rowOff>134187</xdr:rowOff>
    </xdr:to>
    <xdr:sp macro="" textlink="">
      <xdr:nvSpPr>
        <xdr:cNvPr id="69" name="Text Box 9081"/>
        <xdr:cNvSpPr txBox="1">
          <a:spLocks noChangeArrowheads="1"/>
        </xdr:cNvSpPr>
      </xdr:nvSpPr>
      <xdr:spPr bwMode="auto">
        <a:xfrm>
          <a:off x="1586214" y="21713441"/>
          <a:ext cx="128527" cy="232996"/>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a:t>
          </a:r>
        </a:p>
      </xdr:txBody>
    </xdr:sp>
    <xdr:clientData/>
  </xdr:twoCellAnchor>
  <xdr:twoCellAnchor>
    <xdr:from>
      <xdr:col>3</xdr:col>
      <xdr:colOff>474200</xdr:colOff>
      <xdr:row>122</xdr:row>
      <xdr:rowOff>189977</xdr:rowOff>
    </xdr:from>
    <xdr:to>
      <xdr:col>4</xdr:col>
      <xdr:colOff>427850</xdr:colOff>
      <xdr:row>122</xdr:row>
      <xdr:rowOff>189977</xdr:rowOff>
    </xdr:to>
    <xdr:sp macro="" textlink="">
      <xdr:nvSpPr>
        <xdr:cNvPr id="70" name="Line 9082"/>
        <xdr:cNvSpPr>
          <a:spLocks noChangeShapeType="1"/>
        </xdr:cNvSpPr>
      </xdr:nvSpPr>
      <xdr:spPr bwMode="auto">
        <a:xfrm>
          <a:off x="2017250" y="21811727"/>
          <a:ext cx="468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0</xdr:col>
      <xdr:colOff>352425</xdr:colOff>
      <xdr:row>126</xdr:row>
      <xdr:rowOff>0</xdr:rowOff>
    </xdr:from>
    <xdr:to>
      <xdr:col>1</xdr:col>
      <xdr:colOff>47625</xdr:colOff>
      <xdr:row>126</xdr:row>
      <xdr:rowOff>0</xdr:rowOff>
    </xdr:to>
    <xdr:sp macro="" textlink="">
      <xdr:nvSpPr>
        <xdr:cNvPr id="71" name="Line 9083"/>
        <xdr:cNvSpPr>
          <a:spLocks noChangeShapeType="1"/>
        </xdr:cNvSpPr>
      </xdr:nvSpPr>
      <xdr:spPr bwMode="auto">
        <a:xfrm>
          <a:off x="352425" y="22383750"/>
          <a:ext cx="2095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57150</xdr:colOff>
      <xdr:row>126</xdr:row>
      <xdr:rowOff>0</xdr:rowOff>
    </xdr:from>
    <xdr:to>
      <xdr:col>7</xdr:col>
      <xdr:colOff>342900</xdr:colOff>
      <xdr:row>126</xdr:row>
      <xdr:rowOff>0</xdr:rowOff>
    </xdr:to>
    <xdr:sp macro="" textlink="">
      <xdr:nvSpPr>
        <xdr:cNvPr id="72" name="Line 9084"/>
        <xdr:cNvSpPr>
          <a:spLocks noChangeShapeType="1"/>
        </xdr:cNvSpPr>
      </xdr:nvSpPr>
      <xdr:spPr bwMode="auto">
        <a:xfrm>
          <a:off x="571500" y="22383750"/>
          <a:ext cx="33718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7</xdr:col>
      <xdr:colOff>352425</xdr:colOff>
      <xdr:row>122</xdr:row>
      <xdr:rowOff>57150</xdr:rowOff>
    </xdr:from>
    <xdr:to>
      <xdr:col>7</xdr:col>
      <xdr:colOff>352425</xdr:colOff>
      <xdr:row>126</xdr:row>
      <xdr:rowOff>57150</xdr:rowOff>
    </xdr:to>
    <xdr:sp macro="" textlink="">
      <xdr:nvSpPr>
        <xdr:cNvPr id="73" name="Line 9085"/>
        <xdr:cNvSpPr>
          <a:spLocks noChangeShapeType="1"/>
        </xdr:cNvSpPr>
      </xdr:nvSpPr>
      <xdr:spPr bwMode="auto">
        <a:xfrm>
          <a:off x="3952875" y="21678900"/>
          <a:ext cx="0" cy="76200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85725</xdr:colOff>
      <xdr:row>121</xdr:row>
      <xdr:rowOff>76200</xdr:rowOff>
    </xdr:from>
    <xdr:to>
      <xdr:col>7</xdr:col>
      <xdr:colOff>390525</xdr:colOff>
      <xdr:row>122</xdr:row>
      <xdr:rowOff>65785</xdr:rowOff>
    </xdr:to>
    <xdr:sp macro="" textlink="">
      <xdr:nvSpPr>
        <xdr:cNvPr id="74" name="Text Box 9086"/>
        <xdr:cNvSpPr txBox="1">
          <a:spLocks noChangeArrowheads="1"/>
        </xdr:cNvSpPr>
      </xdr:nvSpPr>
      <xdr:spPr bwMode="auto">
        <a:xfrm>
          <a:off x="3686175" y="21507450"/>
          <a:ext cx="304800" cy="180085"/>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050" b="0" i="0" u="none" strike="noStrike" baseline="0">
              <a:solidFill>
                <a:srgbClr val="000000"/>
              </a:solidFill>
              <a:latin typeface="Garamond" pitchFamily="18" charset="0"/>
              <a:cs typeface="Arial"/>
            </a:rPr>
            <a:t>C/L</a:t>
          </a:r>
        </a:p>
      </xdr:txBody>
    </xdr:sp>
    <xdr:clientData/>
  </xdr:twoCellAnchor>
  <xdr:twoCellAnchor>
    <xdr:from>
      <xdr:col>0</xdr:col>
      <xdr:colOff>352787</xdr:colOff>
      <xdr:row>139</xdr:row>
      <xdr:rowOff>1047</xdr:rowOff>
    </xdr:from>
    <xdr:to>
      <xdr:col>8</xdr:col>
      <xdr:colOff>190362</xdr:colOff>
      <xdr:row>139</xdr:row>
      <xdr:rowOff>189663</xdr:rowOff>
    </xdr:to>
    <xdr:sp macro="" textlink="">
      <xdr:nvSpPr>
        <xdr:cNvPr id="75" name="Freeform 9071"/>
        <xdr:cNvSpPr>
          <a:spLocks/>
        </xdr:cNvSpPr>
      </xdr:nvSpPr>
      <xdr:spPr bwMode="auto">
        <a:xfrm>
          <a:off x="352787" y="24861297"/>
          <a:ext cx="3952375" cy="188616"/>
        </a:xfrm>
        <a:custGeom>
          <a:avLst/>
          <a:gdLst>
            <a:gd name="T0" fmla="*/ 0 w 213"/>
            <a:gd name="T1" fmla="*/ 23 h 16"/>
            <a:gd name="T2" fmla="*/ 0 w 213"/>
            <a:gd name="T3" fmla="*/ 0 h 16"/>
            <a:gd name="T4" fmla="*/ 157 w 213"/>
            <a:gd name="T5" fmla="*/ 0 h 16"/>
            <a:gd name="T6" fmla="*/ 220 w 213"/>
            <a:gd name="T7" fmla="*/ 23 h 16"/>
            <a:gd name="T8" fmla="*/ 3296 w 213"/>
            <a:gd name="T9" fmla="*/ 23 h 16"/>
            <a:gd name="T10" fmla="*/ 0 60000 65536"/>
            <a:gd name="T11" fmla="*/ 0 60000 65536"/>
            <a:gd name="T12" fmla="*/ 0 60000 65536"/>
            <a:gd name="T13" fmla="*/ 0 60000 65536"/>
            <a:gd name="T14" fmla="*/ 0 60000 65536"/>
            <a:gd name="T15" fmla="*/ 0 w 213"/>
            <a:gd name="T16" fmla="*/ 0 h 16"/>
            <a:gd name="T17" fmla="*/ 213 w 213"/>
            <a:gd name="T18" fmla="*/ 16 h 16"/>
            <a:gd name="connsiteX0" fmla="*/ 0 w 12691"/>
            <a:gd name="connsiteY0" fmla="*/ 10000 h 10000"/>
            <a:gd name="connsiteX1" fmla="*/ 0 w 12691"/>
            <a:gd name="connsiteY1" fmla="*/ 0 h 10000"/>
            <a:gd name="connsiteX2" fmla="*/ 469 w 12691"/>
            <a:gd name="connsiteY2" fmla="*/ 0 h 10000"/>
            <a:gd name="connsiteX3" fmla="*/ 657 w 12691"/>
            <a:gd name="connsiteY3" fmla="*/ 10000 h 10000"/>
            <a:gd name="connsiteX4" fmla="*/ 12691 w 12691"/>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91" h="10000">
              <a:moveTo>
                <a:pt x="0" y="10000"/>
              </a:moveTo>
              <a:lnTo>
                <a:pt x="0" y="0"/>
              </a:lnTo>
              <a:lnTo>
                <a:pt x="469" y="0"/>
              </a:lnTo>
              <a:cubicBezTo>
                <a:pt x="532" y="3333"/>
                <a:pt x="594" y="6667"/>
                <a:pt x="657" y="10000"/>
              </a:cubicBezTo>
              <a:lnTo>
                <a:pt x="12691" y="10000"/>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1</xdr:col>
      <xdr:colOff>500484</xdr:colOff>
      <xdr:row>138</xdr:row>
      <xdr:rowOff>19049</xdr:rowOff>
    </xdr:from>
    <xdr:to>
      <xdr:col>1</xdr:col>
      <xdr:colOff>500484</xdr:colOff>
      <xdr:row>139</xdr:row>
      <xdr:rowOff>178566</xdr:rowOff>
    </xdr:to>
    <xdr:sp macro="" textlink="">
      <xdr:nvSpPr>
        <xdr:cNvPr id="76" name="Line 9072"/>
        <xdr:cNvSpPr>
          <a:spLocks noChangeShapeType="1"/>
        </xdr:cNvSpPr>
      </xdr:nvSpPr>
      <xdr:spPr bwMode="auto">
        <a:xfrm flipV="1">
          <a:off x="1014834" y="24688799"/>
          <a:ext cx="0" cy="350017"/>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2</xdr:col>
      <xdr:colOff>431036</xdr:colOff>
      <xdr:row>138</xdr:row>
      <xdr:rowOff>9525</xdr:rowOff>
    </xdr:from>
    <xdr:to>
      <xdr:col>2</xdr:col>
      <xdr:colOff>431036</xdr:colOff>
      <xdr:row>139</xdr:row>
      <xdr:rowOff>178566</xdr:rowOff>
    </xdr:to>
    <xdr:sp macro="" textlink="">
      <xdr:nvSpPr>
        <xdr:cNvPr id="77" name="Line 9073"/>
        <xdr:cNvSpPr>
          <a:spLocks noChangeShapeType="1"/>
        </xdr:cNvSpPr>
      </xdr:nvSpPr>
      <xdr:spPr bwMode="auto">
        <a:xfrm flipV="1">
          <a:off x="1459736" y="24679275"/>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3</xdr:col>
      <xdr:colOff>445987</xdr:colOff>
      <xdr:row>138</xdr:row>
      <xdr:rowOff>19049</xdr:rowOff>
    </xdr:from>
    <xdr:to>
      <xdr:col>3</xdr:col>
      <xdr:colOff>445987</xdr:colOff>
      <xdr:row>139</xdr:row>
      <xdr:rowOff>169042</xdr:rowOff>
    </xdr:to>
    <xdr:sp macro="" textlink="">
      <xdr:nvSpPr>
        <xdr:cNvPr id="78" name="Line 9074"/>
        <xdr:cNvSpPr>
          <a:spLocks noChangeShapeType="1"/>
        </xdr:cNvSpPr>
      </xdr:nvSpPr>
      <xdr:spPr bwMode="auto">
        <a:xfrm flipV="1">
          <a:off x="1989037" y="24688799"/>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4</xdr:col>
      <xdr:colOff>455633</xdr:colOff>
      <xdr:row>138</xdr:row>
      <xdr:rowOff>19049</xdr:rowOff>
    </xdr:from>
    <xdr:to>
      <xdr:col>4</xdr:col>
      <xdr:colOff>455633</xdr:colOff>
      <xdr:row>139</xdr:row>
      <xdr:rowOff>178567</xdr:rowOff>
    </xdr:to>
    <xdr:sp macro="" textlink="">
      <xdr:nvSpPr>
        <xdr:cNvPr id="79" name="Line 9075"/>
        <xdr:cNvSpPr>
          <a:spLocks noChangeShapeType="1"/>
        </xdr:cNvSpPr>
      </xdr:nvSpPr>
      <xdr:spPr bwMode="auto">
        <a:xfrm flipV="1">
          <a:off x="2513033" y="24688799"/>
          <a:ext cx="0" cy="350018"/>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138</xdr:row>
      <xdr:rowOff>104774</xdr:rowOff>
    </xdr:from>
    <xdr:to>
      <xdr:col>1</xdr:col>
      <xdr:colOff>45696</xdr:colOff>
      <xdr:row>142</xdr:row>
      <xdr:rowOff>95249</xdr:rowOff>
    </xdr:to>
    <xdr:sp macro="" textlink="">
      <xdr:nvSpPr>
        <xdr:cNvPr id="80" name="Line 9076"/>
        <xdr:cNvSpPr>
          <a:spLocks noChangeShapeType="1"/>
        </xdr:cNvSpPr>
      </xdr:nvSpPr>
      <xdr:spPr bwMode="auto">
        <a:xfrm flipV="1">
          <a:off x="560046" y="24774524"/>
          <a:ext cx="0" cy="752475"/>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352425</xdr:colOff>
      <xdr:row>139</xdr:row>
      <xdr:rowOff>134187</xdr:rowOff>
    </xdr:from>
    <xdr:to>
      <xdr:col>0</xdr:col>
      <xdr:colOff>352425</xdr:colOff>
      <xdr:row>142</xdr:row>
      <xdr:rowOff>73060</xdr:rowOff>
    </xdr:to>
    <xdr:sp macro="" textlink="">
      <xdr:nvSpPr>
        <xdr:cNvPr id="81" name="Line 9077"/>
        <xdr:cNvSpPr>
          <a:spLocks noChangeShapeType="1"/>
        </xdr:cNvSpPr>
      </xdr:nvSpPr>
      <xdr:spPr bwMode="auto">
        <a:xfrm>
          <a:off x="352425" y="24994437"/>
          <a:ext cx="0" cy="510373"/>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138</xdr:row>
      <xdr:rowOff>189977</xdr:rowOff>
    </xdr:from>
    <xdr:to>
      <xdr:col>1</xdr:col>
      <xdr:colOff>490598</xdr:colOff>
      <xdr:row>138</xdr:row>
      <xdr:rowOff>189977</xdr:rowOff>
    </xdr:to>
    <xdr:sp macro="" textlink="">
      <xdr:nvSpPr>
        <xdr:cNvPr id="82" name="Line 9078"/>
        <xdr:cNvSpPr>
          <a:spLocks noChangeShapeType="1"/>
        </xdr:cNvSpPr>
      </xdr:nvSpPr>
      <xdr:spPr bwMode="auto">
        <a:xfrm>
          <a:off x="560046" y="24859727"/>
          <a:ext cx="44490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510009</xdr:colOff>
      <xdr:row>138</xdr:row>
      <xdr:rowOff>189977</xdr:rowOff>
    </xdr:from>
    <xdr:to>
      <xdr:col>2</xdr:col>
      <xdr:colOff>430674</xdr:colOff>
      <xdr:row>138</xdr:row>
      <xdr:rowOff>189977</xdr:rowOff>
    </xdr:to>
    <xdr:sp macro="" textlink="">
      <xdr:nvSpPr>
        <xdr:cNvPr id="83" name="Line 9079"/>
        <xdr:cNvSpPr>
          <a:spLocks noChangeShapeType="1"/>
        </xdr:cNvSpPr>
      </xdr:nvSpPr>
      <xdr:spPr bwMode="auto">
        <a:xfrm>
          <a:off x="1024359" y="24859727"/>
          <a:ext cx="43501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2</xdr:col>
      <xdr:colOff>450811</xdr:colOff>
      <xdr:row>138</xdr:row>
      <xdr:rowOff>189977</xdr:rowOff>
    </xdr:from>
    <xdr:to>
      <xdr:col>3</xdr:col>
      <xdr:colOff>440461</xdr:colOff>
      <xdr:row>138</xdr:row>
      <xdr:rowOff>189977</xdr:rowOff>
    </xdr:to>
    <xdr:sp macro="" textlink="">
      <xdr:nvSpPr>
        <xdr:cNvPr id="84" name="Line 9080"/>
        <xdr:cNvSpPr>
          <a:spLocks noChangeShapeType="1"/>
        </xdr:cNvSpPr>
      </xdr:nvSpPr>
      <xdr:spPr bwMode="auto">
        <a:xfrm>
          <a:off x="1479511" y="24859727"/>
          <a:ext cx="504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3</xdr:col>
      <xdr:colOff>43164</xdr:colOff>
      <xdr:row>138</xdr:row>
      <xdr:rowOff>91691</xdr:rowOff>
    </xdr:from>
    <xdr:to>
      <xdr:col>3</xdr:col>
      <xdr:colOff>171691</xdr:colOff>
      <xdr:row>139</xdr:row>
      <xdr:rowOff>134187</xdr:rowOff>
    </xdr:to>
    <xdr:sp macro="" textlink="">
      <xdr:nvSpPr>
        <xdr:cNvPr id="85" name="Text Box 9081"/>
        <xdr:cNvSpPr txBox="1">
          <a:spLocks noChangeArrowheads="1"/>
        </xdr:cNvSpPr>
      </xdr:nvSpPr>
      <xdr:spPr bwMode="auto">
        <a:xfrm>
          <a:off x="1586214" y="24761441"/>
          <a:ext cx="128527" cy="232996"/>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a:t>
          </a:r>
        </a:p>
      </xdr:txBody>
    </xdr:sp>
    <xdr:clientData/>
  </xdr:twoCellAnchor>
  <xdr:twoCellAnchor>
    <xdr:from>
      <xdr:col>3</xdr:col>
      <xdr:colOff>474200</xdr:colOff>
      <xdr:row>138</xdr:row>
      <xdr:rowOff>189977</xdr:rowOff>
    </xdr:from>
    <xdr:to>
      <xdr:col>4</xdr:col>
      <xdr:colOff>427850</xdr:colOff>
      <xdr:row>138</xdr:row>
      <xdr:rowOff>189977</xdr:rowOff>
    </xdr:to>
    <xdr:sp macro="" textlink="">
      <xdr:nvSpPr>
        <xdr:cNvPr id="86" name="Line 9082"/>
        <xdr:cNvSpPr>
          <a:spLocks noChangeShapeType="1"/>
        </xdr:cNvSpPr>
      </xdr:nvSpPr>
      <xdr:spPr bwMode="auto">
        <a:xfrm>
          <a:off x="2017250" y="24859727"/>
          <a:ext cx="468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0</xdr:col>
      <xdr:colOff>352425</xdr:colOff>
      <xdr:row>142</xdr:row>
      <xdr:rowOff>0</xdr:rowOff>
    </xdr:from>
    <xdr:to>
      <xdr:col>1</xdr:col>
      <xdr:colOff>47625</xdr:colOff>
      <xdr:row>142</xdr:row>
      <xdr:rowOff>0</xdr:rowOff>
    </xdr:to>
    <xdr:sp macro="" textlink="">
      <xdr:nvSpPr>
        <xdr:cNvPr id="87" name="Line 9083"/>
        <xdr:cNvSpPr>
          <a:spLocks noChangeShapeType="1"/>
        </xdr:cNvSpPr>
      </xdr:nvSpPr>
      <xdr:spPr bwMode="auto">
        <a:xfrm>
          <a:off x="352425" y="25431750"/>
          <a:ext cx="2095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57150</xdr:colOff>
      <xdr:row>142</xdr:row>
      <xdr:rowOff>0</xdr:rowOff>
    </xdr:from>
    <xdr:to>
      <xdr:col>7</xdr:col>
      <xdr:colOff>342900</xdr:colOff>
      <xdr:row>142</xdr:row>
      <xdr:rowOff>0</xdr:rowOff>
    </xdr:to>
    <xdr:sp macro="" textlink="">
      <xdr:nvSpPr>
        <xdr:cNvPr id="88" name="Line 9084"/>
        <xdr:cNvSpPr>
          <a:spLocks noChangeShapeType="1"/>
        </xdr:cNvSpPr>
      </xdr:nvSpPr>
      <xdr:spPr bwMode="auto">
        <a:xfrm>
          <a:off x="571500" y="25431750"/>
          <a:ext cx="33718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7</xdr:col>
      <xdr:colOff>352425</xdr:colOff>
      <xdr:row>138</xdr:row>
      <xdr:rowOff>57150</xdr:rowOff>
    </xdr:from>
    <xdr:to>
      <xdr:col>7</xdr:col>
      <xdr:colOff>352425</xdr:colOff>
      <xdr:row>142</xdr:row>
      <xdr:rowOff>57150</xdr:rowOff>
    </xdr:to>
    <xdr:sp macro="" textlink="">
      <xdr:nvSpPr>
        <xdr:cNvPr id="89" name="Line 9085"/>
        <xdr:cNvSpPr>
          <a:spLocks noChangeShapeType="1"/>
        </xdr:cNvSpPr>
      </xdr:nvSpPr>
      <xdr:spPr bwMode="auto">
        <a:xfrm>
          <a:off x="3952875" y="24726900"/>
          <a:ext cx="0" cy="76200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85725</xdr:colOff>
      <xdr:row>137</xdr:row>
      <xdr:rowOff>76200</xdr:rowOff>
    </xdr:from>
    <xdr:to>
      <xdr:col>7</xdr:col>
      <xdr:colOff>390525</xdr:colOff>
      <xdr:row>138</xdr:row>
      <xdr:rowOff>65785</xdr:rowOff>
    </xdr:to>
    <xdr:sp macro="" textlink="">
      <xdr:nvSpPr>
        <xdr:cNvPr id="90" name="Text Box 9086"/>
        <xdr:cNvSpPr txBox="1">
          <a:spLocks noChangeArrowheads="1"/>
        </xdr:cNvSpPr>
      </xdr:nvSpPr>
      <xdr:spPr bwMode="auto">
        <a:xfrm>
          <a:off x="3686175" y="24555450"/>
          <a:ext cx="304800" cy="180085"/>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050" b="0" i="0" u="none" strike="noStrike" baseline="0">
              <a:solidFill>
                <a:srgbClr val="000000"/>
              </a:solidFill>
              <a:latin typeface="Garamond" pitchFamily="18" charset="0"/>
              <a:cs typeface="Arial"/>
            </a:rPr>
            <a:t>C/L</a:t>
          </a:r>
        </a:p>
      </xdr:txBody>
    </xdr:sp>
    <xdr:clientData/>
  </xdr:twoCellAnchor>
  <xdr:twoCellAnchor>
    <xdr:from>
      <xdr:col>0</xdr:col>
      <xdr:colOff>352787</xdr:colOff>
      <xdr:row>131</xdr:row>
      <xdr:rowOff>1047</xdr:rowOff>
    </xdr:from>
    <xdr:to>
      <xdr:col>8</xdr:col>
      <xdr:colOff>190362</xdr:colOff>
      <xdr:row>131</xdr:row>
      <xdr:rowOff>189663</xdr:rowOff>
    </xdr:to>
    <xdr:sp macro="" textlink="">
      <xdr:nvSpPr>
        <xdr:cNvPr id="91" name="Freeform 9071"/>
        <xdr:cNvSpPr>
          <a:spLocks/>
        </xdr:cNvSpPr>
      </xdr:nvSpPr>
      <xdr:spPr bwMode="auto">
        <a:xfrm>
          <a:off x="352787" y="23337297"/>
          <a:ext cx="3952375" cy="188616"/>
        </a:xfrm>
        <a:custGeom>
          <a:avLst/>
          <a:gdLst>
            <a:gd name="T0" fmla="*/ 0 w 213"/>
            <a:gd name="T1" fmla="*/ 23 h 16"/>
            <a:gd name="T2" fmla="*/ 0 w 213"/>
            <a:gd name="T3" fmla="*/ 0 h 16"/>
            <a:gd name="T4" fmla="*/ 157 w 213"/>
            <a:gd name="T5" fmla="*/ 0 h 16"/>
            <a:gd name="T6" fmla="*/ 220 w 213"/>
            <a:gd name="T7" fmla="*/ 23 h 16"/>
            <a:gd name="T8" fmla="*/ 3296 w 213"/>
            <a:gd name="T9" fmla="*/ 23 h 16"/>
            <a:gd name="T10" fmla="*/ 0 60000 65536"/>
            <a:gd name="T11" fmla="*/ 0 60000 65536"/>
            <a:gd name="T12" fmla="*/ 0 60000 65536"/>
            <a:gd name="T13" fmla="*/ 0 60000 65536"/>
            <a:gd name="T14" fmla="*/ 0 60000 65536"/>
            <a:gd name="T15" fmla="*/ 0 w 213"/>
            <a:gd name="T16" fmla="*/ 0 h 16"/>
            <a:gd name="T17" fmla="*/ 213 w 213"/>
            <a:gd name="T18" fmla="*/ 16 h 16"/>
            <a:gd name="connsiteX0" fmla="*/ 0 w 12691"/>
            <a:gd name="connsiteY0" fmla="*/ 10000 h 10000"/>
            <a:gd name="connsiteX1" fmla="*/ 0 w 12691"/>
            <a:gd name="connsiteY1" fmla="*/ 0 h 10000"/>
            <a:gd name="connsiteX2" fmla="*/ 469 w 12691"/>
            <a:gd name="connsiteY2" fmla="*/ 0 h 10000"/>
            <a:gd name="connsiteX3" fmla="*/ 657 w 12691"/>
            <a:gd name="connsiteY3" fmla="*/ 10000 h 10000"/>
            <a:gd name="connsiteX4" fmla="*/ 12691 w 12691"/>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91" h="10000">
              <a:moveTo>
                <a:pt x="0" y="10000"/>
              </a:moveTo>
              <a:lnTo>
                <a:pt x="0" y="0"/>
              </a:lnTo>
              <a:lnTo>
                <a:pt x="469" y="0"/>
              </a:lnTo>
              <a:cubicBezTo>
                <a:pt x="532" y="3333"/>
                <a:pt x="594" y="6667"/>
                <a:pt x="657" y="10000"/>
              </a:cubicBezTo>
              <a:lnTo>
                <a:pt x="12691" y="10000"/>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1</xdr:col>
      <xdr:colOff>500484</xdr:colOff>
      <xdr:row>130</xdr:row>
      <xdr:rowOff>19049</xdr:rowOff>
    </xdr:from>
    <xdr:to>
      <xdr:col>1</xdr:col>
      <xdr:colOff>500484</xdr:colOff>
      <xdr:row>131</xdr:row>
      <xdr:rowOff>178566</xdr:rowOff>
    </xdr:to>
    <xdr:sp macro="" textlink="">
      <xdr:nvSpPr>
        <xdr:cNvPr id="92" name="Line 9072"/>
        <xdr:cNvSpPr>
          <a:spLocks noChangeShapeType="1"/>
        </xdr:cNvSpPr>
      </xdr:nvSpPr>
      <xdr:spPr bwMode="auto">
        <a:xfrm flipV="1">
          <a:off x="1014834" y="23164799"/>
          <a:ext cx="0" cy="350017"/>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2</xdr:col>
      <xdr:colOff>431036</xdr:colOff>
      <xdr:row>130</xdr:row>
      <xdr:rowOff>9525</xdr:rowOff>
    </xdr:from>
    <xdr:to>
      <xdr:col>2</xdr:col>
      <xdr:colOff>431036</xdr:colOff>
      <xdr:row>131</xdr:row>
      <xdr:rowOff>178566</xdr:rowOff>
    </xdr:to>
    <xdr:sp macro="" textlink="">
      <xdr:nvSpPr>
        <xdr:cNvPr id="93" name="Line 9073"/>
        <xdr:cNvSpPr>
          <a:spLocks noChangeShapeType="1"/>
        </xdr:cNvSpPr>
      </xdr:nvSpPr>
      <xdr:spPr bwMode="auto">
        <a:xfrm flipV="1">
          <a:off x="1459736" y="23155275"/>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3</xdr:col>
      <xdr:colOff>445987</xdr:colOff>
      <xdr:row>130</xdr:row>
      <xdr:rowOff>19049</xdr:rowOff>
    </xdr:from>
    <xdr:to>
      <xdr:col>3</xdr:col>
      <xdr:colOff>445987</xdr:colOff>
      <xdr:row>131</xdr:row>
      <xdr:rowOff>169042</xdr:rowOff>
    </xdr:to>
    <xdr:sp macro="" textlink="">
      <xdr:nvSpPr>
        <xdr:cNvPr id="94" name="Line 9074"/>
        <xdr:cNvSpPr>
          <a:spLocks noChangeShapeType="1"/>
        </xdr:cNvSpPr>
      </xdr:nvSpPr>
      <xdr:spPr bwMode="auto">
        <a:xfrm flipV="1">
          <a:off x="1989037" y="23164799"/>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4</xdr:col>
      <xdr:colOff>455633</xdr:colOff>
      <xdr:row>130</xdr:row>
      <xdr:rowOff>19049</xdr:rowOff>
    </xdr:from>
    <xdr:to>
      <xdr:col>4</xdr:col>
      <xdr:colOff>455633</xdr:colOff>
      <xdr:row>131</xdr:row>
      <xdr:rowOff>178567</xdr:rowOff>
    </xdr:to>
    <xdr:sp macro="" textlink="">
      <xdr:nvSpPr>
        <xdr:cNvPr id="95" name="Line 9075"/>
        <xdr:cNvSpPr>
          <a:spLocks noChangeShapeType="1"/>
        </xdr:cNvSpPr>
      </xdr:nvSpPr>
      <xdr:spPr bwMode="auto">
        <a:xfrm flipV="1">
          <a:off x="2513033" y="23164799"/>
          <a:ext cx="0" cy="350018"/>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130</xdr:row>
      <xdr:rowOff>104774</xdr:rowOff>
    </xdr:from>
    <xdr:to>
      <xdr:col>1</xdr:col>
      <xdr:colOff>45696</xdr:colOff>
      <xdr:row>134</xdr:row>
      <xdr:rowOff>95249</xdr:rowOff>
    </xdr:to>
    <xdr:sp macro="" textlink="">
      <xdr:nvSpPr>
        <xdr:cNvPr id="96" name="Line 9076"/>
        <xdr:cNvSpPr>
          <a:spLocks noChangeShapeType="1"/>
        </xdr:cNvSpPr>
      </xdr:nvSpPr>
      <xdr:spPr bwMode="auto">
        <a:xfrm flipV="1">
          <a:off x="560046" y="23250524"/>
          <a:ext cx="0" cy="752475"/>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352425</xdr:colOff>
      <xdr:row>131</xdr:row>
      <xdr:rowOff>134187</xdr:rowOff>
    </xdr:from>
    <xdr:to>
      <xdr:col>0</xdr:col>
      <xdr:colOff>352425</xdr:colOff>
      <xdr:row>134</xdr:row>
      <xdr:rowOff>73060</xdr:rowOff>
    </xdr:to>
    <xdr:sp macro="" textlink="">
      <xdr:nvSpPr>
        <xdr:cNvPr id="97" name="Line 9077"/>
        <xdr:cNvSpPr>
          <a:spLocks noChangeShapeType="1"/>
        </xdr:cNvSpPr>
      </xdr:nvSpPr>
      <xdr:spPr bwMode="auto">
        <a:xfrm>
          <a:off x="352425" y="23470437"/>
          <a:ext cx="0" cy="510373"/>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130</xdr:row>
      <xdr:rowOff>189977</xdr:rowOff>
    </xdr:from>
    <xdr:to>
      <xdr:col>1</xdr:col>
      <xdr:colOff>490598</xdr:colOff>
      <xdr:row>130</xdr:row>
      <xdr:rowOff>189977</xdr:rowOff>
    </xdr:to>
    <xdr:sp macro="" textlink="">
      <xdr:nvSpPr>
        <xdr:cNvPr id="98" name="Line 9078"/>
        <xdr:cNvSpPr>
          <a:spLocks noChangeShapeType="1"/>
        </xdr:cNvSpPr>
      </xdr:nvSpPr>
      <xdr:spPr bwMode="auto">
        <a:xfrm>
          <a:off x="560046" y="23335727"/>
          <a:ext cx="44490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510009</xdr:colOff>
      <xdr:row>130</xdr:row>
      <xdr:rowOff>189977</xdr:rowOff>
    </xdr:from>
    <xdr:to>
      <xdr:col>2</xdr:col>
      <xdr:colOff>430674</xdr:colOff>
      <xdr:row>130</xdr:row>
      <xdr:rowOff>189977</xdr:rowOff>
    </xdr:to>
    <xdr:sp macro="" textlink="">
      <xdr:nvSpPr>
        <xdr:cNvPr id="99" name="Line 9079"/>
        <xdr:cNvSpPr>
          <a:spLocks noChangeShapeType="1"/>
        </xdr:cNvSpPr>
      </xdr:nvSpPr>
      <xdr:spPr bwMode="auto">
        <a:xfrm>
          <a:off x="1024359" y="23335727"/>
          <a:ext cx="43501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2</xdr:col>
      <xdr:colOff>450811</xdr:colOff>
      <xdr:row>130</xdr:row>
      <xdr:rowOff>189977</xdr:rowOff>
    </xdr:from>
    <xdr:to>
      <xdr:col>3</xdr:col>
      <xdr:colOff>440461</xdr:colOff>
      <xdr:row>130</xdr:row>
      <xdr:rowOff>189977</xdr:rowOff>
    </xdr:to>
    <xdr:sp macro="" textlink="">
      <xdr:nvSpPr>
        <xdr:cNvPr id="100" name="Line 9080"/>
        <xdr:cNvSpPr>
          <a:spLocks noChangeShapeType="1"/>
        </xdr:cNvSpPr>
      </xdr:nvSpPr>
      <xdr:spPr bwMode="auto">
        <a:xfrm>
          <a:off x="1479511" y="23335727"/>
          <a:ext cx="504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3</xdr:col>
      <xdr:colOff>43164</xdr:colOff>
      <xdr:row>130</xdr:row>
      <xdr:rowOff>91691</xdr:rowOff>
    </xdr:from>
    <xdr:to>
      <xdr:col>3</xdr:col>
      <xdr:colOff>171691</xdr:colOff>
      <xdr:row>131</xdr:row>
      <xdr:rowOff>134187</xdr:rowOff>
    </xdr:to>
    <xdr:sp macro="" textlink="">
      <xdr:nvSpPr>
        <xdr:cNvPr id="101" name="Text Box 9081"/>
        <xdr:cNvSpPr txBox="1">
          <a:spLocks noChangeArrowheads="1"/>
        </xdr:cNvSpPr>
      </xdr:nvSpPr>
      <xdr:spPr bwMode="auto">
        <a:xfrm>
          <a:off x="1586214" y="23237441"/>
          <a:ext cx="128527" cy="232996"/>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a:t>
          </a:r>
        </a:p>
      </xdr:txBody>
    </xdr:sp>
    <xdr:clientData/>
  </xdr:twoCellAnchor>
  <xdr:twoCellAnchor>
    <xdr:from>
      <xdr:col>3</xdr:col>
      <xdr:colOff>474200</xdr:colOff>
      <xdr:row>130</xdr:row>
      <xdr:rowOff>189977</xdr:rowOff>
    </xdr:from>
    <xdr:to>
      <xdr:col>4</xdr:col>
      <xdr:colOff>427850</xdr:colOff>
      <xdr:row>130</xdr:row>
      <xdr:rowOff>189977</xdr:rowOff>
    </xdr:to>
    <xdr:sp macro="" textlink="">
      <xdr:nvSpPr>
        <xdr:cNvPr id="102" name="Line 9082"/>
        <xdr:cNvSpPr>
          <a:spLocks noChangeShapeType="1"/>
        </xdr:cNvSpPr>
      </xdr:nvSpPr>
      <xdr:spPr bwMode="auto">
        <a:xfrm>
          <a:off x="2017250" y="23335727"/>
          <a:ext cx="468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0</xdr:col>
      <xdr:colOff>352425</xdr:colOff>
      <xdr:row>134</xdr:row>
      <xdr:rowOff>0</xdr:rowOff>
    </xdr:from>
    <xdr:to>
      <xdr:col>1</xdr:col>
      <xdr:colOff>47625</xdr:colOff>
      <xdr:row>134</xdr:row>
      <xdr:rowOff>0</xdr:rowOff>
    </xdr:to>
    <xdr:sp macro="" textlink="">
      <xdr:nvSpPr>
        <xdr:cNvPr id="103" name="Line 9083"/>
        <xdr:cNvSpPr>
          <a:spLocks noChangeShapeType="1"/>
        </xdr:cNvSpPr>
      </xdr:nvSpPr>
      <xdr:spPr bwMode="auto">
        <a:xfrm>
          <a:off x="352425" y="23907750"/>
          <a:ext cx="2095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57150</xdr:colOff>
      <xdr:row>134</xdr:row>
      <xdr:rowOff>0</xdr:rowOff>
    </xdr:from>
    <xdr:to>
      <xdr:col>7</xdr:col>
      <xdr:colOff>342900</xdr:colOff>
      <xdr:row>134</xdr:row>
      <xdr:rowOff>0</xdr:rowOff>
    </xdr:to>
    <xdr:sp macro="" textlink="">
      <xdr:nvSpPr>
        <xdr:cNvPr id="104" name="Line 9084"/>
        <xdr:cNvSpPr>
          <a:spLocks noChangeShapeType="1"/>
        </xdr:cNvSpPr>
      </xdr:nvSpPr>
      <xdr:spPr bwMode="auto">
        <a:xfrm>
          <a:off x="571500" y="23907750"/>
          <a:ext cx="33718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7</xdr:col>
      <xdr:colOff>352425</xdr:colOff>
      <xdr:row>130</xdr:row>
      <xdr:rowOff>57150</xdr:rowOff>
    </xdr:from>
    <xdr:to>
      <xdr:col>7</xdr:col>
      <xdr:colOff>352425</xdr:colOff>
      <xdr:row>134</xdr:row>
      <xdr:rowOff>57150</xdr:rowOff>
    </xdr:to>
    <xdr:sp macro="" textlink="">
      <xdr:nvSpPr>
        <xdr:cNvPr id="105" name="Line 9085"/>
        <xdr:cNvSpPr>
          <a:spLocks noChangeShapeType="1"/>
        </xdr:cNvSpPr>
      </xdr:nvSpPr>
      <xdr:spPr bwMode="auto">
        <a:xfrm>
          <a:off x="3952875" y="23202900"/>
          <a:ext cx="0" cy="76200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85725</xdr:colOff>
      <xdr:row>129</xdr:row>
      <xdr:rowOff>76200</xdr:rowOff>
    </xdr:from>
    <xdr:to>
      <xdr:col>7</xdr:col>
      <xdr:colOff>390525</xdr:colOff>
      <xdr:row>130</xdr:row>
      <xdr:rowOff>65785</xdr:rowOff>
    </xdr:to>
    <xdr:sp macro="" textlink="">
      <xdr:nvSpPr>
        <xdr:cNvPr id="106" name="Text Box 9086"/>
        <xdr:cNvSpPr txBox="1">
          <a:spLocks noChangeArrowheads="1"/>
        </xdr:cNvSpPr>
      </xdr:nvSpPr>
      <xdr:spPr bwMode="auto">
        <a:xfrm>
          <a:off x="3686175" y="23031450"/>
          <a:ext cx="304800" cy="180085"/>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050" b="0" i="0" u="none" strike="noStrike" baseline="0">
              <a:solidFill>
                <a:srgbClr val="000000"/>
              </a:solidFill>
              <a:latin typeface="Garamond" pitchFamily="18" charset="0"/>
              <a:cs typeface="Arial"/>
            </a:rPr>
            <a:t>C/L</a:t>
          </a:r>
        </a:p>
      </xdr:txBody>
    </xdr:sp>
    <xdr:clientData/>
  </xdr:twoCellAnchor>
  <xdr:twoCellAnchor>
    <xdr:from>
      <xdr:col>0</xdr:col>
      <xdr:colOff>352787</xdr:colOff>
      <xdr:row>147</xdr:row>
      <xdr:rowOff>1047</xdr:rowOff>
    </xdr:from>
    <xdr:to>
      <xdr:col>8</xdr:col>
      <xdr:colOff>190362</xdr:colOff>
      <xdr:row>147</xdr:row>
      <xdr:rowOff>189663</xdr:rowOff>
    </xdr:to>
    <xdr:sp macro="" textlink="">
      <xdr:nvSpPr>
        <xdr:cNvPr id="107" name="Freeform 9071"/>
        <xdr:cNvSpPr>
          <a:spLocks/>
        </xdr:cNvSpPr>
      </xdr:nvSpPr>
      <xdr:spPr bwMode="auto">
        <a:xfrm>
          <a:off x="352787" y="26385297"/>
          <a:ext cx="3952375" cy="188616"/>
        </a:xfrm>
        <a:custGeom>
          <a:avLst/>
          <a:gdLst>
            <a:gd name="T0" fmla="*/ 0 w 213"/>
            <a:gd name="T1" fmla="*/ 23 h 16"/>
            <a:gd name="T2" fmla="*/ 0 w 213"/>
            <a:gd name="T3" fmla="*/ 0 h 16"/>
            <a:gd name="T4" fmla="*/ 157 w 213"/>
            <a:gd name="T5" fmla="*/ 0 h 16"/>
            <a:gd name="T6" fmla="*/ 220 w 213"/>
            <a:gd name="T7" fmla="*/ 23 h 16"/>
            <a:gd name="T8" fmla="*/ 3296 w 213"/>
            <a:gd name="T9" fmla="*/ 23 h 16"/>
            <a:gd name="T10" fmla="*/ 0 60000 65536"/>
            <a:gd name="T11" fmla="*/ 0 60000 65536"/>
            <a:gd name="T12" fmla="*/ 0 60000 65536"/>
            <a:gd name="T13" fmla="*/ 0 60000 65536"/>
            <a:gd name="T14" fmla="*/ 0 60000 65536"/>
            <a:gd name="T15" fmla="*/ 0 w 213"/>
            <a:gd name="T16" fmla="*/ 0 h 16"/>
            <a:gd name="T17" fmla="*/ 213 w 213"/>
            <a:gd name="T18" fmla="*/ 16 h 16"/>
            <a:gd name="connsiteX0" fmla="*/ 0 w 12691"/>
            <a:gd name="connsiteY0" fmla="*/ 10000 h 10000"/>
            <a:gd name="connsiteX1" fmla="*/ 0 w 12691"/>
            <a:gd name="connsiteY1" fmla="*/ 0 h 10000"/>
            <a:gd name="connsiteX2" fmla="*/ 469 w 12691"/>
            <a:gd name="connsiteY2" fmla="*/ 0 h 10000"/>
            <a:gd name="connsiteX3" fmla="*/ 657 w 12691"/>
            <a:gd name="connsiteY3" fmla="*/ 10000 h 10000"/>
            <a:gd name="connsiteX4" fmla="*/ 12691 w 12691"/>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91" h="10000">
              <a:moveTo>
                <a:pt x="0" y="10000"/>
              </a:moveTo>
              <a:lnTo>
                <a:pt x="0" y="0"/>
              </a:lnTo>
              <a:lnTo>
                <a:pt x="469" y="0"/>
              </a:lnTo>
              <a:cubicBezTo>
                <a:pt x="532" y="3333"/>
                <a:pt x="594" y="6667"/>
                <a:pt x="657" y="10000"/>
              </a:cubicBezTo>
              <a:lnTo>
                <a:pt x="12691" y="10000"/>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1</xdr:col>
      <xdr:colOff>500484</xdr:colOff>
      <xdr:row>146</xdr:row>
      <xdr:rowOff>19049</xdr:rowOff>
    </xdr:from>
    <xdr:to>
      <xdr:col>1</xdr:col>
      <xdr:colOff>500484</xdr:colOff>
      <xdr:row>147</xdr:row>
      <xdr:rowOff>178566</xdr:rowOff>
    </xdr:to>
    <xdr:sp macro="" textlink="">
      <xdr:nvSpPr>
        <xdr:cNvPr id="108" name="Line 9072"/>
        <xdr:cNvSpPr>
          <a:spLocks noChangeShapeType="1"/>
        </xdr:cNvSpPr>
      </xdr:nvSpPr>
      <xdr:spPr bwMode="auto">
        <a:xfrm flipV="1">
          <a:off x="1014834" y="26212799"/>
          <a:ext cx="0" cy="350017"/>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2</xdr:col>
      <xdr:colOff>431036</xdr:colOff>
      <xdr:row>146</xdr:row>
      <xdr:rowOff>9525</xdr:rowOff>
    </xdr:from>
    <xdr:to>
      <xdr:col>2</xdr:col>
      <xdr:colOff>431036</xdr:colOff>
      <xdr:row>147</xdr:row>
      <xdr:rowOff>178566</xdr:rowOff>
    </xdr:to>
    <xdr:sp macro="" textlink="">
      <xdr:nvSpPr>
        <xdr:cNvPr id="109" name="Line 9073"/>
        <xdr:cNvSpPr>
          <a:spLocks noChangeShapeType="1"/>
        </xdr:cNvSpPr>
      </xdr:nvSpPr>
      <xdr:spPr bwMode="auto">
        <a:xfrm flipV="1">
          <a:off x="1459736" y="26203275"/>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3</xdr:col>
      <xdr:colOff>445987</xdr:colOff>
      <xdr:row>146</xdr:row>
      <xdr:rowOff>19049</xdr:rowOff>
    </xdr:from>
    <xdr:to>
      <xdr:col>3</xdr:col>
      <xdr:colOff>445987</xdr:colOff>
      <xdr:row>147</xdr:row>
      <xdr:rowOff>169042</xdr:rowOff>
    </xdr:to>
    <xdr:sp macro="" textlink="">
      <xdr:nvSpPr>
        <xdr:cNvPr id="110" name="Line 9074"/>
        <xdr:cNvSpPr>
          <a:spLocks noChangeShapeType="1"/>
        </xdr:cNvSpPr>
      </xdr:nvSpPr>
      <xdr:spPr bwMode="auto">
        <a:xfrm flipV="1">
          <a:off x="1989037" y="26212799"/>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4</xdr:col>
      <xdr:colOff>455633</xdr:colOff>
      <xdr:row>146</xdr:row>
      <xdr:rowOff>19049</xdr:rowOff>
    </xdr:from>
    <xdr:to>
      <xdr:col>4</xdr:col>
      <xdr:colOff>455633</xdr:colOff>
      <xdr:row>147</xdr:row>
      <xdr:rowOff>178567</xdr:rowOff>
    </xdr:to>
    <xdr:sp macro="" textlink="">
      <xdr:nvSpPr>
        <xdr:cNvPr id="111" name="Line 9075"/>
        <xdr:cNvSpPr>
          <a:spLocks noChangeShapeType="1"/>
        </xdr:cNvSpPr>
      </xdr:nvSpPr>
      <xdr:spPr bwMode="auto">
        <a:xfrm flipV="1">
          <a:off x="2513033" y="26212799"/>
          <a:ext cx="0" cy="350018"/>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146</xdr:row>
      <xdr:rowOff>104774</xdr:rowOff>
    </xdr:from>
    <xdr:to>
      <xdr:col>1</xdr:col>
      <xdr:colOff>45696</xdr:colOff>
      <xdr:row>150</xdr:row>
      <xdr:rowOff>95249</xdr:rowOff>
    </xdr:to>
    <xdr:sp macro="" textlink="">
      <xdr:nvSpPr>
        <xdr:cNvPr id="112" name="Line 9076"/>
        <xdr:cNvSpPr>
          <a:spLocks noChangeShapeType="1"/>
        </xdr:cNvSpPr>
      </xdr:nvSpPr>
      <xdr:spPr bwMode="auto">
        <a:xfrm flipV="1">
          <a:off x="560046" y="26298524"/>
          <a:ext cx="0" cy="752475"/>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352425</xdr:colOff>
      <xdr:row>147</xdr:row>
      <xdr:rowOff>134187</xdr:rowOff>
    </xdr:from>
    <xdr:to>
      <xdr:col>0</xdr:col>
      <xdr:colOff>352425</xdr:colOff>
      <xdr:row>150</xdr:row>
      <xdr:rowOff>73060</xdr:rowOff>
    </xdr:to>
    <xdr:sp macro="" textlink="">
      <xdr:nvSpPr>
        <xdr:cNvPr id="113" name="Line 9077"/>
        <xdr:cNvSpPr>
          <a:spLocks noChangeShapeType="1"/>
        </xdr:cNvSpPr>
      </xdr:nvSpPr>
      <xdr:spPr bwMode="auto">
        <a:xfrm>
          <a:off x="352425" y="26518437"/>
          <a:ext cx="0" cy="510373"/>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146</xdr:row>
      <xdr:rowOff>189977</xdr:rowOff>
    </xdr:from>
    <xdr:to>
      <xdr:col>1</xdr:col>
      <xdr:colOff>490598</xdr:colOff>
      <xdr:row>146</xdr:row>
      <xdr:rowOff>189977</xdr:rowOff>
    </xdr:to>
    <xdr:sp macro="" textlink="">
      <xdr:nvSpPr>
        <xdr:cNvPr id="114" name="Line 9078"/>
        <xdr:cNvSpPr>
          <a:spLocks noChangeShapeType="1"/>
        </xdr:cNvSpPr>
      </xdr:nvSpPr>
      <xdr:spPr bwMode="auto">
        <a:xfrm>
          <a:off x="560046" y="26383727"/>
          <a:ext cx="44490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510009</xdr:colOff>
      <xdr:row>146</xdr:row>
      <xdr:rowOff>189977</xdr:rowOff>
    </xdr:from>
    <xdr:to>
      <xdr:col>2</xdr:col>
      <xdr:colOff>430674</xdr:colOff>
      <xdr:row>146</xdr:row>
      <xdr:rowOff>189977</xdr:rowOff>
    </xdr:to>
    <xdr:sp macro="" textlink="">
      <xdr:nvSpPr>
        <xdr:cNvPr id="115" name="Line 9079"/>
        <xdr:cNvSpPr>
          <a:spLocks noChangeShapeType="1"/>
        </xdr:cNvSpPr>
      </xdr:nvSpPr>
      <xdr:spPr bwMode="auto">
        <a:xfrm>
          <a:off x="1024359" y="26383727"/>
          <a:ext cx="43501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2</xdr:col>
      <xdr:colOff>450811</xdr:colOff>
      <xdr:row>146</xdr:row>
      <xdr:rowOff>189977</xdr:rowOff>
    </xdr:from>
    <xdr:to>
      <xdr:col>3</xdr:col>
      <xdr:colOff>440461</xdr:colOff>
      <xdr:row>146</xdr:row>
      <xdr:rowOff>189977</xdr:rowOff>
    </xdr:to>
    <xdr:sp macro="" textlink="">
      <xdr:nvSpPr>
        <xdr:cNvPr id="116" name="Line 9080"/>
        <xdr:cNvSpPr>
          <a:spLocks noChangeShapeType="1"/>
        </xdr:cNvSpPr>
      </xdr:nvSpPr>
      <xdr:spPr bwMode="auto">
        <a:xfrm>
          <a:off x="1479511" y="26383727"/>
          <a:ext cx="504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3</xdr:col>
      <xdr:colOff>43164</xdr:colOff>
      <xdr:row>146</xdr:row>
      <xdr:rowOff>91691</xdr:rowOff>
    </xdr:from>
    <xdr:to>
      <xdr:col>3</xdr:col>
      <xdr:colOff>171691</xdr:colOff>
      <xdr:row>147</xdr:row>
      <xdr:rowOff>134187</xdr:rowOff>
    </xdr:to>
    <xdr:sp macro="" textlink="">
      <xdr:nvSpPr>
        <xdr:cNvPr id="117" name="Text Box 9081"/>
        <xdr:cNvSpPr txBox="1">
          <a:spLocks noChangeArrowheads="1"/>
        </xdr:cNvSpPr>
      </xdr:nvSpPr>
      <xdr:spPr bwMode="auto">
        <a:xfrm>
          <a:off x="1586214" y="26285441"/>
          <a:ext cx="128527" cy="232996"/>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a:t>
          </a:r>
        </a:p>
      </xdr:txBody>
    </xdr:sp>
    <xdr:clientData/>
  </xdr:twoCellAnchor>
  <xdr:twoCellAnchor>
    <xdr:from>
      <xdr:col>3</xdr:col>
      <xdr:colOff>474200</xdr:colOff>
      <xdr:row>146</xdr:row>
      <xdr:rowOff>189977</xdr:rowOff>
    </xdr:from>
    <xdr:to>
      <xdr:col>4</xdr:col>
      <xdr:colOff>427850</xdr:colOff>
      <xdr:row>146</xdr:row>
      <xdr:rowOff>189977</xdr:rowOff>
    </xdr:to>
    <xdr:sp macro="" textlink="">
      <xdr:nvSpPr>
        <xdr:cNvPr id="118" name="Line 9082"/>
        <xdr:cNvSpPr>
          <a:spLocks noChangeShapeType="1"/>
        </xdr:cNvSpPr>
      </xdr:nvSpPr>
      <xdr:spPr bwMode="auto">
        <a:xfrm>
          <a:off x="2017250" y="26383727"/>
          <a:ext cx="468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0</xdr:col>
      <xdr:colOff>352425</xdr:colOff>
      <xdr:row>150</xdr:row>
      <xdr:rowOff>0</xdr:rowOff>
    </xdr:from>
    <xdr:to>
      <xdr:col>1</xdr:col>
      <xdr:colOff>47625</xdr:colOff>
      <xdr:row>150</xdr:row>
      <xdr:rowOff>0</xdr:rowOff>
    </xdr:to>
    <xdr:sp macro="" textlink="">
      <xdr:nvSpPr>
        <xdr:cNvPr id="119" name="Line 9083"/>
        <xdr:cNvSpPr>
          <a:spLocks noChangeShapeType="1"/>
        </xdr:cNvSpPr>
      </xdr:nvSpPr>
      <xdr:spPr bwMode="auto">
        <a:xfrm>
          <a:off x="352425" y="26955750"/>
          <a:ext cx="2095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57150</xdr:colOff>
      <xdr:row>150</xdr:row>
      <xdr:rowOff>0</xdr:rowOff>
    </xdr:from>
    <xdr:to>
      <xdr:col>7</xdr:col>
      <xdr:colOff>342900</xdr:colOff>
      <xdr:row>150</xdr:row>
      <xdr:rowOff>0</xdr:rowOff>
    </xdr:to>
    <xdr:sp macro="" textlink="">
      <xdr:nvSpPr>
        <xdr:cNvPr id="120" name="Line 9084"/>
        <xdr:cNvSpPr>
          <a:spLocks noChangeShapeType="1"/>
        </xdr:cNvSpPr>
      </xdr:nvSpPr>
      <xdr:spPr bwMode="auto">
        <a:xfrm>
          <a:off x="571500" y="26955750"/>
          <a:ext cx="33718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7</xdr:col>
      <xdr:colOff>352425</xdr:colOff>
      <xdr:row>146</xdr:row>
      <xdr:rowOff>57150</xdr:rowOff>
    </xdr:from>
    <xdr:to>
      <xdr:col>7</xdr:col>
      <xdr:colOff>352425</xdr:colOff>
      <xdr:row>150</xdr:row>
      <xdr:rowOff>57150</xdr:rowOff>
    </xdr:to>
    <xdr:sp macro="" textlink="">
      <xdr:nvSpPr>
        <xdr:cNvPr id="121" name="Line 9085"/>
        <xdr:cNvSpPr>
          <a:spLocks noChangeShapeType="1"/>
        </xdr:cNvSpPr>
      </xdr:nvSpPr>
      <xdr:spPr bwMode="auto">
        <a:xfrm>
          <a:off x="3952875" y="26250900"/>
          <a:ext cx="0" cy="76200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85725</xdr:colOff>
      <xdr:row>145</xdr:row>
      <xdr:rowOff>76200</xdr:rowOff>
    </xdr:from>
    <xdr:to>
      <xdr:col>7</xdr:col>
      <xdr:colOff>390525</xdr:colOff>
      <xdr:row>146</xdr:row>
      <xdr:rowOff>65785</xdr:rowOff>
    </xdr:to>
    <xdr:sp macro="" textlink="">
      <xdr:nvSpPr>
        <xdr:cNvPr id="122" name="Text Box 9086"/>
        <xdr:cNvSpPr txBox="1">
          <a:spLocks noChangeArrowheads="1"/>
        </xdr:cNvSpPr>
      </xdr:nvSpPr>
      <xdr:spPr bwMode="auto">
        <a:xfrm>
          <a:off x="3686175" y="26079450"/>
          <a:ext cx="304800" cy="180085"/>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050" b="0" i="0" u="none" strike="noStrike" baseline="0">
              <a:solidFill>
                <a:srgbClr val="000000"/>
              </a:solidFill>
              <a:latin typeface="Garamond" pitchFamily="18" charset="0"/>
              <a:cs typeface="Arial"/>
            </a:rPr>
            <a:t>C/L</a:t>
          </a:r>
        </a:p>
      </xdr:txBody>
    </xdr:sp>
    <xdr:clientData/>
  </xdr:twoCellAnchor>
  <xdr:twoCellAnchor>
    <xdr:from>
      <xdr:col>1</xdr:col>
      <xdr:colOff>500484</xdr:colOff>
      <xdr:row>97</xdr:row>
      <xdr:rowOff>28574</xdr:rowOff>
    </xdr:from>
    <xdr:to>
      <xdr:col>1</xdr:col>
      <xdr:colOff>500484</xdr:colOff>
      <xdr:row>98</xdr:row>
      <xdr:rowOff>188091</xdr:rowOff>
    </xdr:to>
    <xdr:sp macro="" textlink="">
      <xdr:nvSpPr>
        <xdr:cNvPr id="123" name="Line 9072"/>
        <xdr:cNvSpPr>
          <a:spLocks noChangeShapeType="1"/>
        </xdr:cNvSpPr>
      </xdr:nvSpPr>
      <xdr:spPr bwMode="auto">
        <a:xfrm flipV="1">
          <a:off x="1014834" y="16887824"/>
          <a:ext cx="0" cy="350017"/>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2</xdr:col>
      <xdr:colOff>431036</xdr:colOff>
      <xdr:row>97</xdr:row>
      <xdr:rowOff>19050</xdr:rowOff>
    </xdr:from>
    <xdr:to>
      <xdr:col>2</xdr:col>
      <xdr:colOff>431036</xdr:colOff>
      <xdr:row>98</xdr:row>
      <xdr:rowOff>188091</xdr:rowOff>
    </xdr:to>
    <xdr:sp macro="" textlink="">
      <xdr:nvSpPr>
        <xdr:cNvPr id="124" name="Line 9073"/>
        <xdr:cNvSpPr>
          <a:spLocks noChangeShapeType="1"/>
        </xdr:cNvSpPr>
      </xdr:nvSpPr>
      <xdr:spPr bwMode="auto">
        <a:xfrm flipV="1">
          <a:off x="1459736" y="16878300"/>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97</xdr:row>
      <xdr:rowOff>114299</xdr:rowOff>
    </xdr:from>
    <xdr:to>
      <xdr:col>1</xdr:col>
      <xdr:colOff>45696</xdr:colOff>
      <xdr:row>101</xdr:row>
      <xdr:rowOff>104774</xdr:rowOff>
    </xdr:to>
    <xdr:sp macro="" textlink="">
      <xdr:nvSpPr>
        <xdr:cNvPr id="125" name="Line 9076"/>
        <xdr:cNvSpPr>
          <a:spLocks noChangeShapeType="1"/>
        </xdr:cNvSpPr>
      </xdr:nvSpPr>
      <xdr:spPr bwMode="auto">
        <a:xfrm flipV="1">
          <a:off x="560046" y="16973549"/>
          <a:ext cx="0" cy="752475"/>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352425</xdr:colOff>
      <xdr:row>98</xdr:row>
      <xdr:rowOff>143712</xdr:rowOff>
    </xdr:from>
    <xdr:to>
      <xdr:col>0</xdr:col>
      <xdr:colOff>352425</xdr:colOff>
      <xdr:row>101</xdr:row>
      <xdr:rowOff>82585</xdr:rowOff>
    </xdr:to>
    <xdr:sp macro="" textlink="">
      <xdr:nvSpPr>
        <xdr:cNvPr id="126" name="Line 9077"/>
        <xdr:cNvSpPr>
          <a:spLocks noChangeShapeType="1"/>
        </xdr:cNvSpPr>
      </xdr:nvSpPr>
      <xdr:spPr bwMode="auto">
        <a:xfrm>
          <a:off x="352425" y="17193462"/>
          <a:ext cx="0" cy="510373"/>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98</xdr:row>
      <xdr:rowOff>9002</xdr:rowOff>
    </xdr:from>
    <xdr:to>
      <xdr:col>1</xdr:col>
      <xdr:colOff>490598</xdr:colOff>
      <xdr:row>98</xdr:row>
      <xdr:rowOff>9002</xdr:rowOff>
    </xdr:to>
    <xdr:sp macro="" textlink="">
      <xdr:nvSpPr>
        <xdr:cNvPr id="127" name="Line 9078"/>
        <xdr:cNvSpPr>
          <a:spLocks noChangeShapeType="1"/>
        </xdr:cNvSpPr>
      </xdr:nvSpPr>
      <xdr:spPr bwMode="auto">
        <a:xfrm>
          <a:off x="560046" y="17058752"/>
          <a:ext cx="44490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510009</xdr:colOff>
      <xdr:row>98</xdr:row>
      <xdr:rowOff>9002</xdr:rowOff>
    </xdr:from>
    <xdr:to>
      <xdr:col>2</xdr:col>
      <xdr:colOff>430674</xdr:colOff>
      <xdr:row>98</xdr:row>
      <xdr:rowOff>9002</xdr:rowOff>
    </xdr:to>
    <xdr:sp macro="" textlink="">
      <xdr:nvSpPr>
        <xdr:cNvPr id="128" name="Line 9079"/>
        <xdr:cNvSpPr>
          <a:spLocks noChangeShapeType="1"/>
        </xdr:cNvSpPr>
      </xdr:nvSpPr>
      <xdr:spPr bwMode="auto">
        <a:xfrm>
          <a:off x="1024359" y="17058752"/>
          <a:ext cx="43501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0</xdr:col>
      <xdr:colOff>352425</xdr:colOff>
      <xdr:row>101</xdr:row>
      <xdr:rowOff>9525</xdr:rowOff>
    </xdr:from>
    <xdr:to>
      <xdr:col>1</xdr:col>
      <xdr:colOff>47625</xdr:colOff>
      <xdr:row>101</xdr:row>
      <xdr:rowOff>9525</xdr:rowOff>
    </xdr:to>
    <xdr:sp macro="" textlink="">
      <xdr:nvSpPr>
        <xdr:cNvPr id="129" name="Line 9083"/>
        <xdr:cNvSpPr>
          <a:spLocks noChangeShapeType="1"/>
        </xdr:cNvSpPr>
      </xdr:nvSpPr>
      <xdr:spPr bwMode="auto">
        <a:xfrm>
          <a:off x="352425" y="17630775"/>
          <a:ext cx="2095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57150</xdr:colOff>
      <xdr:row>101</xdr:row>
      <xdr:rowOff>9525</xdr:rowOff>
    </xdr:from>
    <xdr:to>
      <xdr:col>7</xdr:col>
      <xdr:colOff>342900</xdr:colOff>
      <xdr:row>101</xdr:row>
      <xdr:rowOff>9525</xdr:rowOff>
    </xdr:to>
    <xdr:sp macro="" textlink="">
      <xdr:nvSpPr>
        <xdr:cNvPr id="130" name="Line 9084"/>
        <xdr:cNvSpPr>
          <a:spLocks noChangeShapeType="1"/>
        </xdr:cNvSpPr>
      </xdr:nvSpPr>
      <xdr:spPr bwMode="auto">
        <a:xfrm>
          <a:off x="571500" y="17630775"/>
          <a:ext cx="33718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7</xdr:col>
      <xdr:colOff>352425</xdr:colOff>
      <xdr:row>97</xdr:row>
      <xdr:rowOff>66675</xdr:rowOff>
    </xdr:from>
    <xdr:to>
      <xdr:col>7</xdr:col>
      <xdr:colOff>352425</xdr:colOff>
      <xdr:row>101</xdr:row>
      <xdr:rowOff>66675</xdr:rowOff>
    </xdr:to>
    <xdr:sp macro="" textlink="">
      <xdr:nvSpPr>
        <xdr:cNvPr id="131" name="Line 9085"/>
        <xdr:cNvSpPr>
          <a:spLocks noChangeShapeType="1"/>
        </xdr:cNvSpPr>
      </xdr:nvSpPr>
      <xdr:spPr bwMode="auto">
        <a:xfrm>
          <a:off x="3952875" y="16925925"/>
          <a:ext cx="0" cy="76200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85725</xdr:colOff>
      <xdr:row>96</xdr:row>
      <xdr:rowOff>104775</xdr:rowOff>
    </xdr:from>
    <xdr:to>
      <xdr:col>7</xdr:col>
      <xdr:colOff>390525</xdr:colOff>
      <xdr:row>97</xdr:row>
      <xdr:rowOff>75310</xdr:rowOff>
    </xdr:to>
    <xdr:sp macro="" textlink="">
      <xdr:nvSpPr>
        <xdr:cNvPr id="132" name="Text Box 9086"/>
        <xdr:cNvSpPr txBox="1">
          <a:spLocks noChangeArrowheads="1"/>
        </xdr:cNvSpPr>
      </xdr:nvSpPr>
      <xdr:spPr bwMode="auto">
        <a:xfrm>
          <a:off x="3686175" y="16754475"/>
          <a:ext cx="304800" cy="180085"/>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050" b="0" i="0" u="none" strike="noStrike" baseline="0">
              <a:solidFill>
                <a:srgbClr val="000000"/>
              </a:solidFill>
              <a:latin typeface="Garamond" pitchFamily="18" charset="0"/>
              <a:cs typeface="Arial"/>
            </a:rPr>
            <a:t>C/L</a:t>
          </a:r>
        </a:p>
      </xdr:txBody>
    </xdr:sp>
    <xdr:clientData/>
  </xdr:twoCellAnchor>
  <xdr:twoCellAnchor>
    <xdr:from>
      <xdr:col>0</xdr:col>
      <xdr:colOff>352787</xdr:colOff>
      <xdr:row>98</xdr:row>
      <xdr:rowOff>1047</xdr:rowOff>
    </xdr:from>
    <xdr:to>
      <xdr:col>8</xdr:col>
      <xdr:colOff>190362</xdr:colOff>
      <xdr:row>98</xdr:row>
      <xdr:rowOff>189663</xdr:rowOff>
    </xdr:to>
    <xdr:sp macro="" textlink="">
      <xdr:nvSpPr>
        <xdr:cNvPr id="133" name="Freeform 9071"/>
        <xdr:cNvSpPr>
          <a:spLocks/>
        </xdr:cNvSpPr>
      </xdr:nvSpPr>
      <xdr:spPr bwMode="auto">
        <a:xfrm>
          <a:off x="352787" y="17050797"/>
          <a:ext cx="3952375" cy="188616"/>
        </a:xfrm>
        <a:custGeom>
          <a:avLst/>
          <a:gdLst>
            <a:gd name="T0" fmla="*/ 0 w 213"/>
            <a:gd name="T1" fmla="*/ 23 h 16"/>
            <a:gd name="T2" fmla="*/ 0 w 213"/>
            <a:gd name="T3" fmla="*/ 0 h 16"/>
            <a:gd name="T4" fmla="*/ 157 w 213"/>
            <a:gd name="T5" fmla="*/ 0 h 16"/>
            <a:gd name="T6" fmla="*/ 220 w 213"/>
            <a:gd name="T7" fmla="*/ 23 h 16"/>
            <a:gd name="T8" fmla="*/ 3296 w 213"/>
            <a:gd name="T9" fmla="*/ 23 h 16"/>
            <a:gd name="T10" fmla="*/ 0 60000 65536"/>
            <a:gd name="T11" fmla="*/ 0 60000 65536"/>
            <a:gd name="T12" fmla="*/ 0 60000 65536"/>
            <a:gd name="T13" fmla="*/ 0 60000 65536"/>
            <a:gd name="T14" fmla="*/ 0 60000 65536"/>
            <a:gd name="T15" fmla="*/ 0 w 213"/>
            <a:gd name="T16" fmla="*/ 0 h 16"/>
            <a:gd name="T17" fmla="*/ 213 w 213"/>
            <a:gd name="T18" fmla="*/ 16 h 16"/>
            <a:gd name="connsiteX0" fmla="*/ 0 w 12691"/>
            <a:gd name="connsiteY0" fmla="*/ 10000 h 10000"/>
            <a:gd name="connsiteX1" fmla="*/ 0 w 12691"/>
            <a:gd name="connsiteY1" fmla="*/ 0 h 10000"/>
            <a:gd name="connsiteX2" fmla="*/ 469 w 12691"/>
            <a:gd name="connsiteY2" fmla="*/ 0 h 10000"/>
            <a:gd name="connsiteX3" fmla="*/ 657 w 12691"/>
            <a:gd name="connsiteY3" fmla="*/ 10000 h 10000"/>
            <a:gd name="connsiteX4" fmla="*/ 12691 w 12691"/>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91" h="10000">
              <a:moveTo>
                <a:pt x="0" y="10000"/>
              </a:moveTo>
              <a:lnTo>
                <a:pt x="0" y="0"/>
              </a:lnTo>
              <a:lnTo>
                <a:pt x="469" y="0"/>
              </a:lnTo>
              <a:cubicBezTo>
                <a:pt x="532" y="3333"/>
                <a:pt x="594" y="6667"/>
                <a:pt x="657" y="10000"/>
              </a:cubicBezTo>
              <a:lnTo>
                <a:pt x="12691" y="10000"/>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0</xdr:col>
      <xdr:colOff>352787</xdr:colOff>
      <xdr:row>106</xdr:row>
      <xdr:rowOff>1047</xdr:rowOff>
    </xdr:from>
    <xdr:to>
      <xdr:col>8</xdr:col>
      <xdr:colOff>190362</xdr:colOff>
      <xdr:row>106</xdr:row>
      <xdr:rowOff>189663</xdr:rowOff>
    </xdr:to>
    <xdr:sp macro="" textlink="">
      <xdr:nvSpPr>
        <xdr:cNvPr id="134" name="Freeform 9071"/>
        <xdr:cNvSpPr>
          <a:spLocks/>
        </xdr:cNvSpPr>
      </xdr:nvSpPr>
      <xdr:spPr bwMode="auto">
        <a:xfrm>
          <a:off x="352787" y="18574797"/>
          <a:ext cx="3952375" cy="188616"/>
        </a:xfrm>
        <a:custGeom>
          <a:avLst/>
          <a:gdLst>
            <a:gd name="T0" fmla="*/ 0 w 213"/>
            <a:gd name="T1" fmla="*/ 23 h 16"/>
            <a:gd name="T2" fmla="*/ 0 w 213"/>
            <a:gd name="T3" fmla="*/ 0 h 16"/>
            <a:gd name="T4" fmla="*/ 157 w 213"/>
            <a:gd name="T5" fmla="*/ 0 h 16"/>
            <a:gd name="T6" fmla="*/ 220 w 213"/>
            <a:gd name="T7" fmla="*/ 23 h 16"/>
            <a:gd name="T8" fmla="*/ 3296 w 213"/>
            <a:gd name="T9" fmla="*/ 23 h 16"/>
            <a:gd name="T10" fmla="*/ 0 60000 65536"/>
            <a:gd name="T11" fmla="*/ 0 60000 65536"/>
            <a:gd name="T12" fmla="*/ 0 60000 65536"/>
            <a:gd name="T13" fmla="*/ 0 60000 65536"/>
            <a:gd name="T14" fmla="*/ 0 60000 65536"/>
            <a:gd name="T15" fmla="*/ 0 w 213"/>
            <a:gd name="T16" fmla="*/ 0 h 16"/>
            <a:gd name="T17" fmla="*/ 213 w 213"/>
            <a:gd name="T18" fmla="*/ 16 h 16"/>
            <a:gd name="connsiteX0" fmla="*/ 0 w 12691"/>
            <a:gd name="connsiteY0" fmla="*/ 10000 h 10000"/>
            <a:gd name="connsiteX1" fmla="*/ 0 w 12691"/>
            <a:gd name="connsiteY1" fmla="*/ 0 h 10000"/>
            <a:gd name="connsiteX2" fmla="*/ 469 w 12691"/>
            <a:gd name="connsiteY2" fmla="*/ 0 h 10000"/>
            <a:gd name="connsiteX3" fmla="*/ 657 w 12691"/>
            <a:gd name="connsiteY3" fmla="*/ 10000 h 10000"/>
            <a:gd name="connsiteX4" fmla="*/ 12691 w 12691"/>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91" h="10000">
              <a:moveTo>
                <a:pt x="0" y="10000"/>
              </a:moveTo>
              <a:lnTo>
                <a:pt x="0" y="0"/>
              </a:lnTo>
              <a:lnTo>
                <a:pt x="469" y="0"/>
              </a:lnTo>
              <a:cubicBezTo>
                <a:pt x="532" y="3333"/>
                <a:pt x="594" y="6667"/>
                <a:pt x="657" y="10000"/>
              </a:cubicBezTo>
              <a:lnTo>
                <a:pt x="12691" y="10000"/>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1</xdr:col>
      <xdr:colOff>500484</xdr:colOff>
      <xdr:row>105</xdr:row>
      <xdr:rowOff>19049</xdr:rowOff>
    </xdr:from>
    <xdr:to>
      <xdr:col>1</xdr:col>
      <xdr:colOff>500484</xdr:colOff>
      <xdr:row>106</xdr:row>
      <xdr:rowOff>178566</xdr:rowOff>
    </xdr:to>
    <xdr:sp macro="" textlink="">
      <xdr:nvSpPr>
        <xdr:cNvPr id="135" name="Line 9072"/>
        <xdr:cNvSpPr>
          <a:spLocks noChangeShapeType="1"/>
        </xdr:cNvSpPr>
      </xdr:nvSpPr>
      <xdr:spPr bwMode="auto">
        <a:xfrm flipV="1">
          <a:off x="1014834" y="18402299"/>
          <a:ext cx="0" cy="350017"/>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2</xdr:col>
      <xdr:colOff>431036</xdr:colOff>
      <xdr:row>105</xdr:row>
      <xdr:rowOff>9525</xdr:rowOff>
    </xdr:from>
    <xdr:to>
      <xdr:col>2</xdr:col>
      <xdr:colOff>431036</xdr:colOff>
      <xdr:row>106</xdr:row>
      <xdr:rowOff>178566</xdr:rowOff>
    </xdr:to>
    <xdr:sp macro="" textlink="">
      <xdr:nvSpPr>
        <xdr:cNvPr id="136" name="Line 9073"/>
        <xdr:cNvSpPr>
          <a:spLocks noChangeShapeType="1"/>
        </xdr:cNvSpPr>
      </xdr:nvSpPr>
      <xdr:spPr bwMode="auto">
        <a:xfrm flipV="1">
          <a:off x="1459736" y="18392775"/>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105</xdr:row>
      <xdr:rowOff>104774</xdr:rowOff>
    </xdr:from>
    <xdr:to>
      <xdr:col>1</xdr:col>
      <xdr:colOff>45696</xdr:colOff>
      <xdr:row>109</xdr:row>
      <xdr:rowOff>95249</xdr:rowOff>
    </xdr:to>
    <xdr:sp macro="" textlink="">
      <xdr:nvSpPr>
        <xdr:cNvPr id="137" name="Line 9076"/>
        <xdr:cNvSpPr>
          <a:spLocks noChangeShapeType="1"/>
        </xdr:cNvSpPr>
      </xdr:nvSpPr>
      <xdr:spPr bwMode="auto">
        <a:xfrm flipV="1">
          <a:off x="560046" y="18488024"/>
          <a:ext cx="0" cy="752475"/>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352425</xdr:colOff>
      <xdr:row>106</xdr:row>
      <xdr:rowOff>134187</xdr:rowOff>
    </xdr:from>
    <xdr:to>
      <xdr:col>0</xdr:col>
      <xdr:colOff>352425</xdr:colOff>
      <xdr:row>109</xdr:row>
      <xdr:rowOff>73060</xdr:rowOff>
    </xdr:to>
    <xdr:sp macro="" textlink="">
      <xdr:nvSpPr>
        <xdr:cNvPr id="138" name="Line 9077"/>
        <xdr:cNvSpPr>
          <a:spLocks noChangeShapeType="1"/>
        </xdr:cNvSpPr>
      </xdr:nvSpPr>
      <xdr:spPr bwMode="auto">
        <a:xfrm>
          <a:off x="352425" y="18707937"/>
          <a:ext cx="0" cy="510373"/>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105</xdr:row>
      <xdr:rowOff>189977</xdr:rowOff>
    </xdr:from>
    <xdr:to>
      <xdr:col>1</xdr:col>
      <xdr:colOff>490598</xdr:colOff>
      <xdr:row>105</xdr:row>
      <xdr:rowOff>189977</xdr:rowOff>
    </xdr:to>
    <xdr:sp macro="" textlink="">
      <xdr:nvSpPr>
        <xdr:cNvPr id="139" name="Line 9078"/>
        <xdr:cNvSpPr>
          <a:spLocks noChangeShapeType="1"/>
        </xdr:cNvSpPr>
      </xdr:nvSpPr>
      <xdr:spPr bwMode="auto">
        <a:xfrm>
          <a:off x="560046" y="18573227"/>
          <a:ext cx="44490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510009</xdr:colOff>
      <xdr:row>105</xdr:row>
      <xdr:rowOff>189977</xdr:rowOff>
    </xdr:from>
    <xdr:to>
      <xdr:col>2</xdr:col>
      <xdr:colOff>430674</xdr:colOff>
      <xdr:row>105</xdr:row>
      <xdr:rowOff>189977</xdr:rowOff>
    </xdr:to>
    <xdr:sp macro="" textlink="">
      <xdr:nvSpPr>
        <xdr:cNvPr id="140" name="Line 9079"/>
        <xdr:cNvSpPr>
          <a:spLocks noChangeShapeType="1"/>
        </xdr:cNvSpPr>
      </xdr:nvSpPr>
      <xdr:spPr bwMode="auto">
        <a:xfrm>
          <a:off x="1024359" y="18573227"/>
          <a:ext cx="43501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0</xdr:col>
      <xdr:colOff>352425</xdr:colOff>
      <xdr:row>109</xdr:row>
      <xdr:rowOff>0</xdr:rowOff>
    </xdr:from>
    <xdr:to>
      <xdr:col>1</xdr:col>
      <xdr:colOff>47625</xdr:colOff>
      <xdr:row>109</xdr:row>
      <xdr:rowOff>0</xdr:rowOff>
    </xdr:to>
    <xdr:sp macro="" textlink="">
      <xdr:nvSpPr>
        <xdr:cNvPr id="141" name="Line 9083"/>
        <xdr:cNvSpPr>
          <a:spLocks noChangeShapeType="1"/>
        </xdr:cNvSpPr>
      </xdr:nvSpPr>
      <xdr:spPr bwMode="auto">
        <a:xfrm>
          <a:off x="352425" y="19145250"/>
          <a:ext cx="2095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57150</xdr:colOff>
      <xdr:row>109</xdr:row>
      <xdr:rowOff>0</xdr:rowOff>
    </xdr:from>
    <xdr:to>
      <xdr:col>7</xdr:col>
      <xdr:colOff>342900</xdr:colOff>
      <xdr:row>109</xdr:row>
      <xdr:rowOff>0</xdr:rowOff>
    </xdr:to>
    <xdr:sp macro="" textlink="">
      <xdr:nvSpPr>
        <xdr:cNvPr id="142" name="Line 9084"/>
        <xdr:cNvSpPr>
          <a:spLocks noChangeShapeType="1"/>
        </xdr:cNvSpPr>
      </xdr:nvSpPr>
      <xdr:spPr bwMode="auto">
        <a:xfrm>
          <a:off x="571500" y="19145250"/>
          <a:ext cx="33718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7</xdr:col>
      <xdr:colOff>352425</xdr:colOff>
      <xdr:row>105</xdr:row>
      <xdr:rowOff>57150</xdr:rowOff>
    </xdr:from>
    <xdr:to>
      <xdr:col>7</xdr:col>
      <xdr:colOff>352425</xdr:colOff>
      <xdr:row>109</xdr:row>
      <xdr:rowOff>57150</xdr:rowOff>
    </xdr:to>
    <xdr:sp macro="" textlink="">
      <xdr:nvSpPr>
        <xdr:cNvPr id="143" name="Line 9085"/>
        <xdr:cNvSpPr>
          <a:spLocks noChangeShapeType="1"/>
        </xdr:cNvSpPr>
      </xdr:nvSpPr>
      <xdr:spPr bwMode="auto">
        <a:xfrm>
          <a:off x="3952875" y="18440400"/>
          <a:ext cx="0" cy="76200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85725</xdr:colOff>
      <xdr:row>104</xdr:row>
      <xdr:rowOff>76200</xdr:rowOff>
    </xdr:from>
    <xdr:to>
      <xdr:col>7</xdr:col>
      <xdr:colOff>390525</xdr:colOff>
      <xdr:row>105</xdr:row>
      <xdr:rowOff>65785</xdr:rowOff>
    </xdr:to>
    <xdr:sp macro="" textlink="">
      <xdr:nvSpPr>
        <xdr:cNvPr id="144" name="Text Box 9086"/>
        <xdr:cNvSpPr txBox="1">
          <a:spLocks noChangeArrowheads="1"/>
        </xdr:cNvSpPr>
      </xdr:nvSpPr>
      <xdr:spPr bwMode="auto">
        <a:xfrm>
          <a:off x="3686175" y="18268950"/>
          <a:ext cx="304800" cy="180085"/>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050" b="0" i="0" u="none" strike="noStrike" baseline="0">
              <a:solidFill>
                <a:srgbClr val="000000"/>
              </a:solidFill>
              <a:latin typeface="Garamond" pitchFamily="18" charset="0"/>
              <a:cs typeface="Arial"/>
            </a:rPr>
            <a:t>C/L</a:t>
          </a:r>
        </a:p>
      </xdr:txBody>
    </xdr:sp>
    <xdr:clientData/>
  </xdr:twoCellAnchor>
  <xdr:twoCellAnchor>
    <xdr:from>
      <xdr:col>4</xdr:col>
      <xdr:colOff>295275</xdr:colOff>
      <xdr:row>4</xdr:row>
      <xdr:rowOff>0</xdr:rowOff>
    </xdr:from>
    <xdr:to>
      <xdr:col>8</xdr:col>
      <xdr:colOff>228600</xdr:colOff>
      <xdr:row>4</xdr:row>
      <xdr:rowOff>0</xdr:rowOff>
    </xdr:to>
    <xdr:cxnSp macro="">
      <xdr:nvCxnSpPr>
        <xdr:cNvPr id="145" name="Straight Connector 144"/>
        <xdr:cNvCxnSpPr/>
      </xdr:nvCxnSpPr>
      <xdr:spPr>
        <a:xfrm>
          <a:off x="2352675" y="762000"/>
          <a:ext cx="1990725" cy="0"/>
        </a:xfrm>
        <a:prstGeom prst="line">
          <a:avLst/>
        </a:prstGeom>
        <a:ln w="9525">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257175</xdr:colOff>
      <xdr:row>2</xdr:row>
      <xdr:rowOff>123825</xdr:rowOff>
    </xdr:from>
    <xdr:to>
      <xdr:col>4</xdr:col>
      <xdr:colOff>257175</xdr:colOff>
      <xdr:row>4</xdr:row>
      <xdr:rowOff>133350</xdr:rowOff>
    </xdr:to>
    <xdr:cxnSp macro="">
      <xdr:nvCxnSpPr>
        <xdr:cNvPr id="146" name="Straight Connector 145"/>
        <xdr:cNvCxnSpPr/>
      </xdr:nvCxnSpPr>
      <xdr:spPr>
        <a:xfrm>
          <a:off x="2314575" y="504825"/>
          <a:ext cx="0" cy="39052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xdr:row>
      <xdr:rowOff>180975</xdr:rowOff>
    </xdr:from>
    <xdr:to>
      <xdr:col>5</xdr:col>
      <xdr:colOff>0</xdr:colOff>
      <xdr:row>4</xdr:row>
      <xdr:rowOff>180975</xdr:rowOff>
    </xdr:to>
    <xdr:cxnSp macro="">
      <xdr:nvCxnSpPr>
        <xdr:cNvPr id="147" name="Straight Connector 146"/>
        <xdr:cNvCxnSpPr/>
      </xdr:nvCxnSpPr>
      <xdr:spPr>
        <a:xfrm>
          <a:off x="2571750" y="752475"/>
          <a:ext cx="0" cy="190500"/>
        </a:xfrm>
        <a:prstGeom prst="line">
          <a:avLst/>
        </a:prstGeom>
        <a:ln w="9525">
          <a:solidFill>
            <a:schemeClr val="tx2"/>
          </a:solidFill>
          <a:head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247650</xdr:colOff>
      <xdr:row>2</xdr:row>
      <xdr:rowOff>123825</xdr:rowOff>
    </xdr:from>
    <xdr:to>
      <xdr:col>8</xdr:col>
      <xdr:colOff>247650</xdr:colOff>
      <xdr:row>4</xdr:row>
      <xdr:rowOff>133350</xdr:rowOff>
    </xdr:to>
    <xdr:cxnSp macro="">
      <xdr:nvCxnSpPr>
        <xdr:cNvPr id="148" name="Straight Connector 147"/>
        <xdr:cNvCxnSpPr/>
      </xdr:nvCxnSpPr>
      <xdr:spPr>
        <a:xfrm>
          <a:off x="4362450" y="504825"/>
          <a:ext cx="0" cy="39052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257175</xdr:colOff>
      <xdr:row>3</xdr:row>
      <xdr:rowOff>0</xdr:rowOff>
    </xdr:from>
    <xdr:to>
      <xdr:col>8</xdr:col>
      <xdr:colOff>247650</xdr:colOff>
      <xdr:row>3</xdr:row>
      <xdr:rowOff>0</xdr:rowOff>
    </xdr:to>
    <xdr:cxnSp macro="">
      <xdr:nvCxnSpPr>
        <xdr:cNvPr id="149" name="Straight Connector 148"/>
        <xdr:cNvCxnSpPr/>
      </xdr:nvCxnSpPr>
      <xdr:spPr>
        <a:xfrm>
          <a:off x="2314575" y="571500"/>
          <a:ext cx="2047875"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xdr:row>
      <xdr:rowOff>0</xdr:rowOff>
    </xdr:from>
    <xdr:to>
      <xdr:col>8</xdr:col>
      <xdr:colOff>0</xdr:colOff>
      <xdr:row>5</xdr:row>
      <xdr:rowOff>0</xdr:rowOff>
    </xdr:to>
    <xdr:cxnSp macro="">
      <xdr:nvCxnSpPr>
        <xdr:cNvPr id="150" name="Straight Connector 149"/>
        <xdr:cNvCxnSpPr/>
      </xdr:nvCxnSpPr>
      <xdr:spPr>
        <a:xfrm>
          <a:off x="4114800" y="762000"/>
          <a:ext cx="0" cy="190500"/>
        </a:xfrm>
        <a:prstGeom prst="line">
          <a:avLst/>
        </a:prstGeom>
        <a:ln w="9525">
          <a:solidFill>
            <a:schemeClr val="tx2"/>
          </a:solidFill>
          <a:head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5</xdr:row>
      <xdr:rowOff>0</xdr:rowOff>
    </xdr:from>
    <xdr:to>
      <xdr:col>7</xdr:col>
      <xdr:colOff>492825</xdr:colOff>
      <xdr:row>5</xdr:row>
      <xdr:rowOff>0</xdr:rowOff>
    </xdr:to>
    <xdr:cxnSp macro="">
      <xdr:nvCxnSpPr>
        <xdr:cNvPr id="151" name="Straight Connector 150"/>
        <xdr:cNvCxnSpPr/>
      </xdr:nvCxnSpPr>
      <xdr:spPr>
        <a:xfrm>
          <a:off x="2581275" y="952500"/>
          <a:ext cx="1512000" cy="0"/>
        </a:xfrm>
        <a:prstGeom prst="line">
          <a:avLst/>
        </a:prstGeom>
        <a:ln w="9525">
          <a:solidFill>
            <a:schemeClr val="tx2"/>
          </a:solidFill>
          <a:headEnd type="stealth" w="sm" len="sm"/>
          <a:tailEnd type="stealth"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xdr:row>
      <xdr:rowOff>133350</xdr:rowOff>
    </xdr:from>
    <xdr:to>
      <xdr:col>5</xdr:col>
      <xdr:colOff>0</xdr:colOff>
      <xdr:row>5</xdr:row>
      <xdr:rowOff>85725</xdr:rowOff>
    </xdr:to>
    <xdr:cxnSp macro="">
      <xdr:nvCxnSpPr>
        <xdr:cNvPr id="152" name="Straight Connector 151"/>
        <xdr:cNvCxnSpPr/>
      </xdr:nvCxnSpPr>
      <xdr:spPr>
        <a:xfrm>
          <a:off x="2571750" y="895350"/>
          <a:ext cx="0" cy="14287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xdr:row>
      <xdr:rowOff>142875</xdr:rowOff>
    </xdr:from>
    <xdr:to>
      <xdr:col>8</xdr:col>
      <xdr:colOff>0</xdr:colOff>
      <xdr:row>5</xdr:row>
      <xdr:rowOff>95250</xdr:rowOff>
    </xdr:to>
    <xdr:cxnSp macro="">
      <xdr:nvCxnSpPr>
        <xdr:cNvPr id="153" name="Straight Connector 152"/>
        <xdr:cNvCxnSpPr/>
      </xdr:nvCxnSpPr>
      <xdr:spPr>
        <a:xfrm>
          <a:off x="4114800" y="904875"/>
          <a:ext cx="0" cy="142875"/>
        </a:xfrm>
        <a:prstGeom prst="line">
          <a:avLst/>
        </a:prstGeom>
        <a:ln w="9525">
          <a:solidFill>
            <a:schemeClr val="tx2"/>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352787</xdr:colOff>
      <xdr:row>155</xdr:row>
      <xdr:rowOff>1047</xdr:rowOff>
    </xdr:from>
    <xdr:to>
      <xdr:col>8</xdr:col>
      <xdr:colOff>190362</xdr:colOff>
      <xdr:row>155</xdr:row>
      <xdr:rowOff>189663</xdr:rowOff>
    </xdr:to>
    <xdr:sp macro="" textlink="">
      <xdr:nvSpPr>
        <xdr:cNvPr id="154" name="Freeform 9071"/>
        <xdr:cNvSpPr>
          <a:spLocks/>
        </xdr:cNvSpPr>
      </xdr:nvSpPr>
      <xdr:spPr bwMode="auto">
        <a:xfrm>
          <a:off x="352787" y="19317747"/>
          <a:ext cx="3952375" cy="188616"/>
        </a:xfrm>
        <a:custGeom>
          <a:avLst/>
          <a:gdLst>
            <a:gd name="T0" fmla="*/ 0 w 213"/>
            <a:gd name="T1" fmla="*/ 23 h 16"/>
            <a:gd name="T2" fmla="*/ 0 w 213"/>
            <a:gd name="T3" fmla="*/ 0 h 16"/>
            <a:gd name="T4" fmla="*/ 157 w 213"/>
            <a:gd name="T5" fmla="*/ 0 h 16"/>
            <a:gd name="T6" fmla="*/ 220 w 213"/>
            <a:gd name="T7" fmla="*/ 23 h 16"/>
            <a:gd name="T8" fmla="*/ 3296 w 213"/>
            <a:gd name="T9" fmla="*/ 23 h 16"/>
            <a:gd name="T10" fmla="*/ 0 60000 65536"/>
            <a:gd name="T11" fmla="*/ 0 60000 65536"/>
            <a:gd name="T12" fmla="*/ 0 60000 65536"/>
            <a:gd name="T13" fmla="*/ 0 60000 65536"/>
            <a:gd name="T14" fmla="*/ 0 60000 65536"/>
            <a:gd name="T15" fmla="*/ 0 w 213"/>
            <a:gd name="T16" fmla="*/ 0 h 16"/>
            <a:gd name="T17" fmla="*/ 213 w 213"/>
            <a:gd name="T18" fmla="*/ 16 h 16"/>
            <a:gd name="connsiteX0" fmla="*/ 0 w 12691"/>
            <a:gd name="connsiteY0" fmla="*/ 10000 h 10000"/>
            <a:gd name="connsiteX1" fmla="*/ 0 w 12691"/>
            <a:gd name="connsiteY1" fmla="*/ 0 h 10000"/>
            <a:gd name="connsiteX2" fmla="*/ 469 w 12691"/>
            <a:gd name="connsiteY2" fmla="*/ 0 h 10000"/>
            <a:gd name="connsiteX3" fmla="*/ 657 w 12691"/>
            <a:gd name="connsiteY3" fmla="*/ 10000 h 10000"/>
            <a:gd name="connsiteX4" fmla="*/ 12691 w 12691"/>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91" h="10000">
              <a:moveTo>
                <a:pt x="0" y="10000"/>
              </a:moveTo>
              <a:lnTo>
                <a:pt x="0" y="0"/>
              </a:lnTo>
              <a:lnTo>
                <a:pt x="469" y="0"/>
              </a:lnTo>
              <a:cubicBezTo>
                <a:pt x="532" y="3333"/>
                <a:pt x="594" y="6667"/>
                <a:pt x="657" y="10000"/>
              </a:cubicBezTo>
              <a:lnTo>
                <a:pt x="12691" y="10000"/>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1</xdr:col>
      <xdr:colOff>500484</xdr:colOff>
      <xdr:row>154</xdr:row>
      <xdr:rowOff>19049</xdr:rowOff>
    </xdr:from>
    <xdr:to>
      <xdr:col>1</xdr:col>
      <xdr:colOff>500484</xdr:colOff>
      <xdr:row>155</xdr:row>
      <xdr:rowOff>178566</xdr:rowOff>
    </xdr:to>
    <xdr:sp macro="" textlink="">
      <xdr:nvSpPr>
        <xdr:cNvPr id="155" name="Line 9072"/>
        <xdr:cNvSpPr>
          <a:spLocks noChangeShapeType="1"/>
        </xdr:cNvSpPr>
      </xdr:nvSpPr>
      <xdr:spPr bwMode="auto">
        <a:xfrm flipV="1">
          <a:off x="1014834" y="19145249"/>
          <a:ext cx="0" cy="350017"/>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2</xdr:col>
      <xdr:colOff>431036</xdr:colOff>
      <xdr:row>154</xdr:row>
      <xdr:rowOff>9525</xdr:rowOff>
    </xdr:from>
    <xdr:to>
      <xdr:col>2</xdr:col>
      <xdr:colOff>431036</xdr:colOff>
      <xdr:row>155</xdr:row>
      <xdr:rowOff>178566</xdr:rowOff>
    </xdr:to>
    <xdr:sp macro="" textlink="">
      <xdr:nvSpPr>
        <xdr:cNvPr id="156" name="Line 9073"/>
        <xdr:cNvSpPr>
          <a:spLocks noChangeShapeType="1"/>
        </xdr:cNvSpPr>
      </xdr:nvSpPr>
      <xdr:spPr bwMode="auto">
        <a:xfrm flipV="1">
          <a:off x="1459736" y="19135725"/>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3</xdr:col>
      <xdr:colOff>445987</xdr:colOff>
      <xdr:row>154</xdr:row>
      <xdr:rowOff>19049</xdr:rowOff>
    </xdr:from>
    <xdr:to>
      <xdr:col>3</xdr:col>
      <xdr:colOff>445987</xdr:colOff>
      <xdr:row>155</xdr:row>
      <xdr:rowOff>169042</xdr:rowOff>
    </xdr:to>
    <xdr:sp macro="" textlink="">
      <xdr:nvSpPr>
        <xdr:cNvPr id="157" name="Line 9074"/>
        <xdr:cNvSpPr>
          <a:spLocks noChangeShapeType="1"/>
        </xdr:cNvSpPr>
      </xdr:nvSpPr>
      <xdr:spPr bwMode="auto">
        <a:xfrm flipV="1">
          <a:off x="1989037" y="19145249"/>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154</xdr:row>
      <xdr:rowOff>104774</xdr:rowOff>
    </xdr:from>
    <xdr:to>
      <xdr:col>1</xdr:col>
      <xdr:colOff>45696</xdr:colOff>
      <xdr:row>158</xdr:row>
      <xdr:rowOff>95249</xdr:rowOff>
    </xdr:to>
    <xdr:sp macro="" textlink="">
      <xdr:nvSpPr>
        <xdr:cNvPr id="159" name="Line 9076"/>
        <xdr:cNvSpPr>
          <a:spLocks noChangeShapeType="1"/>
        </xdr:cNvSpPr>
      </xdr:nvSpPr>
      <xdr:spPr bwMode="auto">
        <a:xfrm flipV="1">
          <a:off x="560046" y="19230974"/>
          <a:ext cx="0" cy="752475"/>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352425</xdr:colOff>
      <xdr:row>155</xdr:row>
      <xdr:rowOff>134187</xdr:rowOff>
    </xdr:from>
    <xdr:to>
      <xdr:col>0</xdr:col>
      <xdr:colOff>352425</xdr:colOff>
      <xdr:row>158</xdr:row>
      <xdr:rowOff>73060</xdr:rowOff>
    </xdr:to>
    <xdr:sp macro="" textlink="">
      <xdr:nvSpPr>
        <xdr:cNvPr id="160" name="Line 9077"/>
        <xdr:cNvSpPr>
          <a:spLocks noChangeShapeType="1"/>
        </xdr:cNvSpPr>
      </xdr:nvSpPr>
      <xdr:spPr bwMode="auto">
        <a:xfrm>
          <a:off x="352425" y="19450887"/>
          <a:ext cx="0" cy="510373"/>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154</xdr:row>
      <xdr:rowOff>189977</xdr:rowOff>
    </xdr:from>
    <xdr:to>
      <xdr:col>1</xdr:col>
      <xdr:colOff>490598</xdr:colOff>
      <xdr:row>154</xdr:row>
      <xdr:rowOff>189977</xdr:rowOff>
    </xdr:to>
    <xdr:sp macro="" textlink="">
      <xdr:nvSpPr>
        <xdr:cNvPr id="161" name="Line 9078"/>
        <xdr:cNvSpPr>
          <a:spLocks noChangeShapeType="1"/>
        </xdr:cNvSpPr>
      </xdr:nvSpPr>
      <xdr:spPr bwMode="auto">
        <a:xfrm>
          <a:off x="560046" y="19316177"/>
          <a:ext cx="44490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510009</xdr:colOff>
      <xdr:row>154</xdr:row>
      <xdr:rowOff>189977</xdr:rowOff>
    </xdr:from>
    <xdr:to>
      <xdr:col>2</xdr:col>
      <xdr:colOff>430674</xdr:colOff>
      <xdr:row>154</xdr:row>
      <xdr:rowOff>189977</xdr:rowOff>
    </xdr:to>
    <xdr:sp macro="" textlink="">
      <xdr:nvSpPr>
        <xdr:cNvPr id="162" name="Line 9079"/>
        <xdr:cNvSpPr>
          <a:spLocks noChangeShapeType="1"/>
        </xdr:cNvSpPr>
      </xdr:nvSpPr>
      <xdr:spPr bwMode="auto">
        <a:xfrm>
          <a:off x="1024359" y="19316177"/>
          <a:ext cx="43501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2</xdr:col>
      <xdr:colOff>450811</xdr:colOff>
      <xdr:row>154</xdr:row>
      <xdr:rowOff>189977</xdr:rowOff>
    </xdr:from>
    <xdr:to>
      <xdr:col>3</xdr:col>
      <xdr:colOff>440461</xdr:colOff>
      <xdr:row>154</xdr:row>
      <xdr:rowOff>189977</xdr:rowOff>
    </xdr:to>
    <xdr:sp macro="" textlink="">
      <xdr:nvSpPr>
        <xdr:cNvPr id="163" name="Line 9080"/>
        <xdr:cNvSpPr>
          <a:spLocks noChangeShapeType="1"/>
        </xdr:cNvSpPr>
      </xdr:nvSpPr>
      <xdr:spPr bwMode="auto">
        <a:xfrm>
          <a:off x="1479511" y="19316177"/>
          <a:ext cx="504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3</xdr:col>
      <xdr:colOff>474200</xdr:colOff>
      <xdr:row>154</xdr:row>
      <xdr:rowOff>189977</xdr:rowOff>
    </xdr:from>
    <xdr:to>
      <xdr:col>4</xdr:col>
      <xdr:colOff>427850</xdr:colOff>
      <xdr:row>154</xdr:row>
      <xdr:rowOff>189977</xdr:rowOff>
    </xdr:to>
    <xdr:sp macro="" textlink="">
      <xdr:nvSpPr>
        <xdr:cNvPr id="165" name="Line 9082"/>
        <xdr:cNvSpPr>
          <a:spLocks noChangeShapeType="1"/>
        </xdr:cNvSpPr>
      </xdr:nvSpPr>
      <xdr:spPr bwMode="auto">
        <a:xfrm>
          <a:off x="2017250" y="19316177"/>
          <a:ext cx="468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0</xdr:col>
      <xdr:colOff>352425</xdr:colOff>
      <xdr:row>158</xdr:row>
      <xdr:rowOff>0</xdr:rowOff>
    </xdr:from>
    <xdr:to>
      <xdr:col>1</xdr:col>
      <xdr:colOff>47625</xdr:colOff>
      <xdr:row>158</xdr:row>
      <xdr:rowOff>0</xdr:rowOff>
    </xdr:to>
    <xdr:sp macro="" textlink="">
      <xdr:nvSpPr>
        <xdr:cNvPr id="166" name="Line 9083"/>
        <xdr:cNvSpPr>
          <a:spLocks noChangeShapeType="1"/>
        </xdr:cNvSpPr>
      </xdr:nvSpPr>
      <xdr:spPr bwMode="auto">
        <a:xfrm>
          <a:off x="352425" y="19888200"/>
          <a:ext cx="2095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57150</xdr:colOff>
      <xdr:row>158</xdr:row>
      <xdr:rowOff>0</xdr:rowOff>
    </xdr:from>
    <xdr:to>
      <xdr:col>7</xdr:col>
      <xdr:colOff>342900</xdr:colOff>
      <xdr:row>158</xdr:row>
      <xdr:rowOff>0</xdr:rowOff>
    </xdr:to>
    <xdr:sp macro="" textlink="">
      <xdr:nvSpPr>
        <xdr:cNvPr id="167" name="Line 9084"/>
        <xdr:cNvSpPr>
          <a:spLocks noChangeShapeType="1"/>
        </xdr:cNvSpPr>
      </xdr:nvSpPr>
      <xdr:spPr bwMode="auto">
        <a:xfrm>
          <a:off x="571500" y="19888200"/>
          <a:ext cx="33718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7</xdr:col>
      <xdr:colOff>352425</xdr:colOff>
      <xdr:row>154</xdr:row>
      <xdr:rowOff>57150</xdr:rowOff>
    </xdr:from>
    <xdr:to>
      <xdr:col>7</xdr:col>
      <xdr:colOff>352425</xdr:colOff>
      <xdr:row>158</xdr:row>
      <xdr:rowOff>57150</xdr:rowOff>
    </xdr:to>
    <xdr:sp macro="" textlink="">
      <xdr:nvSpPr>
        <xdr:cNvPr id="168" name="Line 9085"/>
        <xdr:cNvSpPr>
          <a:spLocks noChangeShapeType="1"/>
        </xdr:cNvSpPr>
      </xdr:nvSpPr>
      <xdr:spPr bwMode="auto">
        <a:xfrm>
          <a:off x="3952875" y="19183350"/>
          <a:ext cx="0" cy="76200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85725</xdr:colOff>
      <xdr:row>153</xdr:row>
      <xdr:rowOff>76200</xdr:rowOff>
    </xdr:from>
    <xdr:to>
      <xdr:col>7</xdr:col>
      <xdr:colOff>390525</xdr:colOff>
      <xdr:row>154</xdr:row>
      <xdr:rowOff>65785</xdr:rowOff>
    </xdr:to>
    <xdr:sp macro="" textlink="">
      <xdr:nvSpPr>
        <xdr:cNvPr id="169" name="Text Box 9086"/>
        <xdr:cNvSpPr txBox="1">
          <a:spLocks noChangeArrowheads="1"/>
        </xdr:cNvSpPr>
      </xdr:nvSpPr>
      <xdr:spPr bwMode="auto">
        <a:xfrm>
          <a:off x="3686175" y="19011900"/>
          <a:ext cx="304800" cy="180085"/>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050" b="0" i="0" u="none" strike="noStrike" baseline="0">
              <a:solidFill>
                <a:srgbClr val="000000"/>
              </a:solidFill>
              <a:latin typeface="Garamond" pitchFamily="18" charset="0"/>
              <a:cs typeface="Arial"/>
            </a:rPr>
            <a:t>C/L</a:t>
          </a:r>
        </a:p>
      </xdr:txBody>
    </xdr:sp>
    <xdr:clientData/>
  </xdr:twoCellAnchor>
  <xdr:twoCellAnchor>
    <xdr:from>
      <xdr:col>4</xdr:col>
      <xdr:colOff>431036</xdr:colOff>
      <xdr:row>154</xdr:row>
      <xdr:rowOff>9525</xdr:rowOff>
    </xdr:from>
    <xdr:to>
      <xdr:col>4</xdr:col>
      <xdr:colOff>431036</xdr:colOff>
      <xdr:row>155</xdr:row>
      <xdr:rowOff>178566</xdr:rowOff>
    </xdr:to>
    <xdr:sp macro="" textlink="">
      <xdr:nvSpPr>
        <xdr:cNvPr id="170" name="Line 9073"/>
        <xdr:cNvSpPr>
          <a:spLocks noChangeShapeType="1"/>
        </xdr:cNvSpPr>
      </xdr:nvSpPr>
      <xdr:spPr bwMode="auto">
        <a:xfrm flipV="1">
          <a:off x="1459736" y="31537275"/>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4</xdr:col>
      <xdr:colOff>431036</xdr:colOff>
      <xdr:row>154</xdr:row>
      <xdr:rowOff>9525</xdr:rowOff>
    </xdr:from>
    <xdr:to>
      <xdr:col>4</xdr:col>
      <xdr:colOff>431036</xdr:colOff>
      <xdr:row>155</xdr:row>
      <xdr:rowOff>178566</xdr:rowOff>
    </xdr:to>
    <xdr:sp macro="" textlink="">
      <xdr:nvSpPr>
        <xdr:cNvPr id="173" name="Line 9073"/>
        <xdr:cNvSpPr>
          <a:spLocks noChangeShapeType="1"/>
        </xdr:cNvSpPr>
      </xdr:nvSpPr>
      <xdr:spPr bwMode="auto">
        <a:xfrm flipV="1">
          <a:off x="1459736" y="31537275"/>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0</xdr:col>
      <xdr:colOff>352787</xdr:colOff>
      <xdr:row>163</xdr:row>
      <xdr:rowOff>1047</xdr:rowOff>
    </xdr:from>
    <xdr:to>
      <xdr:col>8</xdr:col>
      <xdr:colOff>190362</xdr:colOff>
      <xdr:row>163</xdr:row>
      <xdr:rowOff>189663</xdr:rowOff>
    </xdr:to>
    <xdr:sp macro="" textlink="">
      <xdr:nvSpPr>
        <xdr:cNvPr id="176" name="Freeform 9071"/>
        <xdr:cNvSpPr>
          <a:spLocks/>
        </xdr:cNvSpPr>
      </xdr:nvSpPr>
      <xdr:spPr bwMode="auto">
        <a:xfrm>
          <a:off x="352787" y="25623297"/>
          <a:ext cx="3952375" cy="188616"/>
        </a:xfrm>
        <a:custGeom>
          <a:avLst/>
          <a:gdLst>
            <a:gd name="T0" fmla="*/ 0 w 213"/>
            <a:gd name="T1" fmla="*/ 23 h 16"/>
            <a:gd name="T2" fmla="*/ 0 w 213"/>
            <a:gd name="T3" fmla="*/ 0 h 16"/>
            <a:gd name="T4" fmla="*/ 157 w 213"/>
            <a:gd name="T5" fmla="*/ 0 h 16"/>
            <a:gd name="T6" fmla="*/ 220 w 213"/>
            <a:gd name="T7" fmla="*/ 23 h 16"/>
            <a:gd name="T8" fmla="*/ 3296 w 213"/>
            <a:gd name="T9" fmla="*/ 23 h 16"/>
            <a:gd name="T10" fmla="*/ 0 60000 65536"/>
            <a:gd name="T11" fmla="*/ 0 60000 65536"/>
            <a:gd name="T12" fmla="*/ 0 60000 65536"/>
            <a:gd name="T13" fmla="*/ 0 60000 65536"/>
            <a:gd name="T14" fmla="*/ 0 60000 65536"/>
            <a:gd name="T15" fmla="*/ 0 w 213"/>
            <a:gd name="T16" fmla="*/ 0 h 16"/>
            <a:gd name="T17" fmla="*/ 213 w 213"/>
            <a:gd name="T18" fmla="*/ 16 h 16"/>
            <a:gd name="connsiteX0" fmla="*/ 0 w 12691"/>
            <a:gd name="connsiteY0" fmla="*/ 10000 h 10000"/>
            <a:gd name="connsiteX1" fmla="*/ 0 w 12691"/>
            <a:gd name="connsiteY1" fmla="*/ 0 h 10000"/>
            <a:gd name="connsiteX2" fmla="*/ 469 w 12691"/>
            <a:gd name="connsiteY2" fmla="*/ 0 h 10000"/>
            <a:gd name="connsiteX3" fmla="*/ 657 w 12691"/>
            <a:gd name="connsiteY3" fmla="*/ 10000 h 10000"/>
            <a:gd name="connsiteX4" fmla="*/ 12691 w 12691"/>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91" h="10000">
              <a:moveTo>
                <a:pt x="0" y="10000"/>
              </a:moveTo>
              <a:lnTo>
                <a:pt x="0" y="0"/>
              </a:lnTo>
              <a:lnTo>
                <a:pt x="469" y="0"/>
              </a:lnTo>
              <a:cubicBezTo>
                <a:pt x="532" y="3333"/>
                <a:pt x="594" y="6667"/>
                <a:pt x="657" y="10000"/>
              </a:cubicBezTo>
              <a:lnTo>
                <a:pt x="12691" y="10000"/>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1</xdr:col>
      <xdr:colOff>500484</xdr:colOff>
      <xdr:row>162</xdr:row>
      <xdr:rowOff>19049</xdr:rowOff>
    </xdr:from>
    <xdr:to>
      <xdr:col>1</xdr:col>
      <xdr:colOff>500484</xdr:colOff>
      <xdr:row>163</xdr:row>
      <xdr:rowOff>178566</xdr:rowOff>
    </xdr:to>
    <xdr:sp macro="" textlink="">
      <xdr:nvSpPr>
        <xdr:cNvPr id="177" name="Line 9072"/>
        <xdr:cNvSpPr>
          <a:spLocks noChangeShapeType="1"/>
        </xdr:cNvSpPr>
      </xdr:nvSpPr>
      <xdr:spPr bwMode="auto">
        <a:xfrm flipV="1">
          <a:off x="1014834" y="25450799"/>
          <a:ext cx="0" cy="350017"/>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2</xdr:col>
      <xdr:colOff>431036</xdr:colOff>
      <xdr:row>162</xdr:row>
      <xdr:rowOff>9525</xdr:rowOff>
    </xdr:from>
    <xdr:to>
      <xdr:col>2</xdr:col>
      <xdr:colOff>431036</xdr:colOff>
      <xdr:row>163</xdr:row>
      <xdr:rowOff>178566</xdr:rowOff>
    </xdr:to>
    <xdr:sp macro="" textlink="">
      <xdr:nvSpPr>
        <xdr:cNvPr id="178" name="Line 9073"/>
        <xdr:cNvSpPr>
          <a:spLocks noChangeShapeType="1"/>
        </xdr:cNvSpPr>
      </xdr:nvSpPr>
      <xdr:spPr bwMode="auto">
        <a:xfrm flipV="1">
          <a:off x="1459736" y="25441275"/>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3</xdr:col>
      <xdr:colOff>445987</xdr:colOff>
      <xdr:row>162</xdr:row>
      <xdr:rowOff>19049</xdr:rowOff>
    </xdr:from>
    <xdr:to>
      <xdr:col>3</xdr:col>
      <xdr:colOff>445987</xdr:colOff>
      <xdr:row>163</xdr:row>
      <xdr:rowOff>169042</xdr:rowOff>
    </xdr:to>
    <xdr:sp macro="" textlink="">
      <xdr:nvSpPr>
        <xdr:cNvPr id="179" name="Line 9074"/>
        <xdr:cNvSpPr>
          <a:spLocks noChangeShapeType="1"/>
        </xdr:cNvSpPr>
      </xdr:nvSpPr>
      <xdr:spPr bwMode="auto">
        <a:xfrm flipV="1">
          <a:off x="1989037" y="25450799"/>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4</xdr:col>
      <xdr:colOff>455633</xdr:colOff>
      <xdr:row>162</xdr:row>
      <xdr:rowOff>19049</xdr:rowOff>
    </xdr:from>
    <xdr:to>
      <xdr:col>4</xdr:col>
      <xdr:colOff>455633</xdr:colOff>
      <xdr:row>163</xdr:row>
      <xdr:rowOff>178567</xdr:rowOff>
    </xdr:to>
    <xdr:sp macro="" textlink="">
      <xdr:nvSpPr>
        <xdr:cNvPr id="180" name="Line 9075"/>
        <xdr:cNvSpPr>
          <a:spLocks noChangeShapeType="1"/>
        </xdr:cNvSpPr>
      </xdr:nvSpPr>
      <xdr:spPr bwMode="auto">
        <a:xfrm flipV="1">
          <a:off x="2513033" y="25450799"/>
          <a:ext cx="0" cy="350018"/>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162</xdr:row>
      <xdr:rowOff>104774</xdr:rowOff>
    </xdr:from>
    <xdr:to>
      <xdr:col>1</xdr:col>
      <xdr:colOff>45696</xdr:colOff>
      <xdr:row>166</xdr:row>
      <xdr:rowOff>95249</xdr:rowOff>
    </xdr:to>
    <xdr:sp macro="" textlink="">
      <xdr:nvSpPr>
        <xdr:cNvPr id="181" name="Line 9076"/>
        <xdr:cNvSpPr>
          <a:spLocks noChangeShapeType="1"/>
        </xdr:cNvSpPr>
      </xdr:nvSpPr>
      <xdr:spPr bwMode="auto">
        <a:xfrm flipV="1">
          <a:off x="560046" y="25536524"/>
          <a:ext cx="0" cy="752475"/>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352425</xdr:colOff>
      <xdr:row>163</xdr:row>
      <xdr:rowOff>134187</xdr:rowOff>
    </xdr:from>
    <xdr:to>
      <xdr:col>0</xdr:col>
      <xdr:colOff>352425</xdr:colOff>
      <xdr:row>166</xdr:row>
      <xdr:rowOff>73060</xdr:rowOff>
    </xdr:to>
    <xdr:sp macro="" textlink="">
      <xdr:nvSpPr>
        <xdr:cNvPr id="182" name="Line 9077"/>
        <xdr:cNvSpPr>
          <a:spLocks noChangeShapeType="1"/>
        </xdr:cNvSpPr>
      </xdr:nvSpPr>
      <xdr:spPr bwMode="auto">
        <a:xfrm>
          <a:off x="352425" y="25756437"/>
          <a:ext cx="0" cy="510373"/>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162</xdr:row>
      <xdr:rowOff>189977</xdr:rowOff>
    </xdr:from>
    <xdr:to>
      <xdr:col>1</xdr:col>
      <xdr:colOff>490598</xdr:colOff>
      <xdr:row>162</xdr:row>
      <xdr:rowOff>189977</xdr:rowOff>
    </xdr:to>
    <xdr:sp macro="" textlink="">
      <xdr:nvSpPr>
        <xdr:cNvPr id="183" name="Line 9078"/>
        <xdr:cNvSpPr>
          <a:spLocks noChangeShapeType="1"/>
        </xdr:cNvSpPr>
      </xdr:nvSpPr>
      <xdr:spPr bwMode="auto">
        <a:xfrm>
          <a:off x="560046" y="25621727"/>
          <a:ext cx="44490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510009</xdr:colOff>
      <xdr:row>162</xdr:row>
      <xdr:rowOff>189977</xdr:rowOff>
    </xdr:from>
    <xdr:to>
      <xdr:col>2</xdr:col>
      <xdr:colOff>430674</xdr:colOff>
      <xdr:row>162</xdr:row>
      <xdr:rowOff>189977</xdr:rowOff>
    </xdr:to>
    <xdr:sp macro="" textlink="">
      <xdr:nvSpPr>
        <xdr:cNvPr id="184" name="Line 9079"/>
        <xdr:cNvSpPr>
          <a:spLocks noChangeShapeType="1"/>
        </xdr:cNvSpPr>
      </xdr:nvSpPr>
      <xdr:spPr bwMode="auto">
        <a:xfrm>
          <a:off x="1024359" y="25621727"/>
          <a:ext cx="43501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2</xdr:col>
      <xdr:colOff>450811</xdr:colOff>
      <xdr:row>162</xdr:row>
      <xdr:rowOff>189977</xdr:rowOff>
    </xdr:from>
    <xdr:to>
      <xdr:col>3</xdr:col>
      <xdr:colOff>440461</xdr:colOff>
      <xdr:row>162</xdr:row>
      <xdr:rowOff>189977</xdr:rowOff>
    </xdr:to>
    <xdr:sp macro="" textlink="">
      <xdr:nvSpPr>
        <xdr:cNvPr id="185" name="Line 9080"/>
        <xdr:cNvSpPr>
          <a:spLocks noChangeShapeType="1"/>
        </xdr:cNvSpPr>
      </xdr:nvSpPr>
      <xdr:spPr bwMode="auto">
        <a:xfrm>
          <a:off x="1479511" y="25621727"/>
          <a:ext cx="504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3</xdr:col>
      <xdr:colOff>474200</xdr:colOff>
      <xdr:row>162</xdr:row>
      <xdr:rowOff>189977</xdr:rowOff>
    </xdr:from>
    <xdr:to>
      <xdr:col>4</xdr:col>
      <xdr:colOff>427850</xdr:colOff>
      <xdr:row>162</xdr:row>
      <xdr:rowOff>189977</xdr:rowOff>
    </xdr:to>
    <xdr:sp macro="" textlink="">
      <xdr:nvSpPr>
        <xdr:cNvPr id="187" name="Line 9082"/>
        <xdr:cNvSpPr>
          <a:spLocks noChangeShapeType="1"/>
        </xdr:cNvSpPr>
      </xdr:nvSpPr>
      <xdr:spPr bwMode="auto">
        <a:xfrm>
          <a:off x="2017250" y="25621727"/>
          <a:ext cx="468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0</xdr:col>
      <xdr:colOff>352425</xdr:colOff>
      <xdr:row>166</xdr:row>
      <xdr:rowOff>0</xdr:rowOff>
    </xdr:from>
    <xdr:to>
      <xdr:col>1</xdr:col>
      <xdr:colOff>47625</xdr:colOff>
      <xdr:row>166</xdr:row>
      <xdr:rowOff>0</xdr:rowOff>
    </xdr:to>
    <xdr:sp macro="" textlink="">
      <xdr:nvSpPr>
        <xdr:cNvPr id="188" name="Line 9083"/>
        <xdr:cNvSpPr>
          <a:spLocks noChangeShapeType="1"/>
        </xdr:cNvSpPr>
      </xdr:nvSpPr>
      <xdr:spPr bwMode="auto">
        <a:xfrm>
          <a:off x="352425" y="26193750"/>
          <a:ext cx="2095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57150</xdr:colOff>
      <xdr:row>166</xdr:row>
      <xdr:rowOff>0</xdr:rowOff>
    </xdr:from>
    <xdr:to>
      <xdr:col>7</xdr:col>
      <xdr:colOff>342900</xdr:colOff>
      <xdr:row>166</xdr:row>
      <xdr:rowOff>0</xdr:rowOff>
    </xdr:to>
    <xdr:sp macro="" textlink="">
      <xdr:nvSpPr>
        <xdr:cNvPr id="189" name="Line 9084"/>
        <xdr:cNvSpPr>
          <a:spLocks noChangeShapeType="1"/>
        </xdr:cNvSpPr>
      </xdr:nvSpPr>
      <xdr:spPr bwMode="auto">
        <a:xfrm>
          <a:off x="571500" y="26193750"/>
          <a:ext cx="33718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7</xdr:col>
      <xdr:colOff>352425</xdr:colOff>
      <xdr:row>162</xdr:row>
      <xdr:rowOff>57150</xdr:rowOff>
    </xdr:from>
    <xdr:to>
      <xdr:col>7</xdr:col>
      <xdr:colOff>352425</xdr:colOff>
      <xdr:row>166</xdr:row>
      <xdr:rowOff>57150</xdr:rowOff>
    </xdr:to>
    <xdr:sp macro="" textlink="">
      <xdr:nvSpPr>
        <xdr:cNvPr id="190" name="Line 9085"/>
        <xdr:cNvSpPr>
          <a:spLocks noChangeShapeType="1"/>
        </xdr:cNvSpPr>
      </xdr:nvSpPr>
      <xdr:spPr bwMode="auto">
        <a:xfrm>
          <a:off x="3952875" y="25488900"/>
          <a:ext cx="0" cy="76200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85725</xdr:colOff>
      <xdr:row>161</xdr:row>
      <xdr:rowOff>76200</xdr:rowOff>
    </xdr:from>
    <xdr:to>
      <xdr:col>7</xdr:col>
      <xdr:colOff>390525</xdr:colOff>
      <xdr:row>162</xdr:row>
      <xdr:rowOff>65785</xdr:rowOff>
    </xdr:to>
    <xdr:sp macro="" textlink="">
      <xdr:nvSpPr>
        <xdr:cNvPr id="191" name="Text Box 9086"/>
        <xdr:cNvSpPr txBox="1">
          <a:spLocks noChangeArrowheads="1"/>
        </xdr:cNvSpPr>
      </xdr:nvSpPr>
      <xdr:spPr bwMode="auto">
        <a:xfrm>
          <a:off x="3686175" y="25317450"/>
          <a:ext cx="304800" cy="180085"/>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050" b="0" i="0" u="none" strike="noStrike" baseline="0">
              <a:solidFill>
                <a:srgbClr val="000000"/>
              </a:solidFill>
              <a:latin typeface="Garamond" pitchFamily="18" charset="0"/>
              <a:cs typeface="Arial"/>
            </a:rPr>
            <a:t>C/L</a:t>
          </a:r>
        </a:p>
      </xdr:txBody>
    </xdr:sp>
    <xdr:clientData/>
  </xdr:twoCellAnchor>
  <xdr:twoCellAnchor>
    <xdr:from>
      <xdr:col>1</xdr:col>
      <xdr:colOff>474200</xdr:colOff>
      <xdr:row>162</xdr:row>
      <xdr:rowOff>189977</xdr:rowOff>
    </xdr:from>
    <xdr:to>
      <xdr:col>2</xdr:col>
      <xdr:colOff>427850</xdr:colOff>
      <xdr:row>162</xdr:row>
      <xdr:rowOff>189977</xdr:rowOff>
    </xdr:to>
    <xdr:sp macro="" textlink="">
      <xdr:nvSpPr>
        <xdr:cNvPr id="193" name="Line 9082"/>
        <xdr:cNvSpPr>
          <a:spLocks noChangeShapeType="1"/>
        </xdr:cNvSpPr>
      </xdr:nvSpPr>
      <xdr:spPr bwMode="auto">
        <a:xfrm>
          <a:off x="2017250" y="33241727"/>
          <a:ext cx="468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0</xdr:col>
      <xdr:colOff>352787</xdr:colOff>
      <xdr:row>171</xdr:row>
      <xdr:rowOff>1047</xdr:rowOff>
    </xdr:from>
    <xdr:to>
      <xdr:col>8</xdr:col>
      <xdr:colOff>190362</xdr:colOff>
      <xdr:row>171</xdr:row>
      <xdr:rowOff>189663</xdr:rowOff>
    </xdr:to>
    <xdr:sp macro="" textlink="">
      <xdr:nvSpPr>
        <xdr:cNvPr id="194" name="Freeform 9071"/>
        <xdr:cNvSpPr>
          <a:spLocks/>
        </xdr:cNvSpPr>
      </xdr:nvSpPr>
      <xdr:spPr bwMode="auto">
        <a:xfrm>
          <a:off x="352787" y="33243297"/>
          <a:ext cx="3952375" cy="188616"/>
        </a:xfrm>
        <a:custGeom>
          <a:avLst/>
          <a:gdLst>
            <a:gd name="T0" fmla="*/ 0 w 213"/>
            <a:gd name="T1" fmla="*/ 23 h 16"/>
            <a:gd name="T2" fmla="*/ 0 w 213"/>
            <a:gd name="T3" fmla="*/ 0 h 16"/>
            <a:gd name="T4" fmla="*/ 157 w 213"/>
            <a:gd name="T5" fmla="*/ 0 h 16"/>
            <a:gd name="T6" fmla="*/ 220 w 213"/>
            <a:gd name="T7" fmla="*/ 23 h 16"/>
            <a:gd name="T8" fmla="*/ 3296 w 213"/>
            <a:gd name="T9" fmla="*/ 23 h 16"/>
            <a:gd name="T10" fmla="*/ 0 60000 65536"/>
            <a:gd name="T11" fmla="*/ 0 60000 65536"/>
            <a:gd name="T12" fmla="*/ 0 60000 65536"/>
            <a:gd name="T13" fmla="*/ 0 60000 65536"/>
            <a:gd name="T14" fmla="*/ 0 60000 65536"/>
            <a:gd name="T15" fmla="*/ 0 w 213"/>
            <a:gd name="T16" fmla="*/ 0 h 16"/>
            <a:gd name="T17" fmla="*/ 213 w 213"/>
            <a:gd name="T18" fmla="*/ 16 h 16"/>
            <a:gd name="connsiteX0" fmla="*/ 0 w 12691"/>
            <a:gd name="connsiteY0" fmla="*/ 10000 h 10000"/>
            <a:gd name="connsiteX1" fmla="*/ 0 w 12691"/>
            <a:gd name="connsiteY1" fmla="*/ 0 h 10000"/>
            <a:gd name="connsiteX2" fmla="*/ 469 w 12691"/>
            <a:gd name="connsiteY2" fmla="*/ 0 h 10000"/>
            <a:gd name="connsiteX3" fmla="*/ 657 w 12691"/>
            <a:gd name="connsiteY3" fmla="*/ 10000 h 10000"/>
            <a:gd name="connsiteX4" fmla="*/ 12691 w 12691"/>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91" h="10000">
              <a:moveTo>
                <a:pt x="0" y="10000"/>
              </a:moveTo>
              <a:lnTo>
                <a:pt x="0" y="0"/>
              </a:lnTo>
              <a:lnTo>
                <a:pt x="469" y="0"/>
              </a:lnTo>
              <a:cubicBezTo>
                <a:pt x="532" y="3333"/>
                <a:pt x="594" y="6667"/>
                <a:pt x="657" y="10000"/>
              </a:cubicBezTo>
              <a:lnTo>
                <a:pt x="12691" y="10000"/>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1</xdr:col>
      <xdr:colOff>500484</xdr:colOff>
      <xdr:row>170</xdr:row>
      <xdr:rowOff>19049</xdr:rowOff>
    </xdr:from>
    <xdr:to>
      <xdr:col>1</xdr:col>
      <xdr:colOff>500484</xdr:colOff>
      <xdr:row>171</xdr:row>
      <xdr:rowOff>178566</xdr:rowOff>
    </xdr:to>
    <xdr:sp macro="" textlink="">
      <xdr:nvSpPr>
        <xdr:cNvPr id="195" name="Line 9072"/>
        <xdr:cNvSpPr>
          <a:spLocks noChangeShapeType="1"/>
        </xdr:cNvSpPr>
      </xdr:nvSpPr>
      <xdr:spPr bwMode="auto">
        <a:xfrm flipV="1">
          <a:off x="1014834" y="33070799"/>
          <a:ext cx="0" cy="350017"/>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2</xdr:col>
      <xdr:colOff>431036</xdr:colOff>
      <xdr:row>170</xdr:row>
      <xdr:rowOff>9525</xdr:rowOff>
    </xdr:from>
    <xdr:to>
      <xdr:col>2</xdr:col>
      <xdr:colOff>431036</xdr:colOff>
      <xdr:row>171</xdr:row>
      <xdr:rowOff>178566</xdr:rowOff>
    </xdr:to>
    <xdr:sp macro="" textlink="">
      <xdr:nvSpPr>
        <xdr:cNvPr id="196" name="Line 9073"/>
        <xdr:cNvSpPr>
          <a:spLocks noChangeShapeType="1"/>
        </xdr:cNvSpPr>
      </xdr:nvSpPr>
      <xdr:spPr bwMode="auto">
        <a:xfrm flipV="1">
          <a:off x="1459736" y="33061275"/>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3</xdr:col>
      <xdr:colOff>445987</xdr:colOff>
      <xdr:row>170</xdr:row>
      <xdr:rowOff>19049</xdr:rowOff>
    </xdr:from>
    <xdr:to>
      <xdr:col>3</xdr:col>
      <xdr:colOff>445987</xdr:colOff>
      <xdr:row>171</xdr:row>
      <xdr:rowOff>169042</xdr:rowOff>
    </xdr:to>
    <xdr:sp macro="" textlink="">
      <xdr:nvSpPr>
        <xdr:cNvPr id="197" name="Line 9074"/>
        <xdr:cNvSpPr>
          <a:spLocks noChangeShapeType="1"/>
        </xdr:cNvSpPr>
      </xdr:nvSpPr>
      <xdr:spPr bwMode="auto">
        <a:xfrm flipV="1">
          <a:off x="1989037" y="33070799"/>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4</xdr:col>
      <xdr:colOff>455633</xdr:colOff>
      <xdr:row>170</xdr:row>
      <xdr:rowOff>19049</xdr:rowOff>
    </xdr:from>
    <xdr:to>
      <xdr:col>4</xdr:col>
      <xdr:colOff>455633</xdr:colOff>
      <xdr:row>171</xdr:row>
      <xdr:rowOff>178567</xdr:rowOff>
    </xdr:to>
    <xdr:sp macro="" textlink="">
      <xdr:nvSpPr>
        <xdr:cNvPr id="198" name="Line 9075"/>
        <xdr:cNvSpPr>
          <a:spLocks noChangeShapeType="1"/>
        </xdr:cNvSpPr>
      </xdr:nvSpPr>
      <xdr:spPr bwMode="auto">
        <a:xfrm flipV="1">
          <a:off x="2513033" y="33070799"/>
          <a:ext cx="0" cy="350018"/>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170</xdr:row>
      <xdr:rowOff>104774</xdr:rowOff>
    </xdr:from>
    <xdr:to>
      <xdr:col>1</xdr:col>
      <xdr:colOff>45696</xdr:colOff>
      <xdr:row>174</xdr:row>
      <xdr:rowOff>95249</xdr:rowOff>
    </xdr:to>
    <xdr:sp macro="" textlink="">
      <xdr:nvSpPr>
        <xdr:cNvPr id="199" name="Line 9076"/>
        <xdr:cNvSpPr>
          <a:spLocks noChangeShapeType="1"/>
        </xdr:cNvSpPr>
      </xdr:nvSpPr>
      <xdr:spPr bwMode="auto">
        <a:xfrm flipV="1">
          <a:off x="560046" y="33156524"/>
          <a:ext cx="0" cy="752475"/>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352425</xdr:colOff>
      <xdr:row>171</xdr:row>
      <xdr:rowOff>134187</xdr:rowOff>
    </xdr:from>
    <xdr:to>
      <xdr:col>0</xdr:col>
      <xdr:colOff>352425</xdr:colOff>
      <xdr:row>174</xdr:row>
      <xdr:rowOff>73060</xdr:rowOff>
    </xdr:to>
    <xdr:sp macro="" textlink="">
      <xdr:nvSpPr>
        <xdr:cNvPr id="200" name="Line 9077"/>
        <xdr:cNvSpPr>
          <a:spLocks noChangeShapeType="1"/>
        </xdr:cNvSpPr>
      </xdr:nvSpPr>
      <xdr:spPr bwMode="auto">
        <a:xfrm>
          <a:off x="352425" y="33376437"/>
          <a:ext cx="0" cy="510373"/>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170</xdr:row>
      <xdr:rowOff>189977</xdr:rowOff>
    </xdr:from>
    <xdr:to>
      <xdr:col>1</xdr:col>
      <xdr:colOff>490598</xdr:colOff>
      <xdr:row>170</xdr:row>
      <xdr:rowOff>189977</xdr:rowOff>
    </xdr:to>
    <xdr:sp macro="" textlink="">
      <xdr:nvSpPr>
        <xdr:cNvPr id="201" name="Line 9078"/>
        <xdr:cNvSpPr>
          <a:spLocks noChangeShapeType="1"/>
        </xdr:cNvSpPr>
      </xdr:nvSpPr>
      <xdr:spPr bwMode="auto">
        <a:xfrm>
          <a:off x="560046" y="33241727"/>
          <a:ext cx="44490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510009</xdr:colOff>
      <xdr:row>170</xdr:row>
      <xdr:rowOff>189977</xdr:rowOff>
    </xdr:from>
    <xdr:to>
      <xdr:col>2</xdr:col>
      <xdr:colOff>430674</xdr:colOff>
      <xdr:row>170</xdr:row>
      <xdr:rowOff>189977</xdr:rowOff>
    </xdr:to>
    <xdr:sp macro="" textlink="">
      <xdr:nvSpPr>
        <xdr:cNvPr id="202" name="Line 9079"/>
        <xdr:cNvSpPr>
          <a:spLocks noChangeShapeType="1"/>
        </xdr:cNvSpPr>
      </xdr:nvSpPr>
      <xdr:spPr bwMode="auto">
        <a:xfrm>
          <a:off x="1024359" y="33241727"/>
          <a:ext cx="43501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2</xdr:col>
      <xdr:colOff>450811</xdr:colOff>
      <xdr:row>170</xdr:row>
      <xdr:rowOff>189977</xdr:rowOff>
    </xdr:from>
    <xdr:to>
      <xdr:col>3</xdr:col>
      <xdr:colOff>440461</xdr:colOff>
      <xdr:row>170</xdr:row>
      <xdr:rowOff>189977</xdr:rowOff>
    </xdr:to>
    <xdr:sp macro="" textlink="">
      <xdr:nvSpPr>
        <xdr:cNvPr id="203" name="Line 9080"/>
        <xdr:cNvSpPr>
          <a:spLocks noChangeShapeType="1"/>
        </xdr:cNvSpPr>
      </xdr:nvSpPr>
      <xdr:spPr bwMode="auto">
        <a:xfrm>
          <a:off x="1479511" y="33241727"/>
          <a:ext cx="504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3</xdr:col>
      <xdr:colOff>474200</xdr:colOff>
      <xdr:row>170</xdr:row>
      <xdr:rowOff>189977</xdr:rowOff>
    </xdr:from>
    <xdr:to>
      <xdr:col>4</xdr:col>
      <xdr:colOff>427850</xdr:colOff>
      <xdr:row>170</xdr:row>
      <xdr:rowOff>189977</xdr:rowOff>
    </xdr:to>
    <xdr:sp macro="" textlink="">
      <xdr:nvSpPr>
        <xdr:cNvPr id="205" name="Line 9082"/>
        <xdr:cNvSpPr>
          <a:spLocks noChangeShapeType="1"/>
        </xdr:cNvSpPr>
      </xdr:nvSpPr>
      <xdr:spPr bwMode="auto">
        <a:xfrm>
          <a:off x="2017250" y="33241727"/>
          <a:ext cx="468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0</xdr:col>
      <xdr:colOff>352425</xdr:colOff>
      <xdr:row>174</xdr:row>
      <xdr:rowOff>0</xdr:rowOff>
    </xdr:from>
    <xdr:to>
      <xdr:col>1</xdr:col>
      <xdr:colOff>47625</xdr:colOff>
      <xdr:row>174</xdr:row>
      <xdr:rowOff>0</xdr:rowOff>
    </xdr:to>
    <xdr:sp macro="" textlink="">
      <xdr:nvSpPr>
        <xdr:cNvPr id="206" name="Line 9083"/>
        <xdr:cNvSpPr>
          <a:spLocks noChangeShapeType="1"/>
        </xdr:cNvSpPr>
      </xdr:nvSpPr>
      <xdr:spPr bwMode="auto">
        <a:xfrm>
          <a:off x="352425" y="33813750"/>
          <a:ext cx="2095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57150</xdr:colOff>
      <xdr:row>174</xdr:row>
      <xdr:rowOff>0</xdr:rowOff>
    </xdr:from>
    <xdr:to>
      <xdr:col>7</xdr:col>
      <xdr:colOff>342900</xdr:colOff>
      <xdr:row>174</xdr:row>
      <xdr:rowOff>0</xdr:rowOff>
    </xdr:to>
    <xdr:sp macro="" textlink="">
      <xdr:nvSpPr>
        <xdr:cNvPr id="207" name="Line 9084"/>
        <xdr:cNvSpPr>
          <a:spLocks noChangeShapeType="1"/>
        </xdr:cNvSpPr>
      </xdr:nvSpPr>
      <xdr:spPr bwMode="auto">
        <a:xfrm>
          <a:off x="571500" y="33813750"/>
          <a:ext cx="337185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7</xdr:col>
      <xdr:colOff>352425</xdr:colOff>
      <xdr:row>170</xdr:row>
      <xdr:rowOff>57150</xdr:rowOff>
    </xdr:from>
    <xdr:to>
      <xdr:col>7</xdr:col>
      <xdr:colOff>352425</xdr:colOff>
      <xdr:row>174</xdr:row>
      <xdr:rowOff>57150</xdr:rowOff>
    </xdr:to>
    <xdr:sp macro="" textlink="">
      <xdr:nvSpPr>
        <xdr:cNvPr id="208" name="Line 9085"/>
        <xdr:cNvSpPr>
          <a:spLocks noChangeShapeType="1"/>
        </xdr:cNvSpPr>
      </xdr:nvSpPr>
      <xdr:spPr bwMode="auto">
        <a:xfrm>
          <a:off x="3952875" y="33108900"/>
          <a:ext cx="0" cy="76200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85725</xdr:colOff>
      <xdr:row>169</xdr:row>
      <xdr:rowOff>76200</xdr:rowOff>
    </xdr:from>
    <xdr:to>
      <xdr:col>7</xdr:col>
      <xdr:colOff>390525</xdr:colOff>
      <xdr:row>170</xdr:row>
      <xdr:rowOff>65785</xdr:rowOff>
    </xdr:to>
    <xdr:sp macro="" textlink="">
      <xdr:nvSpPr>
        <xdr:cNvPr id="209" name="Text Box 9086"/>
        <xdr:cNvSpPr txBox="1">
          <a:spLocks noChangeArrowheads="1"/>
        </xdr:cNvSpPr>
      </xdr:nvSpPr>
      <xdr:spPr bwMode="auto">
        <a:xfrm>
          <a:off x="3686175" y="32937450"/>
          <a:ext cx="304800" cy="180085"/>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050" b="0" i="0" u="none" strike="noStrike" baseline="0">
              <a:solidFill>
                <a:srgbClr val="000000"/>
              </a:solidFill>
              <a:latin typeface="Garamond" pitchFamily="18" charset="0"/>
              <a:cs typeface="Arial"/>
            </a:rPr>
            <a:t>C/L</a:t>
          </a:r>
        </a:p>
      </xdr:txBody>
    </xdr:sp>
    <xdr:clientData/>
  </xdr:twoCellAnchor>
  <xdr:twoCellAnchor>
    <xdr:from>
      <xdr:col>1</xdr:col>
      <xdr:colOff>474200</xdr:colOff>
      <xdr:row>170</xdr:row>
      <xdr:rowOff>189977</xdr:rowOff>
    </xdr:from>
    <xdr:to>
      <xdr:col>2</xdr:col>
      <xdr:colOff>427850</xdr:colOff>
      <xdr:row>170</xdr:row>
      <xdr:rowOff>189977</xdr:rowOff>
    </xdr:to>
    <xdr:sp macro="" textlink="">
      <xdr:nvSpPr>
        <xdr:cNvPr id="211" name="Line 9082"/>
        <xdr:cNvSpPr>
          <a:spLocks noChangeShapeType="1"/>
        </xdr:cNvSpPr>
      </xdr:nvSpPr>
      <xdr:spPr bwMode="auto">
        <a:xfrm>
          <a:off x="988550" y="33241727"/>
          <a:ext cx="468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5</xdr:col>
      <xdr:colOff>445987</xdr:colOff>
      <xdr:row>170</xdr:row>
      <xdr:rowOff>19049</xdr:rowOff>
    </xdr:from>
    <xdr:to>
      <xdr:col>5</xdr:col>
      <xdr:colOff>445987</xdr:colOff>
      <xdr:row>171</xdr:row>
      <xdr:rowOff>169042</xdr:rowOff>
    </xdr:to>
    <xdr:sp macro="" textlink="">
      <xdr:nvSpPr>
        <xdr:cNvPr id="212" name="Line 9074"/>
        <xdr:cNvSpPr>
          <a:spLocks noChangeShapeType="1"/>
        </xdr:cNvSpPr>
      </xdr:nvSpPr>
      <xdr:spPr bwMode="auto">
        <a:xfrm flipV="1">
          <a:off x="1989037" y="34594799"/>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6</xdr:col>
      <xdr:colOff>455633</xdr:colOff>
      <xdr:row>170</xdr:row>
      <xdr:rowOff>19049</xdr:rowOff>
    </xdr:from>
    <xdr:to>
      <xdr:col>6</xdr:col>
      <xdr:colOff>455633</xdr:colOff>
      <xdr:row>171</xdr:row>
      <xdr:rowOff>178567</xdr:rowOff>
    </xdr:to>
    <xdr:sp macro="" textlink="">
      <xdr:nvSpPr>
        <xdr:cNvPr id="213" name="Line 9075"/>
        <xdr:cNvSpPr>
          <a:spLocks noChangeShapeType="1"/>
        </xdr:cNvSpPr>
      </xdr:nvSpPr>
      <xdr:spPr bwMode="auto">
        <a:xfrm flipV="1">
          <a:off x="2513033" y="34594799"/>
          <a:ext cx="0" cy="350018"/>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4</xdr:col>
      <xdr:colOff>450811</xdr:colOff>
      <xdr:row>170</xdr:row>
      <xdr:rowOff>189977</xdr:rowOff>
    </xdr:from>
    <xdr:to>
      <xdr:col>5</xdr:col>
      <xdr:colOff>440461</xdr:colOff>
      <xdr:row>170</xdr:row>
      <xdr:rowOff>189977</xdr:rowOff>
    </xdr:to>
    <xdr:sp macro="" textlink="">
      <xdr:nvSpPr>
        <xdr:cNvPr id="214" name="Line 9080"/>
        <xdr:cNvSpPr>
          <a:spLocks noChangeShapeType="1"/>
        </xdr:cNvSpPr>
      </xdr:nvSpPr>
      <xdr:spPr bwMode="auto">
        <a:xfrm>
          <a:off x="1479511" y="34765727"/>
          <a:ext cx="504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5</xdr:col>
      <xdr:colOff>474200</xdr:colOff>
      <xdr:row>170</xdr:row>
      <xdr:rowOff>189977</xdr:rowOff>
    </xdr:from>
    <xdr:to>
      <xdr:col>6</xdr:col>
      <xdr:colOff>427850</xdr:colOff>
      <xdr:row>170</xdr:row>
      <xdr:rowOff>189977</xdr:rowOff>
    </xdr:to>
    <xdr:sp macro="" textlink="">
      <xdr:nvSpPr>
        <xdr:cNvPr id="216" name="Line 9082"/>
        <xdr:cNvSpPr>
          <a:spLocks noChangeShapeType="1"/>
        </xdr:cNvSpPr>
      </xdr:nvSpPr>
      <xdr:spPr bwMode="auto">
        <a:xfrm>
          <a:off x="2017250" y="34765727"/>
          <a:ext cx="468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5</xdr:col>
      <xdr:colOff>445987</xdr:colOff>
      <xdr:row>162</xdr:row>
      <xdr:rowOff>19049</xdr:rowOff>
    </xdr:from>
    <xdr:to>
      <xdr:col>5</xdr:col>
      <xdr:colOff>445987</xdr:colOff>
      <xdr:row>163</xdr:row>
      <xdr:rowOff>169042</xdr:rowOff>
    </xdr:to>
    <xdr:sp macro="" textlink="">
      <xdr:nvSpPr>
        <xdr:cNvPr id="217" name="Line 9074"/>
        <xdr:cNvSpPr>
          <a:spLocks noChangeShapeType="1"/>
        </xdr:cNvSpPr>
      </xdr:nvSpPr>
      <xdr:spPr bwMode="auto">
        <a:xfrm flipV="1">
          <a:off x="1989037" y="33070799"/>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6</xdr:col>
      <xdr:colOff>455633</xdr:colOff>
      <xdr:row>162</xdr:row>
      <xdr:rowOff>19049</xdr:rowOff>
    </xdr:from>
    <xdr:to>
      <xdr:col>6</xdr:col>
      <xdr:colOff>455633</xdr:colOff>
      <xdr:row>163</xdr:row>
      <xdr:rowOff>178567</xdr:rowOff>
    </xdr:to>
    <xdr:sp macro="" textlink="">
      <xdr:nvSpPr>
        <xdr:cNvPr id="218" name="Line 9075"/>
        <xdr:cNvSpPr>
          <a:spLocks noChangeShapeType="1"/>
        </xdr:cNvSpPr>
      </xdr:nvSpPr>
      <xdr:spPr bwMode="auto">
        <a:xfrm flipV="1">
          <a:off x="2513033" y="33070799"/>
          <a:ext cx="0" cy="350018"/>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4</xdr:col>
      <xdr:colOff>450811</xdr:colOff>
      <xdr:row>162</xdr:row>
      <xdr:rowOff>189977</xdr:rowOff>
    </xdr:from>
    <xdr:to>
      <xdr:col>5</xdr:col>
      <xdr:colOff>440461</xdr:colOff>
      <xdr:row>162</xdr:row>
      <xdr:rowOff>189977</xdr:rowOff>
    </xdr:to>
    <xdr:sp macro="" textlink="">
      <xdr:nvSpPr>
        <xdr:cNvPr id="219" name="Line 9080"/>
        <xdr:cNvSpPr>
          <a:spLocks noChangeShapeType="1"/>
        </xdr:cNvSpPr>
      </xdr:nvSpPr>
      <xdr:spPr bwMode="auto">
        <a:xfrm>
          <a:off x="1479511" y="33241727"/>
          <a:ext cx="504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5</xdr:col>
      <xdr:colOff>474200</xdr:colOff>
      <xdr:row>162</xdr:row>
      <xdr:rowOff>189977</xdr:rowOff>
    </xdr:from>
    <xdr:to>
      <xdr:col>6</xdr:col>
      <xdr:colOff>427850</xdr:colOff>
      <xdr:row>162</xdr:row>
      <xdr:rowOff>189977</xdr:rowOff>
    </xdr:to>
    <xdr:sp macro="" textlink="">
      <xdr:nvSpPr>
        <xdr:cNvPr id="220" name="Line 9082"/>
        <xdr:cNvSpPr>
          <a:spLocks noChangeShapeType="1"/>
        </xdr:cNvSpPr>
      </xdr:nvSpPr>
      <xdr:spPr bwMode="auto">
        <a:xfrm>
          <a:off x="2017250" y="33241727"/>
          <a:ext cx="468000"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0</xdr:col>
      <xdr:colOff>352787</xdr:colOff>
      <xdr:row>179</xdr:row>
      <xdr:rowOff>1047</xdr:rowOff>
    </xdr:from>
    <xdr:to>
      <xdr:col>8</xdr:col>
      <xdr:colOff>190362</xdr:colOff>
      <xdr:row>179</xdr:row>
      <xdr:rowOff>189663</xdr:rowOff>
    </xdr:to>
    <xdr:sp macro="" textlink="">
      <xdr:nvSpPr>
        <xdr:cNvPr id="221" name="Freeform 9071"/>
        <xdr:cNvSpPr>
          <a:spLocks/>
        </xdr:cNvSpPr>
      </xdr:nvSpPr>
      <xdr:spPr bwMode="auto">
        <a:xfrm>
          <a:off x="352787" y="30191156"/>
          <a:ext cx="3945749" cy="188616"/>
        </a:xfrm>
        <a:custGeom>
          <a:avLst/>
          <a:gdLst>
            <a:gd name="T0" fmla="*/ 0 w 213"/>
            <a:gd name="T1" fmla="*/ 23 h 16"/>
            <a:gd name="T2" fmla="*/ 0 w 213"/>
            <a:gd name="T3" fmla="*/ 0 h 16"/>
            <a:gd name="T4" fmla="*/ 157 w 213"/>
            <a:gd name="T5" fmla="*/ 0 h 16"/>
            <a:gd name="T6" fmla="*/ 220 w 213"/>
            <a:gd name="T7" fmla="*/ 23 h 16"/>
            <a:gd name="T8" fmla="*/ 3296 w 213"/>
            <a:gd name="T9" fmla="*/ 23 h 16"/>
            <a:gd name="T10" fmla="*/ 0 60000 65536"/>
            <a:gd name="T11" fmla="*/ 0 60000 65536"/>
            <a:gd name="T12" fmla="*/ 0 60000 65536"/>
            <a:gd name="T13" fmla="*/ 0 60000 65536"/>
            <a:gd name="T14" fmla="*/ 0 60000 65536"/>
            <a:gd name="T15" fmla="*/ 0 w 213"/>
            <a:gd name="T16" fmla="*/ 0 h 16"/>
            <a:gd name="T17" fmla="*/ 213 w 213"/>
            <a:gd name="T18" fmla="*/ 16 h 16"/>
            <a:gd name="connsiteX0" fmla="*/ 0 w 12691"/>
            <a:gd name="connsiteY0" fmla="*/ 10000 h 10000"/>
            <a:gd name="connsiteX1" fmla="*/ 0 w 12691"/>
            <a:gd name="connsiteY1" fmla="*/ 0 h 10000"/>
            <a:gd name="connsiteX2" fmla="*/ 469 w 12691"/>
            <a:gd name="connsiteY2" fmla="*/ 0 h 10000"/>
            <a:gd name="connsiteX3" fmla="*/ 657 w 12691"/>
            <a:gd name="connsiteY3" fmla="*/ 10000 h 10000"/>
            <a:gd name="connsiteX4" fmla="*/ 12691 w 12691"/>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91" h="10000">
              <a:moveTo>
                <a:pt x="0" y="10000"/>
              </a:moveTo>
              <a:lnTo>
                <a:pt x="0" y="0"/>
              </a:lnTo>
              <a:lnTo>
                <a:pt x="469" y="0"/>
              </a:lnTo>
              <a:cubicBezTo>
                <a:pt x="532" y="3333"/>
                <a:pt x="594" y="6667"/>
                <a:pt x="657" y="10000"/>
              </a:cubicBezTo>
              <a:lnTo>
                <a:pt x="12691" y="10000"/>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1</xdr:col>
      <xdr:colOff>500484</xdr:colOff>
      <xdr:row>178</xdr:row>
      <xdr:rowOff>19049</xdr:rowOff>
    </xdr:from>
    <xdr:to>
      <xdr:col>1</xdr:col>
      <xdr:colOff>500484</xdr:colOff>
      <xdr:row>179</xdr:row>
      <xdr:rowOff>178566</xdr:rowOff>
    </xdr:to>
    <xdr:sp macro="" textlink="">
      <xdr:nvSpPr>
        <xdr:cNvPr id="222" name="Line 9072"/>
        <xdr:cNvSpPr>
          <a:spLocks noChangeShapeType="1"/>
        </xdr:cNvSpPr>
      </xdr:nvSpPr>
      <xdr:spPr bwMode="auto">
        <a:xfrm flipV="1">
          <a:off x="1014006" y="30018658"/>
          <a:ext cx="0" cy="350017"/>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2</xdr:col>
      <xdr:colOff>431036</xdr:colOff>
      <xdr:row>178</xdr:row>
      <xdr:rowOff>9525</xdr:rowOff>
    </xdr:from>
    <xdr:to>
      <xdr:col>2</xdr:col>
      <xdr:colOff>431036</xdr:colOff>
      <xdr:row>179</xdr:row>
      <xdr:rowOff>178566</xdr:rowOff>
    </xdr:to>
    <xdr:sp macro="" textlink="">
      <xdr:nvSpPr>
        <xdr:cNvPr id="223" name="Line 9073"/>
        <xdr:cNvSpPr>
          <a:spLocks noChangeShapeType="1"/>
        </xdr:cNvSpPr>
      </xdr:nvSpPr>
      <xdr:spPr bwMode="auto">
        <a:xfrm flipV="1">
          <a:off x="1458079" y="30009134"/>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3</xdr:col>
      <xdr:colOff>445987</xdr:colOff>
      <xdr:row>178</xdr:row>
      <xdr:rowOff>19049</xdr:rowOff>
    </xdr:from>
    <xdr:to>
      <xdr:col>3</xdr:col>
      <xdr:colOff>445987</xdr:colOff>
      <xdr:row>179</xdr:row>
      <xdr:rowOff>169042</xdr:rowOff>
    </xdr:to>
    <xdr:sp macro="" textlink="">
      <xdr:nvSpPr>
        <xdr:cNvPr id="224" name="Line 9074"/>
        <xdr:cNvSpPr>
          <a:spLocks noChangeShapeType="1"/>
        </xdr:cNvSpPr>
      </xdr:nvSpPr>
      <xdr:spPr bwMode="auto">
        <a:xfrm flipV="1">
          <a:off x="1986552" y="30018658"/>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178</xdr:row>
      <xdr:rowOff>104774</xdr:rowOff>
    </xdr:from>
    <xdr:to>
      <xdr:col>1</xdr:col>
      <xdr:colOff>45696</xdr:colOff>
      <xdr:row>182</xdr:row>
      <xdr:rowOff>95249</xdr:rowOff>
    </xdr:to>
    <xdr:sp macro="" textlink="">
      <xdr:nvSpPr>
        <xdr:cNvPr id="226" name="Line 9076"/>
        <xdr:cNvSpPr>
          <a:spLocks noChangeShapeType="1"/>
        </xdr:cNvSpPr>
      </xdr:nvSpPr>
      <xdr:spPr bwMode="auto">
        <a:xfrm flipV="1">
          <a:off x="559218" y="30104383"/>
          <a:ext cx="0" cy="752475"/>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352425</xdr:colOff>
      <xdr:row>179</xdr:row>
      <xdr:rowOff>134187</xdr:rowOff>
    </xdr:from>
    <xdr:to>
      <xdr:col>0</xdr:col>
      <xdr:colOff>352425</xdr:colOff>
      <xdr:row>182</xdr:row>
      <xdr:rowOff>73060</xdr:rowOff>
    </xdr:to>
    <xdr:sp macro="" textlink="">
      <xdr:nvSpPr>
        <xdr:cNvPr id="227" name="Line 9077"/>
        <xdr:cNvSpPr>
          <a:spLocks noChangeShapeType="1"/>
        </xdr:cNvSpPr>
      </xdr:nvSpPr>
      <xdr:spPr bwMode="auto">
        <a:xfrm>
          <a:off x="352425" y="30324296"/>
          <a:ext cx="0" cy="510373"/>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178</xdr:row>
      <xdr:rowOff>189977</xdr:rowOff>
    </xdr:from>
    <xdr:to>
      <xdr:col>1</xdr:col>
      <xdr:colOff>490598</xdr:colOff>
      <xdr:row>178</xdr:row>
      <xdr:rowOff>189977</xdr:rowOff>
    </xdr:to>
    <xdr:sp macro="" textlink="">
      <xdr:nvSpPr>
        <xdr:cNvPr id="228" name="Line 9078"/>
        <xdr:cNvSpPr>
          <a:spLocks noChangeShapeType="1"/>
        </xdr:cNvSpPr>
      </xdr:nvSpPr>
      <xdr:spPr bwMode="auto">
        <a:xfrm>
          <a:off x="559218" y="30189586"/>
          <a:ext cx="44490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510009</xdr:colOff>
      <xdr:row>178</xdr:row>
      <xdr:rowOff>189977</xdr:rowOff>
    </xdr:from>
    <xdr:to>
      <xdr:col>2</xdr:col>
      <xdr:colOff>430674</xdr:colOff>
      <xdr:row>178</xdr:row>
      <xdr:rowOff>189977</xdr:rowOff>
    </xdr:to>
    <xdr:sp macro="" textlink="">
      <xdr:nvSpPr>
        <xdr:cNvPr id="229" name="Line 9079"/>
        <xdr:cNvSpPr>
          <a:spLocks noChangeShapeType="1"/>
        </xdr:cNvSpPr>
      </xdr:nvSpPr>
      <xdr:spPr bwMode="auto">
        <a:xfrm>
          <a:off x="1023531" y="30189586"/>
          <a:ext cx="434186"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2</xdr:col>
      <xdr:colOff>450811</xdr:colOff>
      <xdr:row>178</xdr:row>
      <xdr:rowOff>189977</xdr:rowOff>
    </xdr:from>
    <xdr:to>
      <xdr:col>3</xdr:col>
      <xdr:colOff>440461</xdr:colOff>
      <xdr:row>178</xdr:row>
      <xdr:rowOff>189977</xdr:rowOff>
    </xdr:to>
    <xdr:sp macro="" textlink="">
      <xdr:nvSpPr>
        <xdr:cNvPr id="230" name="Line 9080"/>
        <xdr:cNvSpPr>
          <a:spLocks noChangeShapeType="1"/>
        </xdr:cNvSpPr>
      </xdr:nvSpPr>
      <xdr:spPr bwMode="auto">
        <a:xfrm>
          <a:off x="1477854" y="30189586"/>
          <a:ext cx="50317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3</xdr:col>
      <xdr:colOff>43164</xdr:colOff>
      <xdr:row>178</xdr:row>
      <xdr:rowOff>91691</xdr:rowOff>
    </xdr:from>
    <xdr:to>
      <xdr:col>3</xdr:col>
      <xdr:colOff>171691</xdr:colOff>
      <xdr:row>179</xdr:row>
      <xdr:rowOff>134187</xdr:rowOff>
    </xdr:to>
    <xdr:sp macro="" textlink="">
      <xdr:nvSpPr>
        <xdr:cNvPr id="231" name="Text Box 9081"/>
        <xdr:cNvSpPr txBox="1">
          <a:spLocks noChangeArrowheads="1"/>
        </xdr:cNvSpPr>
      </xdr:nvSpPr>
      <xdr:spPr bwMode="auto">
        <a:xfrm>
          <a:off x="1583729" y="30091300"/>
          <a:ext cx="128527" cy="232996"/>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a:t>
          </a:r>
        </a:p>
      </xdr:txBody>
    </xdr:sp>
    <xdr:clientData/>
  </xdr:twoCellAnchor>
  <xdr:twoCellAnchor>
    <xdr:from>
      <xdr:col>3</xdr:col>
      <xdr:colOff>474200</xdr:colOff>
      <xdr:row>178</xdr:row>
      <xdr:rowOff>189977</xdr:rowOff>
    </xdr:from>
    <xdr:to>
      <xdr:col>4</xdr:col>
      <xdr:colOff>427850</xdr:colOff>
      <xdr:row>178</xdr:row>
      <xdr:rowOff>189977</xdr:rowOff>
    </xdr:to>
    <xdr:sp macro="" textlink="">
      <xdr:nvSpPr>
        <xdr:cNvPr id="232" name="Line 9082"/>
        <xdr:cNvSpPr>
          <a:spLocks noChangeShapeType="1"/>
        </xdr:cNvSpPr>
      </xdr:nvSpPr>
      <xdr:spPr bwMode="auto">
        <a:xfrm>
          <a:off x="2014765" y="30189586"/>
          <a:ext cx="46717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7</xdr:col>
      <xdr:colOff>352425</xdr:colOff>
      <xdr:row>178</xdr:row>
      <xdr:rowOff>57150</xdr:rowOff>
    </xdr:from>
    <xdr:to>
      <xdr:col>7</xdr:col>
      <xdr:colOff>352425</xdr:colOff>
      <xdr:row>182</xdr:row>
      <xdr:rowOff>57150</xdr:rowOff>
    </xdr:to>
    <xdr:sp macro="" textlink="">
      <xdr:nvSpPr>
        <xdr:cNvPr id="233" name="Line 9085"/>
        <xdr:cNvSpPr>
          <a:spLocks noChangeShapeType="1"/>
        </xdr:cNvSpPr>
      </xdr:nvSpPr>
      <xdr:spPr bwMode="auto">
        <a:xfrm>
          <a:off x="3947077" y="30056759"/>
          <a:ext cx="0" cy="76200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85725</xdr:colOff>
      <xdr:row>177</xdr:row>
      <xdr:rowOff>76200</xdr:rowOff>
    </xdr:from>
    <xdr:to>
      <xdr:col>7</xdr:col>
      <xdr:colOff>390525</xdr:colOff>
      <xdr:row>178</xdr:row>
      <xdr:rowOff>65785</xdr:rowOff>
    </xdr:to>
    <xdr:sp macro="" textlink="">
      <xdr:nvSpPr>
        <xdr:cNvPr id="234" name="Text Box 9086"/>
        <xdr:cNvSpPr txBox="1">
          <a:spLocks noChangeArrowheads="1"/>
        </xdr:cNvSpPr>
      </xdr:nvSpPr>
      <xdr:spPr bwMode="auto">
        <a:xfrm>
          <a:off x="3680377" y="29885309"/>
          <a:ext cx="304800" cy="180085"/>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050" b="0" i="0" u="none" strike="noStrike" baseline="0">
              <a:solidFill>
                <a:srgbClr val="000000"/>
              </a:solidFill>
              <a:latin typeface="Garamond" pitchFamily="18" charset="0"/>
              <a:cs typeface="Arial"/>
            </a:rPr>
            <a:t>C/L</a:t>
          </a:r>
        </a:p>
      </xdr:txBody>
    </xdr:sp>
    <xdr:clientData/>
  </xdr:twoCellAnchor>
  <xdr:twoCellAnchor>
    <xdr:from>
      <xdr:col>4</xdr:col>
      <xdr:colOff>431036</xdr:colOff>
      <xdr:row>178</xdr:row>
      <xdr:rowOff>9525</xdr:rowOff>
    </xdr:from>
    <xdr:to>
      <xdr:col>4</xdr:col>
      <xdr:colOff>431036</xdr:colOff>
      <xdr:row>179</xdr:row>
      <xdr:rowOff>178566</xdr:rowOff>
    </xdr:to>
    <xdr:sp macro="" textlink="">
      <xdr:nvSpPr>
        <xdr:cNvPr id="235" name="Line 9073"/>
        <xdr:cNvSpPr>
          <a:spLocks noChangeShapeType="1"/>
        </xdr:cNvSpPr>
      </xdr:nvSpPr>
      <xdr:spPr bwMode="auto">
        <a:xfrm flipV="1">
          <a:off x="1458079" y="36105134"/>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0</xdr:col>
      <xdr:colOff>352787</xdr:colOff>
      <xdr:row>187</xdr:row>
      <xdr:rowOff>1047</xdr:rowOff>
    </xdr:from>
    <xdr:to>
      <xdr:col>8</xdr:col>
      <xdr:colOff>190362</xdr:colOff>
      <xdr:row>187</xdr:row>
      <xdr:rowOff>189663</xdr:rowOff>
    </xdr:to>
    <xdr:sp macro="" textlink="">
      <xdr:nvSpPr>
        <xdr:cNvPr id="238" name="Freeform 9071"/>
        <xdr:cNvSpPr>
          <a:spLocks/>
        </xdr:cNvSpPr>
      </xdr:nvSpPr>
      <xdr:spPr bwMode="auto">
        <a:xfrm>
          <a:off x="352787" y="36287156"/>
          <a:ext cx="3945749" cy="188616"/>
        </a:xfrm>
        <a:custGeom>
          <a:avLst/>
          <a:gdLst>
            <a:gd name="T0" fmla="*/ 0 w 213"/>
            <a:gd name="T1" fmla="*/ 23 h 16"/>
            <a:gd name="T2" fmla="*/ 0 w 213"/>
            <a:gd name="T3" fmla="*/ 0 h 16"/>
            <a:gd name="T4" fmla="*/ 157 w 213"/>
            <a:gd name="T5" fmla="*/ 0 h 16"/>
            <a:gd name="T6" fmla="*/ 220 w 213"/>
            <a:gd name="T7" fmla="*/ 23 h 16"/>
            <a:gd name="T8" fmla="*/ 3296 w 213"/>
            <a:gd name="T9" fmla="*/ 23 h 16"/>
            <a:gd name="T10" fmla="*/ 0 60000 65536"/>
            <a:gd name="T11" fmla="*/ 0 60000 65536"/>
            <a:gd name="T12" fmla="*/ 0 60000 65536"/>
            <a:gd name="T13" fmla="*/ 0 60000 65536"/>
            <a:gd name="T14" fmla="*/ 0 60000 65536"/>
            <a:gd name="T15" fmla="*/ 0 w 213"/>
            <a:gd name="T16" fmla="*/ 0 h 16"/>
            <a:gd name="T17" fmla="*/ 213 w 213"/>
            <a:gd name="T18" fmla="*/ 16 h 16"/>
            <a:gd name="connsiteX0" fmla="*/ 0 w 12691"/>
            <a:gd name="connsiteY0" fmla="*/ 10000 h 10000"/>
            <a:gd name="connsiteX1" fmla="*/ 0 w 12691"/>
            <a:gd name="connsiteY1" fmla="*/ 0 h 10000"/>
            <a:gd name="connsiteX2" fmla="*/ 469 w 12691"/>
            <a:gd name="connsiteY2" fmla="*/ 0 h 10000"/>
            <a:gd name="connsiteX3" fmla="*/ 657 w 12691"/>
            <a:gd name="connsiteY3" fmla="*/ 10000 h 10000"/>
            <a:gd name="connsiteX4" fmla="*/ 12691 w 12691"/>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91" h="10000">
              <a:moveTo>
                <a:pt x="0" y="10000"/>
              </a:moveTo>
              <a:lnTo>
                <a:pt x="0" y="0"/>
              </a:lnTo>
              <a:lnTo>
                <a:pt x="469" y="0"/>
              </a:lnTo>
              <a:cubicBezTo>
                <a:pt x="532" y="3333"/>
                <a:pt x="594" y="6667"/>
                <a:pt x="657" y="10000"/>
              </a:cubicBezTo>
              <a:lnTo>
                <a:pt x="12691" y="10000"/>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1</xdr:col>
      <xdr:colOff>500484</xdr:colOff>
      <xdr:row>186</xdr:row>
      <xdr:rowOff>19049</xdr:rowOff>
    </xdr:from>
    <xdr:to>
      <xdr:col>1</xdr:col>
      <xdr:colOff>500484</xdr:colOff>
      <xdr:row>187</xdr:row>
      <xdr:rowOff>178566</xdr:rowOff>
    </xdr:to>
    <xdr:sp macro="" textlink="">
      <xdr:nvSpPr>
        <xdr:cNvPr id="239" name="Line 9072"/>
        <xdr:cNvSpPr>
          <a:spLocks noChangeShapeType="1"/>
        </xdr:cNvSpPr>
      </xdr:nvSpPr>
      <xdr:spPr bwMode="auto">
        <a:xfrm flipV="1">
          <a:off x="1014006" y="36114658"/>
          <a:ext cx="0" cy="350017"/>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2</xdr:col>
      <xdr:colOff>431036</xdr:colOff>
      <xdr:row>186</xdr:row>
      <xdr:rowOff>9525</xdr:rowOff>
    </xdr:from>
    <xdr:to>
      <xdr:col>2</xdr:col>
      <xdr:colOff>431036</xdr:colOff>
      <xdr:row>187</xdr:row>
      <xdr:rowOff>178566</xdr:rowOff>
    </xdr:to>
    <xdr:sp macro="" textlink="">
      <xdr:nvSpPr>
        <xdr:cNvPr id="240" name="Line 9073"/>
        <xdr:cNvSpPr>
          <a:spLocks noChangeShapeType="1"/>
        </xdr:cNvSpPr>
      </xdr:nvSpPr>
      <xdr:spPr bwMode="auto">
        <a:xfrm flipV="1">
          <a:off x="1458079" y="36105134"/>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3</xdr:col>
      <xdr:colOff>445987</xdr:colOff>
      <xdr:row>186</xdr:row>
      <xdr:rowOff>19049</xdr:rowOff>
    </xdr:from>
    <xdr:to>
      <xdr:col>3</xdr:col>
      <xdr:colOff>445987</xdr:colOff>
      <xdr:row>187</xdr:row>
      <xdr:rowOff>169042</xdr:rowOff>
    </xdr:to>
    <xdr:sp macro="" textlink="">
      <xdr:nvSpPr>
        <xdr:cNvPr id="241" name="Line 9074"/>
        <xdr:cNvSpPr>
          <a:spLocks noChangeShapeType="1"/>
        </xdr:cNvSpPr>
      </xdr:nvSpPr>
      <xdr:spPr bwMode="auto">
        <a:xfrm flipV="1">
          <a:off x="1986552" y="37638658"/>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186</xdr:row>
      <xdr:rowOff>104774</xdr:rowOff>
    </xdr:from>
    <xdr:to>
      <xdr:col>1</xdr:col>
      <xdr:colOff>45696</xdr:colOff>
      <xdr:row>190</xdr:row>
      <xdr:rowOff>95249</xdr:rowOff>
    </xdr:to>
    <xdr:sp macro="" textlink="">
      <xdr:nvSpPr>
        <xdr:cNvPr id="242" name="Line 9076"/>
        <xdr:cNvSpPr>
          <a:spLocks noChangeShapeType="1"/>
        </xdr:cNvSpPr>
      </xdr:nvSpPr>
      <xdr:spPr bwMode="auto">
        <a:xfrm flipV="1">
          <a:off x="559218" y="36200383"/>
          <a:ext cx="0" cy="752475"/>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352425</xdr:colOff>
      <xdr:row>187</xdr:row>
      <xdr:rowOff>134187</xdr:rowOff>
    </xdr:from>
    <xdr:to>
      <xdr:col>0</xdr:col>
      <xdr:colOff>352425</xdr:colOff>
      <xdr:row>190</xdr:row>
      <xdr:rowOff>73060</xdr:rowOff>
    </xdr:to>
    <xdr:sp macro="" textlink="">
      <xdr:nvSpPr>
        <xdr:cNvPr id="243" name="Line 9077"/>
        <xdr:cNvSpPr>
          <a:spLocks noChangeShapeType="1"/>
        </xdr:cNvSpPr>
      </xdr:nvSpPr>
      <xdr:spPr bwMode="auto">
        <a:xfrm>
          <a:off x="352425" y="36420296"/>
          <a:ext cx="0" cy="510373"/>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186</xdr:row>
      <xdr:rowOff>189977</xdr:rowOff>
    </xdr:from>
    <xdr:to>
      <xdr:col>1</xdr:col>
      <xdr:colOff>490598</xdr:colOff>
      <xdr:row>186</xdr:row>
      <xdr:rowOff>189977</xdr:rowOff>
    </xdr:to>
    <xdr:sp macro="" textlink="">
      <xdr:nvSpPr>
        <xdr:cNvPr id="244" name="Line 9078"/>
        <xdr:cNvSpPr>
          <a:spLocks noChangeShapeType="1"/>
        </xdr:cNvSpPr>
      </xdr:nvSpPr>
      <xdr:spPr bwMode="auto">
        <a:xfrm>
          <a:off x="559218" y="36285586"/>
          <a:ext cx="44490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510009</xdr:colOff>
      <xdr:row>186</xdr:row>
      <xdr:rowOff>189977</xdr:rowOff>
    </xdr:from>
    <xdr:to>
      <xdr:col>2</xdr:col>
      <xdr:colOff>430674</xdr:colOff>
      <xdr:row>186</xdr:row>
      <xdr:rowOff>189977</xdr:rowOff>
    </xdr:to>
    <xdr:sp macro="" textlink="">
      <xdr:nvSpPr>
        <xdr:cNvPr id="245" name="Line 9079"/>
        <xdr:cNvSpPr>
          <a:spLocks noChangeShapeType="1"/>
        </xdr:cNvSpPr>
      </xdr:nvSpPr>
      <xdr:spPr bwMode="auto">
        <a:xfrm>
          <a:off x="1023531" y="36285586"/>
          <a:ext cx="434186"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2</xdr:col>
      <xdr:colOff>450811</xdr:colOff>
      <xdr:row>186</xdr:row>
      <xdr:rowOff>189977</xdr:rowOff>
    </xdr:from>
    <xdr:to>
      <xdr:col>3</xdr:col>
      <xdr:colOff>440461</xdr:colOff>
      <xdr:row>186</xdr:row>
      <xdr:rowOff>189977</xdr:rowOff>
    </xdr:to>
    <xdr:sp macro="" textlink="">
      <xdr:nvSpPr>
        <xdr:cNvPr id="246" name="Line 9080"/>
        <xdr:cNvSpPr>
          <a:spLocks noChangeShapeType="1"/>
        </xdr:cNvSpPr>
      </xdr:nvSpPr>
      <xdr:spPr bwMode="auto">
        <a:xfrm>
          <a:off x="1477854" y="36285586"/>
          <a:ext cx="50317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3</xdr:col>
      <xdr:colOff>43164</xdr:colOff>
      <xdr:row>186</xdr:row>
      <xdr:rowOff>91691</xdr:rowOff>
    </xdr:from>
    <xdr:to>
      <xdr:col>3</xdr:col>
      <xdr:colOff>171691</xdr:colOff>
      <xdr:row>187</xdr:row>
      <xdr:rowOff>134187</xdr:rowOff>
    </xdr:to>
    <xdr:sp macro="" textlink="">
      <xdr:nvSpPr>
        <xdr:cNvPr id="247" name="Text Box 9081"/>
        <xdr:cNvSpPr txBox="1">
          <a:spLocks noChangeArrowheads="1"/>
        </xdr:cNvSpPr>
      </xdr:nvSpPr>
      <xdr:spPr bwMode="auto">
        <a:xfrm>
          <a:off x="1583729" y="36187300"/>
          <a:ext cx="128527" cy="232996"/>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a:t>
          </a:r>
        </a:p>
      </xdr:txBody>
    </xdr:sp>
    <xdr:clientData/>
  </xdr:twoCellAnchor>
  <xdr:twoCellAnchor>
    <xdr:from>
      <xdr:col>3</xdr:col>
      <xdr:colOff>474200</xdr:colOff>
      <xdr:row>186</xdr:row>
      <xdr:rowOff>189977</xdr:rowOff>
    </xdr:from>
    <xdr:to>
      <xdr:col>4</xdr:col>
      <xdr:colOff>427850</xdr:colOff>
      <xdr:row>186</xdr:row>
      <xdr:rowOff>189977</xdr:rowOff>
    </xdr:to>
    <xdr:sp macro="" textlink="">
      <xdr:nvSpPr>
        <xdr:cNvPr id="248" name="Line 9082"/>
        <xdr:cNvSpPr>
          <a:spLocks noChangeShapeType="1"/>
        </xdr:cNvSpPr>
      </xdr:nvSpPr>
      <xdr:spPr bwMode="auto">
        <a:xfrm>
          <a:off x="2014765" y="37809586"/>
          <a:ext cx="46717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7</xdr:col>
      <xdr:colOff>352425</xdr:colOff>
      <xdr:row>186</xdr:row>
      <xdr:rowOff>57150</xdr:rowOff>
    </xdr:from>
    <xdr:to>
      <xdr:col>7</xdr:col>
      <xdr:colOff>352425</xdr:colOff>
      <xdr:row>190</xdr:row>
      <xdr:rowOff>57150</xdr:rowOff>
    </xdr:to>
    <xdr:sp macro="" textlink="">
      <xdr:nvSpPr>
        <xdr:cNvPr id="249" name="Line 9085"/>
        <xdr:cNvSpPr>
          <a:spLocks noChangeShapeType="1"/>
        </xdr:cNvSpPr>
      </xdr:nvSpPr>
      <xdr:spPr bwMode="auto">
        <a:xfrm>
          <a:off x="3947077" y="36152759"/>
          <a:ext cx="0" cy="76200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85725</xdr:colOff>
      <xdr:row>185</xdr:row>
      <xdr:rowOff>76200</xdr:rowOff>
    </xdr:from>
    <xdr:to>
      <xdr:col>7</xdr:col>
      <xdr:colOff>390525</xdr:colOff>
      <xdr:row>186</xdr:row>
      <xdr:rowOff>65785</xdr:rowOff>
    </xdr:to>
    <xdr:sp macro="" textlink="">
      <xdr:nvSpPr>
        <xdr:cNvPr id="250" name="Text Box 9086"/>
        <xdr:cNvSpPr txBox="1">
          <a:spLocks noChangeArrowheads="1"/>
        </xdr:cNvSpPr>
      </xdr:nvSpPr>
      <xdr:spPr bwMode="auto">
        <a:xfrm>
          <a:off x="3680377" y="35981309"/>
          <a:ext cx="304800" cy="180085"/>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050" b="0" i="0" u="none" strike="noStrike" baseline="0">
              <a:solidFill>
                <a:srgbClr val="000000"/>
              </a:solidFill>
              <a:latin typeface="Garamond" pitchFamily="18" charset="0"/>
              <a:cs typeface="Arial"/>
            </a:rPr>
            <a:t>C/L</a:t>
          </a:r>
        </a:p>
      </xdr:txBody>
    </xdr:sp>
    <xdr:clientData/>
  </xdr:twoCellAnchor>
  <xdr:twoCellAnchor>
    <xdr:from>
      <xdr:col>4</xdr:col>
      <xdr:colOff>431036</xdr:colOff>
      <xdr:row>186</xdr:row>
      <xdr:rowOff>9525</xdr:rowOff>
    </xdr:from>
    <xdr:to>
      <xdr:col>4</xdr:col>
      <xdr:colOff>431036</xdr:colOff>
      <xdr:row>187</xdr:row>
      <xdr:rowOff>178566</xdr:rowOff>
    </xdr:to>
    <xdr:sp macro="" textlink="">
      <xdr:nvSpPr>
        <xdr:cNvPr id="251" name="Line 9073"/>
        <xdr:cNvSpPr>
          <a:spLocks noChangeShapeType="1"/>
        </xdr:cNvSpPr>
      </xdr:nvSpPr>
      <xdr:spPr bwMode="auto">
        <a:xfrm flipV="1">
          <a:off x="2485123" y="36105134"/>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4</xdr:col>
      <xdr:colOff>450811</xdr:colOff>
      <xdr:row>186</xdr:row>
      <xdr:rowOff>189977</xdr:rowOff>
    </xdr:from>
    <xdr:to>
      <xdr:col>5</xdr:col>
      <xdr:colOff>440461</xdr:colOff>
      <xdr:row>186</xdr:row>
      <xdr:rowOff>189977</xdr:rowOff>
    </xdr:to>
    <xdr:sp macro="" textlink="">
      <xdr:nvSpPr>
        <xdr:cNvPr id="252" name="Line 9080"/>
        <xdr:cNvSpPr>
          <a:spLocks noChangeShapeType="1"/>
        </xdr:cNvSpPr>
      </xdr:nvSpPr>
      <xdr:spPr bwMode="auto">
        <a:xfrm>
          <a:off x="2504898" y="36285586"/>
          <a:ext cx="50317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5</xdr:col>
      <xdr:colOff>421139</xdr:colOff>
      <xdr:row>186</xdr:row>
      <xdr:rowOff>10766</xdr:rowOff>
    </xdr:from>
    <xdr:to>
      <xdr:col>5</xdr:col>
      <xdr:colOff>421139</xdr:colOff>
      <xdr:row>187</xdr:row>
      <xdr:rowOff>160759</xdr:rowOff>
    </xdr:to>
    <xdr:sp macro="" textlink="">
      <xdr:nvSpPr>
        <xdr:cNvPr id="253" name="Line 9074"/>
        <xdr:cNvSpPr>
          <a:spLocks noChangeShapeType="1"/>
        </xdr:cNvSpPr>
      </xdr:nvSpPr>
      <xdr:spPr bwMode="auto">
        <a:xfrm flipV="1">
          <a:off x="2988748" y="37630375"/>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5</xdr:col>
      <xdr:colOff>449352</xdr:colOff>
      <xdr:row>186</xdr:row>
      <xdr:rowOff>181694</xdr:rowOff>
    </xdr:from>
    <xdr:to>
      <xdr:col>6</xdr:col>
      <xdr:colOff>403003</xdr:colOff>
      <xdr:row>186</xdr:row>
      <xdr:rowOff>181694</xdr:rowOff>
    </xdr:to>
    <xdr:sp macro="" textlink="">
      <xdr:nvSpPr>
        <xdr:cNvPr id="254" name="Line 9082"/>
        <xdr:cNvSpPr>
          <a:spLocks noChangeShapeType="1"/>
        </xdr:cNvSpPr>
      </xdr:nvSpPr>
      <xdr:spPr bwMode="auto">
        <a:xfrm>
          <a:off x="3016961" y="37801303"/>
          <a:ext cx="46717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5</xdr:col>
      <xdr:colOff>33131</xdr:colOff>
      <xdr:row>186</xdr:row>
      <xdr:rowOff>66261</xdr:rowOff>
    </xdr:from>
    <xdr:to>
      <xdr:col>5</xdr:col>
      <xdr:colOff>161658</xdr:colOff>
      <xdr:row>187</xdr:row>
      <xdr:rowOff>108757</xdr:rowOff>
    </xdr:to>
    <xdr:sp macro="" textlink="">
      <xdr:nvSpPr>
        <xdr:cNvPr id="255" name="Text Box 9081"/>
        <xdr:cNvSpPr txBox="1">
          <a:spLocks noChangeArrowheads="1"/>
        </xdr:cNvSpPr>
      </xdr:nvSpPr>
      <xdr:spPr bwMode="auto">
        <a:xfrm>
          <a:off x="2600740" y="37685870"/>
          <a:ext cx="128527" cy="232996"/>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a:t>
          </a:r>
        </a:p>
      </xdr:txBody>
    </xdr:sp>
    <xdr:clientData/>
  </xdr:twoCellAnchor>
  <xdr:twoCellAnchor>
    <xdr:from>
      <xdr:col>6</xdr:col>
      <xdr:colOff>404575</xdr:colOff>
      <xdr:row>186</xdr:row>
      <xdr:rowOff>27332</xdr:rowOff>
    </xdr:from>
    <xdr:to>
      <xdr:col>6</xdr:col>
      <xdr:colOff>404575</xdr:colOff>
      <xdr:row>187</xdr:row>
      <xdr:rowOff>177325</xdr:rowOff>
    </xdr:to>
    <xdr:sp macro="" textlink="">
      <xdr:nvSpPr>
        <xdr:cNvPr id="256" name="Line 9074"/>
        <xdr:cNvSpPr>
          <a:spLocks noChangeShapeType="1"/>
        </xdr:cNvSpPr>
      </xdr:nvSpPr>
      <xdr:spPr bwMode="auto">
        <a:xfrm flipV="1">
          <a:off x="3485705" y="37646941"/>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0</xdr:col>
      <xdr:colOff>352787</xdr:colOff>
      <xdr:row>195</xdr:row>
      <xdr:rowOff>1047</xdr:rowOff>
    </xdr:from>
    <xdr:to>
      <xdr:col>8</xdr:col>
      <xdr:colOff>190362</xdr:colOff>
      <xdr:row>195</xdr:row>
      <xdr:rowOff>189663</xdr:rowOff>
    </xdr:to>
    <xdr:sp macro="" textlink="">
      <xdr:nvSpPr>
        <xdr:cNvPr id="257" name="Freeform 9071"/>
        <xdr:cNvSpPr>
          <a:spLocks/>
        </xdr:cNvSpPr>
      </xdr:nvSpPr>
      <xdr:spPr bwMode="auto">
        <a:xfrm>
          <a:off x="352787" y="37811156"/>
          <a:ext cx="3945749" cy="188616"/>
        </a:xfrm>
        <a:custGeom>
          <a:avLst/>
          <a:gdLst>
            <a:gd name="T0" fmla="*/ 0 w 213"/>
            <a:gd name="T1" fmla="*/ 23 h 16"/>
            <a:gd name="T2" fmla="*/ 0 w 213"/>
            <a:gd name="T3" fmla="*/ 0 h 16"/>
            <a:gd name="T4" fmla="*/ 157 w 213"/>
            <a:gd name="T5" fmla="*/ 0 h 16"/>
            <a:gd name="T6" fmla="*/ 220 w 213"/>
            <a:gd name="T7" fmla="*/ 23 h 16"/>
            <a:gd name="T8" fmla="*/ 3296 w 213"/>
            <a:gd name="T9" fmla="*/ 23 h 16"/>
            <a:gd name="T10" fmla="*/ 0 60000 65536"/>
            <a:gd name="T11" fmla="*/ 0 60000 65536"/>
            <a:gd name="T12" fmla="*/ 0 60000 65536"/>
            <a:gd name="T13" fmla="*/ 0 60000 65536"/>
            <a:gd name="T14" fmla="*/ 0 60000 65536"/>
            <a:gd name="T15" fmla="*/ 0 w 213"/>
            <a:gd name="T16" fmla="*/ 0 h 16"/>
            <a:gd name="T17" fmla="*/ 213 w 213"/>
            <a:gd name="T18" fmla="*/ 16 h 16"/>
            <a:gd name="connsiteX0" fmla="*/ 0 w 12691"/>
            <a:gd name="connsiteY0" fmla="*/ 10000 h 10000"/>
            <a:gd name="connsiteX1" fmla="*/ 0 w 12691"/>
            <a:gd name="connsiteY1" fmla="*/ 0 h 10000"/>
            <a:gd name="connsiteX2" fmla="*/ 469 w 12691"/>
            <a:gd name="connsiteY2" fmla="*/ 0 h 10000"/>
            <a:gd name="connsiteX3" fmla="*/ 657 w 12691"/>
            <a:gd name="connsiteY3" fmla="*/ 10000 h 10000"/>
            <a:gd name="connsiteX4" fmla="*/ 12691 w 12691"/>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91" h="10000">
              <a:moveTo>
                <a:pt x="0" y="10000"/>
              </a:moveTo>
              <a:lnTo>
                <a:pt x="0" y="0"/>
              </a:lnTo>
              <a:lnTo>
                <a:pt x="469" y="0"/>
              </a:lnTo>
              <a:cubicBezTo>
                <a:pt x="532" y="3333"/>
                <a:pt x="594" y="6667"/>
                <a:pt x="657" y="10000"/>
              </a:cubicBezTo>
              <a:lnTo>
                <a:pt x="12691" y="10000"/>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1</xdr:col>
      <xdr:colOff>500484</xdr:colOff>
      <xdr:row>194</xdr:row>
      <xdr:rowOff>19049</xdr:rowOff>
    </xdr:from>
    <xdr:to>
      <xdr:col>1</xdr:col>
      <xdr:colOff>500484</xdr:colOff>
      <xdr:row>195</xdr:row>
      <xdr:rowOff>178566</xdr:rowOff>
    </xdr:to>
    <xdr:sp macro="" textlink="">
      <xdr:nvSpPr>
        <xdr:cNvPr id="258" name="Line 9072"/>
        <xdr:cNvSpPr>
          <a:spLocks noChangeShapeType="1"/>
        </xdr:cNvSpPr>
      </xdr:nvSpPr>
      <xdr:spPr bwMode="auto">
        <a:xfrm flipV="1">
          <a:off x="1014006" y="37638658"/>
          <a:ext cx="0" cy="350017"/>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2</xdr:col>
      <xdr:colOff>431036</xdr:colOff>
      <xdr:row>194</xdr:row>
      <xdr:rowOff>9525</xdr:rowOff>
    </xdr:from>
    <xdr:to>
      <xdr:col>2</xdr:col>
      <xdr:colOff>431036</xdr:colOff>
      <xdr:row>195</xdr:row>
      <xdr:rowOff>178566</xdr:rowOff>
    </xdr:to>
    <xdr:sp macro="" textlink="">
      <xdr:nvSpPr>
        <xdr:cNvPr id="259" name="Line 9073"/>
        <xdr:cNvSpPr>
          <a:spLocks noChangeShapeType="1"/>
        </xdr:cNvSpPr>
      </xdr:nvSpPr>
      <xdr:spPr bwMode="auto">
        <a:xfrm flipV="1">
          <a:off x="1458079" y="37629134"/>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3</xdr:col>
      <xdr:colOff>445987</xdr:colOff>
      <xdr:row>194</xdr:row>
      <xdr:rowOff>19049</xdr:rowOff>
    </xdr:from>
    <xdr:to>
      <xdr:col>3</xdr:col>
      <xdr:colOff>445987</xdr:colOff>
      <xdr:row>195</xdr:row>
      <xdr:rowOff>169042</xdr:rowOff>
    </xdr:to>
    <xdr:sp macro="" textlink="">
      <xdr:nvSpPr>
        <xdr:cNvPr id="260" name="Line 9074"/>
        <xdr:cNvSpPr>
          <a:spLocks noChangeShapeType="1"/>
        </xdr:cNvSpPr>
      </xdr:nvSpPr>
      <xdr:spPr bwMode="auto">
        <a:xfrm flipV="1">
          <a:off x="1986552" y="37638658"/>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194</xdr:row>
      <xdr:rowOff>104774</xdr:rowOff>
    </xdr:from>
    <xdr:to>
      <xdr:col>1</xdr:col>
      <xdr:colOff>45696</xdr:colOff>
      <xdr:row>198</xdr:row>
      <xdr:rowOff>95249</xdr:rowOff>
    </xdr:to>
    <xdr:sp macro="" textlink="">
      <xdr:nvSpPr>
        <xdr:cNvPr id="261" name="Line 9076"/>
        <xdr:cNvSpPr>
          <a:spLocks noChangeShapeType="1"/>
        </xdr:cNvSpPr>
      </xdr:nvSpPr>
      <xdr:spPr bwMode="auto">
        <a:xfrm flipV="1">
          <a:off x="559218" y="37724383"/>
          <a:ext cx="0" cy="752475"/>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352425</xdr:colOff>
      <xdr:row>195</xdr:row>
      <xdr:rowOff>134187</xdr:rowOff>
    </xdr:from>
    <xdr:to>
      <xdr:col>0</xdr:col>
      <xdr:colOff>352425</xdr:colOff>
      <xdr:row>198</xdr:row>
      <xdr:rowOff>73060</xdr:rowOff>
    </xdr:to>
    <xdr:sp macro="" textlink="">
      <xdr:nvSpPr>
        <xdr:cNvPr id="262" name="Line 9077"/>
        <xdr:cNvSpPr>
          <a:spLocks noChangeShapeType="1"/>
        </xdr:cNvSpPr>
      </xdr:nvSpPr>
      <xdr:spPr bwMode="auto">
        <a:xfrm>
          <a:off x="352425" y="37944296"/>
          <a:ext cx="0" cy="510373"/>
        </a:xfrm>
        <a:prstGeom prst="line">
          <a:avLst/>
        </a:prstGeom>
        <a:noFill/>
        <a:ln w="6350">
          <a:solidFill>
            <a:srgbClr val="0000FF"/>
          </a:solidFill>
          <a:prstDash val="sysDot"/>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45696</xdr:colOff>
      <xdr:row>194</xdr:row>
      <xdr:rowOff>189977</xdr:rowOff>
    </xdr:from>
    <xdr:to>
      <xdr:col>1</xdr:col>
      <xdr:colOff>490598</xdr:colOff>
      <xdr:row>194</xdr:row>
      <xdr:rowOff>189977</xdr:rowOff>
    </xdr:to>
    <xdr:sp macro="" textlink="">
      <xdr:nvSpPr>
        <xdr:cNvPr id="263" name="Line 9078"/>
        <xdr:cNvSpPr>
          <a:spLocks noChangeShapeType="1"/>
        </xdr:cNvSpPr>
      </xdr:nvSpPr>
      <xdr:spPr bwMode="auto">
        <a:xfrm>
          <a:off x="559218" y="37809586"/>
          <a:ext cx="44490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1</xdr:col>
      <xdr:colOff>510009</xdr:colOff>
      <xdr:row>194</xdr:row>
      <xdr:rowOff>189977</xdr:rowOff>
    </xdr:from>
    <xdr:to>
      <xdr:col>2</xdr:col>
      <xdr:colOff>430674</xdr:colOff>
      <xdr:row>194</xdr:row>
      <xdr:rowOff>189977</xdr:rowOff>
    </xdr:to>
    <xdr:sp macro="" textlink="">
      <xdr:nvSpPr>
        <xdr:cNvPr id="264" name="Line 9079"/>
        <xdr:cNvSpPr>
          <a:spLocks noChangeShapeType="1"/>
        </xdr:cNvSpPr>
      </xdr:nvSpPr>
      <xdr:spPr bwMode="auto">
        <a:xfrm>
          <a:off x="1023531" y="37809586"/>
          <a:ext cx="434186"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2</xdr:col>
      <xdr:colOff>450811</xdr:colOff>
      <xdr:row>194</xdr:row>
      <xdr:rowOff>189977</xdr:rowOff>
    </xdr:from>
    <xdr:to>
      <xdr:col>3</xdr:col>
      <xdr:colOff>440461</xdr:colOff>
      <xdr:row>194</xdr:row>
      <xdr:rowOff>189977</xdr:rowOff>
    </xdr:to>
    <xdr:sp macro="" textlink="">
      <xdr:nvSpPr>
        <xdr:cNvPr id="265" name="Line 9080"/>
        <xdr:cNvSpPr>
          <a:spLocks noChangeShapeType="1"/>
        </xdr:cNvSpPr>
      </xdr:nvSpPr>
      <xdr:spPr bwMode="auto">
        <a:xfrm>
          <a:off x="1477854" y="37809586"/>
          <a:ext cx="50317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3</xdr:col>
      <xdr:colOff>43164</xdr:colOff>
      <xdr:row>194</xdr:row>
      <xdr:rowOff>91691</xdr:rowOff>
    </xdr:from>
    <xdr:to>
      <xdr:col>3</xdr:col>
      <xdr:colOff>171691</xdr:colOff>
      <xdr:row>195</xdr:row>
      <xdr:rowOff>134187</xdr:rowOff>
    </xdr:to>
    <xdr:sp macro="" textlink="">
      <xdr:nvSpPr>
        <xdr:cNvPr id="266" name="Text Box 9081"/>
        <xdr:cNvSpPr txBox="1">
          <a:spLocks noChangeArrowheads="1"/>
        </xdr:cNvSpPr>
      </xdr:nvSpPr>
      <xdr:spPr bwMode="auto">
        <a:xfrm>
          <a:off x="1583729" y="37711300"/>
          <a:ext cx="128527" cy="232996"/>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a:t>
          </a:r>
        </a:p>
      </xdr:txBody>
    </xdr:sp>
    <xdr:clientData/>
  </xdr:twoCellAnchor>
  <xdr:twoCellAnchor>
    <xdr:from>
      <xdr:col>3</xdr:col>
      <xdr:colOff>474200</xdr:colOff>
      <xdr:row>194</xdr:row>
      <xdr:rowOff>189977</xdr:rowOff>
    </xdr:from>
    <xdr:to>
      <xdr:col>4</xdr:col>
      <xdr:colOff>427850</xdr:colOff>
      <xdr:row>194</xdr:row>
      <xdr:rowOff>189977</xdr:rowOff>
    </xdr:to>
    <xdr:sp macro="" textlink="">
      <xdr:nvSpPr>
        <xdr:cNvPr id="267" name="Line 9082"/>
        <xdr:cNvSpPr>
          <a:spLocks noChangeShapeType="1"/>
        </xdr:cNvSpPr>
      </xdr:nvSpPr>
      <xdr:spPr bwMode="auto">
        <a:xfrm>
          <a:off x="2014765" y="37809586"/>
          <a:ext cx="46717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7</xdr:col>
      <xdr:colOff>352425</xdr:colOff>
      <xdr:row>194</xdr:row>
      <xdr:rowOff>57150</xdr:rowOff>
    </xdr:from>
    <xdr:to>
      <xdr:col>7</xdr:col>
      <xdr:colOff>352425</xdr:colOff>
      <xdr:row>198</xdr:row>
      <xdr:rowOff>57150</xdr:rowOff>
    </xdr:to>
    <xdr:sp macro="" textlink="">
      <xdr:nvSpPr>
        <xdr:cNvPr id="268" name="Line 9085"/>
        <xdr:cNvSpPr>
          <a:spLocks noChangeShapeType="1"/>
        </xdr:cNvSpPr>
      </xdr:nvSpPr>
      <xdr:spPr bwMode="auto">
        <a:xfrm>
          <a:off x="3947077" y="37676759"/>
          <a:ext cx="0" cy="76200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85725</xdr:colOff>
      <xdr:row>193</xdr:row>
      <xdr:rowOff>76200</xdr:rowOff>
    </xdr:from>
    <xdr:to>
      <xdr:col>7</xdr:col>
      <xdr:colOff>390525</xdr:colOff>
      <xdr:row>194</xdr:row>
      <xdr:rowOff>65785</xdr:rowOff>
    </xdr:to>
    <xdr:sp macro="" textlink="">
      <xdr:nvSpPr>
        <xdr:cNvPr id="269" name="Text Box 9086"/>
        <xdr:cNvSpPr txBox="1">
          <a:spLocks noChangeArrowheads="1"/>
        </xdr:cNvSpPr>
      </xdr:nvSpPr>
      <xdr:spPr bwMode="auto">
        <a:xfrm>
          <a:off x="3680377" y="37505309"/>
          <a:ext cx="304800" cy="180085"/>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050" b="0" i="0" u="none" strike="noStrike" baseline="0">
              <a:solidFill>
                <a:srgbClr val="000000"/>
              </a:solidFill>
              <a:latin typeface="Garamond" pitchFamily="18" charset="0"/>
              <a:cs typeface="Arial"/>
            </a:rPr>
            <a:t>C/L</a:t>
          </a:r>
        </a:p>
      </xdr:txBody>
    </xdr:sp>
    <xdr:clientData/>
  </xdr:twoCellAnchor>
  <xdr:twoCellAnchor>
    <xdr:from>
      <xdr:col>4</xdr:col>
      <xdr:colOff>431036</xdr:colOff>
      <xdr:row>194</xdr:row>
      <xdr:rowOff>9525</xdr:rowOff>
    </xdr:from>
    <xdr:to>
      <xdr:col>4</xdr:col>
      <xdr:colOff>431036</xdr:colOff>
      <xdr:row>195</xdr:row>
      <xdr:rowOff>178566</xdr:rowOff>
    </xdr:to>
    <xdr:sp macro="" textlink="">
      <xdr:nvSpPr>
        <xdr:cNvPr id="270" name="Line 9073"/>
        <xdr:cNvSpPr>
          <a:spLocks noChangeShapeType="1"/>
        </xdr:cNvSpPr>
      </xdr:nvSpPr>
      <xdr:spPr bwMode="auto">
        <a:xfrm flipV="1">
          <a:off x="2485123" y="37629134"/>
          <a:ext cx="0" cy="359541"/>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4</xdr:col>
      <xdr:colOff>450811</xdr:colOff>
      <xdr:row>194</xdr:row>
      <xdr:rowOff>189977</xdr:rowOff>
    </xdr:from>
    <xdr:to>
      <xdr:col>5</xdr:col>
      <xdr:colOff>440461</xdr:colOff>
      <xdr:row>194</xdr:row>
      <xdr:rowOff>189977</xdr:rowOff>
    </xdr:to>
    <xdr:sp macro="" textlink="">
      <xdr:nvSpPr>
        <xdr:cNvPr id="271" name="Line 9080"/>
        <xdr:cNvSpPr>
          <a:spLocks noChangeShapeType="1"/>
        </xdr:cNvSpPr>
      </xdr:nvSpPr>
      <xdr:spPr bwMode="auto">
        <a:xfrm>
          <a:off x="2504898" y="37809586"/>
          <a:ext cx="50317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5</xdr:col>
      <xdr:colOff>421139</xdr:colOff>
      <xdr:row>194</xdr:row>
      <xdr:rowOff>10766</xdr:rowOff>
    </xdr:from>
    <xdr:to>
      <xdr:col>5</xdr:col>
      <xdr:colOff>421139</xdr:colOff>
      <xdr:row>195</xdr:row>
      <xdr:rowOff>160759</xdr:rowOff>
    </xdr:to>
    <xdr:sp macro="" textlink="">
      <xdr:nvSpPr>
        <xdr:cNvPr id="272" name="Line 9074"/>
        <xdr:cNvSpPr>
          <a:spLocks noChangeShapeType="1"/>
        </xdr:cNvSpPr>
      </xdr:nvSpPr>
      <xdr:spPr bwMode="auto">
        <a:xfrm flipV="1">
          <a:off x="2988748" y="37630375"/>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twoCellAnchor>
    <xdr:from>
      <xdr:col>5</xdr:col>
      <xdr:colOff>449352</xdr:colOff>
      <xdr:row>194</xdr:row>
      <xdr:rowOff>181694</xdr:rowOff>
    </xdr:from>
    <xdr:to>
      <xdr:col>6</xdr:col>
      <xdr:colOff>403003</xdr:colOff>
      <xdr:row>194</xdr:row>
      <xdr:rowOff>181694</xdr:rowOff>
    </xdr:to>
    <xdr:sp macro="" textlink="">
      <xdr:nvSpPr>
        <xdr:cNvPr id="273" name="Line 9082"/>
        <xdr:cNvSpPr>
          <a:spLocks noChangeShapeType="1"/>
        </xdr:cNvSpPr>
      </xdr:nvSpPr>
      <xdr:spPr bwMode="auto">
        <a:xfrm>
          <a:off x="3016961" y="37801303"/>
          <a:ext cx="467172"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5</xdr:col>
      <xdr:colOff>33131</xdr:colOff>
      <xdr:row>194</xdr:row>
      <xdr:rowOff>66261</xdr:rowOff>
    </xdr:from>
    <xdr:to>
      <xdr:col>5</xdr:col>
      <xdr:colOff>161658</xdr:colOff>
      <xdr:row>195</xdr:row>
      <xdr:rowOff>108757</xdr:rowOff>
    </xdr:to>
    <xdr:sp macro="" textlink="">
      <xdr:nvSpPr>
        <xdr:cNvPr id="274" name="Text Box 9081"/>
        <xdr:cNvSpPr txBox="1">
          <a:spLocks noChangeArrowheads="1"/>
        </xdr:cNvSpPr>
      </xdr:nvSpPr>
      <xdr:spPr bwMode="auto">
        <a:xfrm>
          <a:off x="2600740" y="37685870"/>
          <a:ext cx="128527" cy="232996"/>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a:t>
          </a:r>
        </a:p>
      </xdr:txBody>
    </xdr:sp>
    <xdr:clientData/>
  </xdr:twoCellAnchor>
  <xdr:twoCellAnchor>
    <xdr:from>
      <xdr:col>6</xdr:col>
      <xdr:colOff>404575</xdr:colOff>
      <xdr:row>194</xdr:row>
      <xdr:rowOff>27332</xdr:rowOff>
    </xdr:from>
    <xdr:to>
      <xdr:col>6</xdr:col>
      <xdr:colOff>404575</xdr:colOff>
      <xdr:row>195</xdr:row>
      <xdr:rowOff>177325</xdr:rowOff>
    </xdr:to>
    <xdr:sp macro="" textlink="">
      <xdr:nvSpPr>
        <xdr:cNvPr id="275" name="Line 9074"/>
        <xdr:cNvSpPr>
          <a:spLocks noChangeShapeType="1"/>
        </xdr:cNvSpPr>
      </xdr:nvSpPr>
      <xdr:spPr bwMode="auto">
        <a:xfrm flipV="1">
          <a:off x="3485705" y="37646941"/>
          <a:ext cx="0" cy="340493"/>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47625</xdr:colOff>
      <xdr:row>1</xdr:row>
      <xdr:rowOff>171450</xdr:rowOff>
    </xdr:from>
    <xdr:to>
      <xdr:col>3</xdr:col>
      <xdr:colOff>171450</xdr:colOff>
      <xdr:row>5</xdr:row>
      <xdr:rowOff>66675</xdr:rowOff>
    </xdr:to>
    <xdr:sp macro="" textlink="">
      <xdr:nvSpPr>
        <xdr:cNvPr id="2" name="AutoShape 1699"/>
        <xdr:cNvSpPr>
          <a:spLocks/>
        </xdr:cNvSpPr>
      </xdr:nvSpPr>
      <xdr:spPr bwMode="auto">
        <a:xfrm>
          <a:off x="1590675" y="62350650"/>
          <a:ext cx="123825" cy="657225"/>
        </a:xfrm>
        <a:prstGeom prst="leftBrace">
          <a:avLst>
            <a:gd name="adj1" fmla="val 44231"/>
            <a:gd name="adj2" fmla="val 50000"/>
          </a:avLst>
        </a:pr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495300</xdr:colOff>
      <xdr:row>1</xdr:row>
      <xdr:rowOff>0</xdr:rowOff>
    </xdr:from>
    <xdr:to>
      <xdr:col>6</xdr:col>
      <xdr:colOff>457200</xdr:colOff>
      <xdr:row>2</xdr:row>
      <xdr:rowOff>161924</xdr:rowOff>
    </xdr:to>
    <xdr:sp macro="" textlink="">
      <xdr:nvSpPr>
        <xdr:cNvPr id="2" name="Freeform 438"/>
        <xdr:cNvSpPr>
          <a:spLocks/>
        </xdr:cNvSpPr>
      </xdr:nvSpPr>
      <xdr:spPr bwMode="auto">
        <a:xfrm>
          <a:off x="3581400" y="1142999"/>
          <a:ext cx="476250" cy="352425"/>
        </a:xfrm>
        <a:custGeom>
          <a:avLst/>
          <a:gdLst>
            <a:gd name="T0" fmla="*/ 0 w 42"/>
            <a:gd name="T1" fmla="*/ 2147483647 h 31"/>
            <a:gd name="T2" fmla="*/ 2147483647 w 42"/>
            <a:gd name="T3" fmla="*/ 2147483647 h 31"/>
            <a:gd name="T4" fmla="*/ 2147483647 w 42"/>
            <a:gd name="T5" fmla="*/ 0 h 31"/>
            <a:gd name="T6" fmla="*/ 2147483647 w 42"/>
            <a:gd name="T7" fmla="*/ 0 h 31"/>
            <a:gd name="T8" fmla="*/ 0 60000 65536"/>
            <a:gd name="T9" fmla="*/ 0 60000 65536"/>
            <a:gd name="T10" fmla="*/ 0 60000 65536"/>
            <a:gd name="T11" fmla="*/ 0 60000 65536"/>
            <a:gd name="T12" fmla="*/ 0 w 42"/>
            <a:gd name="T13" fmla="*/ 0 h 31"/>
            <a:gd name="T14" fmla="*/ 42 w 42"/>
            <a:gd name="T15" fmla="*/ 31 h 31"/>
          </a:gdLst>
          <a:ahLst/>
          <a:cxnLst>
            <a:cxn ang="T8">
              <a:pos x="T0" y="T1"/>
            </a:cxn>
            <a:cxn ang="T9">
              <a:pos x="T2" y="T3"/>
            </a:cxn>
            <a:cxn ang="T10">
              <a:pos x="T4" y="T5"/>
            </a:cxn>
            <a:cxn ang="T11">
              <a:pos x="T6" y="T7"/>
            </a:cxn>
          </a:cxnLst>
          <a:rect l="T12" t="T13" r="T14" b="T15"/>
          <a:pathLst>
            <a:path w="42" h="31">
              <a:moveTo>
                <a:pt x="0" y="25"/>
              </a:moveTo>
              <a:lnTo>
                <a:pt x="6" y="31"/>
              </a:lnTo>
              <a:lnTo>
                <a:pt x="11" y="0"/>
              </a:lnTo>
              <a:lnTo>
                <a:pt x="42" y="0"/>
              </a:ln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8</xdr:col>
      <xdr:colOff>142875</xdr:colOff>
      <xdr:row>12</xdr:row>
      <xdr:rowOff>0</xdr:rowOff>
    </xdr:from>
    <xdr:to>
      <xdr:col>8</xdr:col>
      <xdr:colOff>142875</xdr:colOff>
      <xdr:row>19</xdr:row>
      <xdr:rowOff>209550</xdr:rowOff>
    </xdr:to>
    <xdr:sp macro="" textlink="">
      <xdr:nvSpPr>
        <xdr:cNvPr id="3" name="Line 439"/>
        <xdr:cNvSpPr>
          <a:spLocks noChangeShapeType="1"/>
        </xdr:cNvSpPr>
      </xdr:nvSpPr>
      <xdr:spPr bwMode="auto">
        <a:xfrm>
          <a:off x="4257675" y="2476500"/>
          <a:ext cx="0" cy="13335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457200</xdr:colOff>
      <xdr:row>20</xdr:row>
      <xdr:rowOff>0</xdr:rowOff>
    </xdr:from>
    <xdr:to>
      <xdr:col>8</xdr:col>
      <xdr:colOff>209550</xdr:colOff>
      <xdr:row>20</xdr:row>
      <xdr:rowOff>0</xdr:rowOff>
    </xdr:to>
    <xdr:sp macro="" textlink="">
      <xdr:nvSpPr>
        <xdr:cNvPr id="4" name="Line 440"/>
        <xdr:cNvSpPr>
          <a:spLocks noChangeShapeType="1"/>
        </xdr:cNvSpPr>
      </xdr:nvSpPr>
      <xdr:spPr bwMode="auto">
        <a:xfrm>
          <a:off x="4057650" y="3810000"/>
          <a:ext cx="26670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419100</xdr:colOff>
      <xdr:row>12</xdr:row>
      <xdr:rowOff>0</xdr:rowOff>
    </xdr:from>
    <xdr:to>
      <xdr:col>8</xdr:col>
      <xdr:colOff>152400</xdr:colOff>
      <xdr:row>12</xdr:row>
      <xdr:rowOff>0</xdr:rowOff>
    </xdr:to>
    <xdr:sp macro="" textlink="">
      <xdr:nvSpPr>
        <xdr:cNvPr id="5" name="Line 441"/>
        <xdr:cNvSpPr>
          <a:spLocks noChangeShapeType="1"/>
        </xdr:cNvSpPr>
      </xdr:nvSpPr>
      <xdr:spPr bwMode="auto">
        <a:xfrm>
          <a:off x="4019550" y="2476500"/>
          <a:ext cx="247650" cy="0"/>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clientData/>
  </xdr:twoCellAnchor>
  <xdr:twoCellAnchor>
    <xdr:from>
      <xdr:col>7</xdr:col>
      <xdr:colOff>66675</xdr:colOff>
      <xdr:row>14</xdr:row>
      <xdr:rowOff>0</xdr:rowOff>
    </xdr:from>
    <xdr:to>
      <xdr:col>8</xdr:col>
      <xdr:colOff>381000</xdr:colOff>
      <xdr:row>14</xdr:row>
      <xdr:rowOff>0</xdr:rowOff>
    </xdr:to>
    <xdr:sp macro="" textlink="">
      <xdr:nvSpPr>
        <xdr:cNvPr id="6" name="Line 442"/>
        <xdr:cNvSpPr>
          <a:spLocks noChangeShapeType="1"/>
        </xdr:cNvSpPr>
      </xdr:nvSpPr>
      <xdr:spPr bwMode="auto">
        <a:xfrm flipV="1">
          <a:off x="3667125" y="2857500"/>
          <a:ext cx="82867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6</xdr:col>
      <xdr:colOff>66675</xdr:colOff>
      <xdr:row>13</xdr:row>
      <xdr:rowOff>0</xdr:rowOff>
    </xdr:from>
    <xdr:to>
      <xdr:col>7</xdr:col>
      <xdr:colOff>497584</xdr:colOff>
      <xdr:row>14</xdr:row>
      <xdr:rowOff>8635</xdr:rowOff>
    </xdr:to>
    <xdr:sp macro="" textlink="">
      <xdr:nvSpPr>
        <xdr:cNvPr id="7" name="Text Box 443"/>
        <xdr:cNvSpPr txBox="1">
          <a:spLocks noChangeArrowheads="1"/>
        </xdr:cNvSpPr>
      </xdr:nvSpPr>
      <xdr:spPr bwMode="auto">
        <a:xfrm>
          <a:off x="3152775" y="2667000"/>
          <a:ext cx="945259" cy="199135"/>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100" b="0" i="0" u="none" strike="noStrike" baseline="0">
              <a:solidFill>
                <a:srgbClr val="000000"/>
              </a:solidFill>
              <a:latin typeface="Garamond" pitchFamily="18" charset="0"/>
              <a:cs typeface="Arial"/>
            </a:rPr>
            <a:t>Top of Pier cap</a:t>
          </a:r>
        </a:p>
      </xdr:txBody>
    </xdr:sp>
    <xdr:clientData/>
  </xdr:twoCellAnchor>
  <xdr:twoCellAnchor>
    <xdr:from>
      <xdr:col>8</xdr:col>
      <xdr:colOff>0</xdr:colOff>
      <xdr:row>11</xdr:row>
      <xdr:rowOff>66675</xdr:rowOff>
    </xdr:from>
    <xdr:to>
      <xdr:col>8</xdr:col>
      <xdr:colOff>96821</xdr:colOff>
      <xdr:row>12</xdr:row>
      <xdr:rowOff>46735</xdr:rowOff>
    </xdr:to>
    <xdr:sp macro="" textlink="">
      <xdr:nvSpPr>
        <xdr:cNvPr id="8" name="Text Box 444"/>
        <xdr:cNvSpPr txBox="1">
          <a:spLocks noChangeArrowheads="1"/>
        </xdr:cNvSpPr>
      </xdr:nvSpPr>
      <xdr:spPr bwMode="auto">
        <a:xfrm>
          <a:off x="4114800" y="2352675"/>
          <a:ext cx="96821" cy="170560"/>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000" b="0" i="0" u="none" strike="noStrike" baseline="0">
              <a:solidFill>
                <a:srgbClr val="000000"/>
              </a:solidFill>
              <a:latin typeface="Arial"/>
              <a:cs typeface="Arial"/>
            </a:rPr>
            <a:t>F</a:t>
          </a:r>
        </a:p>
      </xdr:txBody>
    </xdr:sp>
    <xdr:clientData/>
  </xdr:twoCellAnchor>
  <xdr:twoCellAnchor>
    <xdr:from>
      <xdr:col>8</xdr:col>
      <xdr:colOff>125322</xdr:colOff>
      <xdr:row>12</xdr:row>
      <xdr:rowOff>9495</xdr:rowOff>
    </xdr:from>
    <xdr:to>
      <xdr:col>10</xdr:col>
      <xdr:colOff>49122</xdr:colOff>
      <xdr:row>19</xdr:row>
      <xdr:rowOff>207795</xdr:rowOff>
    </xdr:to>
    <xdr:sp macro="" textlink="">
      <xdr:nvSpPr>
        <xdr:cNvPr id="9" name="Arc 445"/>
        <xdr:cNvSpPr>
          <a:spLocks/>
        </xdr:cNvSpPr>
      </xdr:nvSpPr>
      <xdr:spPr bwMode="auto">
        <a:xfrm rot="-5538391">
          <a:off x="4055247" y="2670870"/>
          <a:ext cx="1322250" cy="952500"/>
        </a:xfrm>
        <a:custGeom>
          <a:avLst/>
          <a:gdLst>
            <a:gd name="T0" fmla="*/ 0 w 17466"/>
            <a:gd name="T1" fmla="*/ 0 h 21600"/>
            <a:gd name="T2" fmla="*/ 2147483647 w 17466"/>
            <a:gd name="T3" fmla="*/ 2147483647 h 21600"/>
            <a:gd name="T4" fmla="*/ 0 w 17466"/>
            <a:gd name="T5" fmla="*/ 2147483647 h 21600"/>
            <a:gd name="T6" fmla="*/ 0 60000 65536"/>
            <a:gd name="T7" fmla="*/ 0 60000 65536"/>
            <a:gd name="T8" fmla="*/ 0 60000 65536"/>
            <a:gd name="T9" fmla="*/ 0 w 17466"/>
            <a:gd name="T10" fmla="*/ 0 h 21600"/>
            <a:gd name="T11" fmla="*/ 17466 w 17466"/>
            <a:gd name="T12" fmla="*/ 21600 h 21600"/>
          </a:gdLst>
          <a:ahLst/>
          <a:cxnLst>
            <a:cxn ang="T6">
              <a:pos x="T0" y="T1"/>
            </a:cxn>
            <a:cxn ang="T7">
              <a:pos x="T2" y="T3"/>
            </a:cxn>
            <a:cxn ang="T8">
              <a:pos x="T4" y="T5"/>
            </a:cxn>
          </a:cxnLst>
          <a:rect l="T9" t="T10" r="T11" b="T12"/>
          <a:pathLst>
            <a:path w="17466" h="21600" fill="none" extrusionOk="0">
              <a:moveTo>
                <a:pt x="-1" y="0"/>
              </a:moveTo>
              <a:cubicBezTo>
                <a:pt x="6909" y="0"/>
                <a:pt x="13401" y="3305"/>
                <a:pt x="17466" y="8891"/>
              </a:cubicBezTo>
            </a:path>
            <a:path w="17466" h="21600" stroke="0" extrusionOk="0">
              <a:moveTo>
                <a:pt x="-1" y="0"/>
              </a:moveTo>
              <a:cubicBezTo>
                <a:pt x="6909" y="0"/>
                <a:pt x="13401" y="3305"/>
                <a:pt x="17466" y="8891"/>
              </a:cubicBezTo>
              <a:lnTo>
                <a:pt x="0" y="21600"/>
              </a:lnTo>
              <a:lnTo>
                <a:pt x="-1" y="0"/>
              </a:lnTo>
              <a:close/>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8</xdr:col>
      <xdr:colOff>209550</xdr:colOff>
      <xdr:row>14</xdr:row>
      <xdr:rowOff>0</xdr:rowOff>
    </xdr:from>
    <xdr:to>
      <xdr:col>9</xdr:col>
      <xdr:colOff>19050</xdr:colOff>
      <xdr:row>15</xdr:row>
      <xdr:rowOff>95250</xdr:rowOff>
    </xdr:to>
    <xdr:sp macro="" textlink="">
      <xdr:nvSpPr>
        <xdr:cNvPr id="10" name="Freeform 446"/>
        <xdr:cNvSpPr>
          <a:spLocks/>
        </xdr:cNvSpPr>
      </xdr:nvSpPr>
      <xdr:spPr bwMode="auto">
        <a:xfrm>
          <a:off x="4324350" y="2857500"/>
          <a:ext cx="323850" cy="285750"/>
        </a:xfrm>
        <a:custGeom>
          <a:avLst/>
          <a:gdLst>
            <a:gd name="T0" fmla="*/ 0 w 38"/>
            <a:gd name="T1" fmla="*/ 0 h 20"/>
            <a:gd name="T2" fmla="*/ 2147483647 w 38"/>
            <a:gd name="T3" fmla="*/ 2147483647 h 20"/>
            <a:gd name="T4" fmla="*/ 2147483647 w 38"/>
            <a:gd name="T5" fmla="*/ 2147483647 h 20"/>
            <a:gd name="T6" fmla="*/ 0 60000 65536"/>
            <a:gd name="T7" fmla="*/ 0 60000 65536"/>
            <a:gd name="T8" fmla="*/ 0 60000 65536"/>
            <a:gd name="T9" fmla="*/ 0 w 38"/>
            <a:gd name="T10" fmla="*/ 0 h 20"/>
            <a:gd name="T11" fmla="*/ 38 w 38"/>
            <a:gd name="T12" fmla="*/ 20 h 20"/>
          </a:gdLst>
          <a:ahLst/>
          <a:cxnLst>
            <a:cxn ang="T6">
              <a:pos x="T0" y="T1"/>
            </a:cxn>
            <a:cxn ang="T7">
              <a:pos x="T2" y="T3"/>
            </a:cxn>
            <a:cxn ang="T8">
              <a:pos x="T4" y="T5"/>
            </a:cxn>
          </a:cxnLst>
          <a:rect l="T9" t="T10" r="T11" b="T12"/>
          <a:pathLst>
            <a:path w="38" h="20">
              <a:moveTo>
                <a:pt x="0" y="0"/>
              </a:moveTo>
              <a:cubicBezTo>
                <a:pt x="3" y="7"/>
                <a:pt x="6" y="14"/>
                <a:pt x="12" y="17"/>
              </a:cubicBezTo>
              <a:cubicBezTo>
                <a:pt x="18" y="20"/>
                <a:pt x="32" y="18"/>
                <a:pt x="38" y="19"/>
              </a:cubicBezTo>
            </a:path>
          </a:pathLst>
        </a:custGeom>
        <a:noFill/>
        <a:ln w="9525">
          <a:solidFill>
            <a:srgbClr val="00000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twoCellAnchor>
    <xdr:from>
      <xdr:col>9</xdr:col>
      <xdr:colOff>66675</xdr:colOff>
      <xdr:row>15</xdr:row>
      <xdr:rowOff>0</xdr:rowOff>
    </xdr:from>
    <xdr:to>
      <xdr:col>10</xdr:col>
      <xdr:colOff>475911</xdr:colOff>
      <xdr:row>15</xdr:row>
      <xdr:rowOff>170560</xdr:rowOff>
    </xdr:to>
    <xdr:sp macro="" textlink="">
      <xdr:nvSpPr>
        <xdr:cNvPr id="11" name="Text Box 447"/>
        <xdr:cNvSpPr txBox="1">
          <a:spLocks noChangeArrowheads="1"/>
        </xdr:cNvSpPr>
      </xdr:nvSpPr>
      <xdr:spPr bwMode="auto">
        <a:xfrm>
          <a:off x="4695825" y="3048000"/>
          <a:ext cx="923586" cy="170560"/>
        </a:xfrm>
        <a:prstGeom prst="rect">
          <a:avLst/>
        </a:prstGeom>
        <a:noFill/>
        <a:ln w="9525">
          <a:noFill/>
          <a:miter lim="800000"/>
          <a:headEnd/>
          <a:tailEnd/>
        </a:ln>
      </xdr:spPr>
      <xdr:txBody>
        <a:bodyPr wrap="none" lIns="18288" tIns="22860" rIns="0" bIns="0" anchor="t" upright="1">
          <a:noAutofit/>
        </a:bodyPr>
        <a:lstStyle/>
        <a:p>
          <a:pPr algn="l" rtl="0">
            <a:defRPr sz="1000"/>
          </a:pPr>
          <a:r>
            <a:rPr lang="en-IN" sz="1100" b="0" i="0" u="none" strike="noStrike" baseline="0">
              <a:solidFill>
                <a:srgbClr val="000000"/>
              </a:solidFill>
              <a:latin typeface="Garamond" pitchFamily="18" charset="0"/>
              <a:cs typeface="Arial"/>
            </a:rPr>
            <a:t>1 mm deflection</a:t>
          </a:r>
        </a:p>
      </xdr:txBody>
    </xdr:sp>
    <xdr:clientData/>
  </xdr:twoCellAnchor>
  <xdr:twoCellAnchor>
    <xdr:from>
      <xdr:col>8</xdr:col>
      <xdr:colOff>0</xdr:colOff>
      <xdr:row>14</xdr:row>
      <xdr:rowOff>9525</xdr:rowOff>
    </xdr:from>
    <xdr:to>
      <xdr:col>8</xdr:col>
      <xdr:colOff>0</xdr:colOff>
      <xdr:row>20</xdr:row>
      <xdr:rowOff>0</xdr:rowOff>
    </xdr:to>
    <xdr:sp macro="" textlink="">
      <xdr:nvSpPr>
        <xdr:cNvPr id="12" name="Line 448"/>
        <xdr:cNvSpPr>
          <a:spLocks noChangeShapeType="1"/>
        </xdr:cNvSpPr>
      </xdr:nvSpPr>
      <xdr:spPr bwMode="auto">
        <a:xfrm>
          <a:off x="4114800" y="2867025"/>
          <a:ext cx="0" cy="942975"/>
        </a:xfrm>
        <a:prstGeom prst="line">
          <a:avLst/>
        </a:prstGeom>
        <a:noFill/>
        <a:ln w="6350">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twoCellAnchor>
    <xdr:from>
      <xdr:col>8</xdr:col>
      <xdr:colOff>0</xdr:colOff>
      <xdr:row>12</xdr:row>
      <xdr:rowOff>9525</xdr:rowOff>
    </xdr:from>
    <xdr:to>
      <xdr:col>8</xdr:col>
      <xdr:colOff>0</xdr:colOff>
      <xdr:row>13</xdr:row>
      <xdr:rowOff>179025</xdr:rowOff>
    </xdr:to>
    <xdr:sp macro="" textlink="">
      <xdr:nvSpPr>
        <xdr:cNvPr id="13" name="Line 449"/>
        <xdr:cNvSpPr>
          <a:spLocks noChangeShapeType="1"/>
        </xdr:cNvSpPr>
      </xdr:nvSpPr>
      <xdr:spPr bwMode="auto">
        <a:xfrm>
          <a:off x="4114800" y="2486025"/>
          <a:ext cx="0" cy="360000"/>
        </a:xfrm>
        <a:prstGeom prst="line">
          <a:avLst/>
        </a:prstGeom>
        <a:noFill/>
        <a:ln w="6350">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17</xdr:row>
      <xdr:rowOff>95250</xdr:rowOff>
    </xdr:from>
    <xdr:to>
      <xdr:col>2</xdr:col>
      <xdr:colOff>0</xdr:colOff>
      <xdr:row>34</xdr:row>
      <xdr:rowOff>123825</xdr:rowOff>
    </xdr:to>
    <xdr:sp macro="" textlink="">
      <xdr:nvSpPr>
        <xdr:cNvPr id="2" name="Line 1388"/>
        <xdr:cNvSpPr>
          <a:spLocks noChangeShapeType="1"/>
        </xdr:cNvSpPr>
      </xdr:nvSpPr>
      <xdr:spPr bwMode="auto">
        <a:xfrm>
          <a:off x="857250" y="168840150"/>
          <a:ext cx="0" cy="2781300"/>
        </a:xfrm>
        <a:prstGeom prst="line">
          <a:avLst/>
        </a:prstGeom>
        <a:noFill/>
        <a:ln w="6350">
          <a:solidFill>
            <a:srgbClr val="000000"/>
          </a:solidFill>
          <a:round/>
          <a:headEnd/>
          <a:tailEnd/>
        </a:ln>
      </xdr:spPr>
    </xdr:sp>
    <xdr:clientData/>
  </xdr:twoCellAnchor>
  <xdr:twoCellAnchor>
    <xdr:from>
      <xdr:col>1</xdr:col>
      <xdr:colOff>123825</xdr:colOff>
      <xdr:row>34</xdr:row>
      <xdr:rowOff>0</xdr:rowOff>
    </xdr:from>
    <xdr:to>
      <xdr:col>2</xdr:col>
      <xdr:colOff>485775</xdr:colOff>
      <xdr:row>34</xdr:row>
      <xdr:rowOff>0</xdr:rowOff>
    </xdr:to>
    <xdr:sp macro="" textlink="">
      <xdr:nvSpPr>
        <xdr:cNvPr id="3" name="Line 1389"/>
        <xdr:cNvSpPr>
          <a:spLocks noChangeShapeType="1"/>
        </xdr:cNvSpPr>
      </xdr:nvSpPr>
      <xdr:spPr bwMode="auto">
        <a:xfrm>
          <a:off x="552450" y="171497625"/>
          <a:ext cx="695325" cy="0"/>
        </a:xfrm>
        <a:prstGeom prst="line">
          <a:avLst/>
        </a:prstGeom>
        <a:noFill/>
        <a:ln w="6350">
          <a:solidFill>
            <a:srgbClr val="000000"/>
          </a:solidFill>
          <a:prstDash val="sysDot"/>
          <a:round/>
          <a:headEnd/>
          <a:tailEnd/>
        </a:ln>
      </xdr:spPr>
    </xdr:sp>
    <xdr:clientData/>
  </xdr:twoCellAnchor>
  <xdr:twoCellAnchor>
    <xdr:from>
      <xdr:col>1</xdr:col>
      <xdr:colOff>95250</xdr:colOff>
      <xdr:row>31</xdr:row>
      <xdr:rowOff>0</xdr:rowOff>
    </xdr:from>
    <xdr:to>
      <xdr:col>2</xdr:col>
      <xdr:colOff>485775</xdr:colOff>
      <xdr:row>31</xdr:row>
      <xdr:rowOff>0</xdr:rowOff>
    </xdr:to>
    <xdr:sp macro="" textlink="">
      <xdr:nvSpPr>
        <xdr:cNvPr id="4" name="Line 1390"/>
        <xdr:cNvSpPr>
          <a:spLocks noChangeShapeType="1"/>
        </xdr:cNvSpPr>
      </xdr:nvSpPr>
      <xdr:spPr bwMode="auto">
        <a:xfrm>
          <a:off x="704850" y="6048375"/>
          <a:ext cx="1000125" cy="0"/>
        </a:xfrm>
        <a:prstGeom prst="line">
          <a:avLst/>
        </a:prstGeom>
        <a:noFill/>
        <a:ln w="6350">
          <a:solidFill>
            <a:srgbClr val="000000"/>
          </a:solidFill>
          <a:prstDash val="sysDot"/>
          <a:round/>
          <a:headEnd/>
          <a:tailEnd/>
        </a:ln>
      </xdr:spPr>
    </xdr:sp>
    <xdr:clientData/>
  </xdr:twoCellAnchor>
  <xdr:twoCellAnchor>
    <xdr:from>
      <xdr:col>1</xdr:col>
      <xdr:colOff>47625</xdr:colOff>
      <xdr:row>25</xdr:row>
      <xdr:rowOff>0</xdr:rowOff>
    </xdr:from>
    <xdr:to>
      <xdr:col>2</xdr:col>
      <xdr:colOff>476250</xdr:colOff>
      <xdr:row>25</xdr:row>
      <xdr:rowOff>0</xdr:rowOff>
    </xdr:to>
    <xdr:sp macro="" textlink="">
      <xdr:nvSpPr>
        <xdr:cNvPr id="5" name="Line 1391"/>
        <xdr:cNvSpPr>
          <a:spLocks noChangeShapeType="1"/>
        </xdr:cNvSpPr>
      </xdr:nvSpPr>
      <xdr:spPr bwMode="auto">
        <a:xfrm>
          <a:off x="476250" y="170040300"/>
          <a:ext cx="771525" cy="0"/>
        </a:xfrm>
        <a:prstGeom prst="line">
          <a:avLst/>
        </a:prstGeom>
        <a:noFill/>
        <a:ln w="6350">
          <a:solidFill>
            <a:srgbClr val="000000"/>
          </a:solidFill>
          <a:prstDash val="sysDot"/>
          <a:round/>
          <a:headEnd/>
          <a:tailEnd/>
        </a:ln>
      </xdr:spPr>
    </xdr:sp>
    <xdr:clientData/>
  </xdr:twoCellAnchor>
  <xdr:twoCellAnchor>
    <xdr:from>
      <xdr:col>1</xdr:col>
      <xdr:colOff>47625</xdr:colOff>
      <xdr:row>19</xdr:row>
      <xdr:rowOff>0</xdr:rowOff>
    </xdr:from>
    <xdr:to>
      <xdr:col>3</xdr:col>
      <xdr:colOff>9525</xdr:colOff>
      <xdr:row>19</xdr:row>
      <xdr:rowOff>0</xdr:rowOff>
    </xdr:to>
    <xdr:sp macro="" textlink="">
      <xdr:nvSpPr>
        <xdr:cNvPr id="6" name="Line 1393"/>
        <xdr:cNvSpPr>
          <a:spLocks noChangeShapeType="1"/>
        </xdr:cNvSpPr>
      </xdr:nvSpPr>
      <xdr:spPr bwMode="auto">
        <a:xfrm>
          <a:off x="476250" y="169068750"/>
          <a:ext cx="781050" cy="0"/>
        </a:xfrm>
        <a:prstGeom prst="line">
          <a:avLst/>
        </a:prstGeom>
        <a:noFill/>
        <a:ln w="6350">
          <a:solidFill>
            <a:srgbClr val="000000"/>
          </a:solidFill>
          <a:prstDash val="sysDot"/>
          <a:round/>
          <a:headEnd/>
          <a:tailEnd/>
        </a:ln>
      </xdr:spPr>
    </xdr:sp>
    <xdr:clientData/>
  </xdr:twoCellAnchor>
  <xdr:twoCellAnchor>
    <xdr:from>
      <xdr:col>3</xdr:col>
      <xdr:colOff>171450</xdr:colOff>
      <xdr:row>18</xdr:row>
      <xdr:rowOff>190499</xdr:rowOff>
    </xdr:from>
    <xdr:to>
      <xdr:col>4</xdr:col>
      <xdr:colOff>361950</xdr:colOff>
      <xdr:row>30</xdr:row>
      <xdr:rowOff>180974</xdr:rowOff>
    </xdr:to>
    <xdr:sp macro="" textlink="">
      <xdr:nvSpPr>
        <xdr:cNvPr id="7" name="AutoShape 1394"/>
        <xdr:cNvSpPr>
          <a:spLocks noChangeArrowheads="1"/>
        </xdr:cNvSpPr>
      </xdr:nvSpPr>
      <xdr:spPr bwMode="auto">
        <a:xfrm flipV="1">
          <a:off x="2000250" y="3762374"/>
          <a:ext cx="800100" cy="2276475"/>
        </a:xfrm>
        <a:prstGeom prst="rtTriangle">
          <a:avLst/>
        </a:prstGeom>
        <a:noFill/>
        <a:ln w="6350" algn="ctr">
          <a:solidFill>
            <a:srgbClr val="000000"/>
          </a:solidFill>
          <a:miter lim="800000"/>
          <a:headEnd/>
          <a:tailEnd/>
        </a:ln>
      </xdr:spPr>
    </xdr:sp>
    <xdr:clientData/>
  </xdr:twoCellAnchor>
  <xdr:twoCellAnchor>
    <xdr:from>
      <xdr:col>1</xdr:col>
      <xdr:colOff>95250</xdr:colOff>
      <xdr:row>28</xdr:row>
      <xdr:rowOff>0</xdr:rowOff>
    </xdr:from>
    <xdr:to>
      <xdr:col>2</xdr:col>
      <xdr:colOff>485775</xdr:colOff>
      <xdr:row>28</xdr:row>
      <xdr:rowOff>0</xdr:rowOff>
    </xdr:to>
    <xdr:sp macro="" textlink="">
      <xdr:nvSpPr>
        <xdr:cNvPr id="8" name="Line 3909"/>
        <xdr:cNvSpPr>
          <a:spLocks noChangeShapeType="1"/>
        </xdr:cNvSpPr>
      </xdr:nvSpPr>
      <xdr:spPr bwMode="auto">
        <a:xfrm>
          <a:off x="704850" y="5476875"/>
          <a:ext cx="1000125" cy="0"/>
        </a:xfrm>
        <a:prstGeom prst="line">
          <a:avLst/>
        </a:prstGeom>
        <a:noFill/>
        <a:ln w="6350">
          <a:solidFill>
            <a:srgbClr val="000000"/>
          </a:solidFill>
          <a:prstDash val="sysDot"/>
          <a:round/>
          <a:headEnd/>
          <a:tailEnd/>
        </a:ln>
      </xdr:spPr>
    </xdr:sp>
    <xdr:clientData/>
  </xdr:twoCellAnchor>
  <xdr:twoCellAnchor>
    <xdr:from>
      <xdr:col>3</xdr:col>
      <xdr:colOff>180976</xdr:colOff>
      <xdr:row>25</xdr:row>
      <xdr:rowOff>0</xdr:rowOff>
    </xdr:from>
    <xdr:to>
      <xdr:col>3</xdr:col>
      <xdr:colOff>561976</xdr:colOff>
      <xdr:row>25</xdr:row>
      <xdr:rowOff>0</xdr:rowOff>
    </xdr:to>
    <xdr:sp macro="" textlink="">
      <xdr:nvSpPr>
        <xdr:cNvPr id="9" name="Line 3910"/>
        <xdr:cNvSpPr>
          <a:spLocks noChangeShapeType="1"/>
        </xdr:cNvSpPr>
      </xdr:nvSpPr>
      <xdr:spPr bwMode="auto">
        <a:xfrm>
          <a:off x="2009776" y="4905375"/>
          <a:ext cx="381000" cy="0"/>
        </a:xfrm>
        <a:prstGeom prst="line">
          <a:avLst/>
        </a:prstGeom>
        <a:noFill/>
        <a:ln w="6350">
          <a:solidFill>
            <a:srgbClr val="000000"/>
          </a:solidFill>
          <a:round/>
          <a:headEnd type="stealth" w="sm" len="sm"/>
          <a:tailEnd/>
        </a:ln>
      </xdr:spPr>
    </xdr:sp>
    <xdr:clientData/>
  </xdr:twoCellAnchor>
  <xdr:twoCellAnchor>
    <xdr:from>
      <xdr:col>3</xdr:col>
      <xdr:colOff>171450</xdr:colOff>
      <xdr:row>28</xdr:row>
      <xdr:rowOff>0</xdr:rowOff>
    </xdr:from>
    <xdr:to>
      <xdr:col>3</xdr:col>
      <xdr:colOff>352425</xdr:colOff>
      <xdr:row>28</xdr:row>
      <xdr:rowOff>0</xdr:rowOff>
    </xdr:to>
    <xdr:sp macro="" textlink="">
      <xdr:nvSpPr>
        <xdr:cNvPr id="10" name="Line 3911"/>
        <xdr:cNvSpPr>
          <a:spLocks noChangeShapeType="1"/>
        </xdr:cNvSpPr>
      </xdr:nvSpPr>
      <xdr:spPr bwMode="auto">
        <a:xfrm>
          <a:off x="2000250" y="5476875"/>
          <a:ext cx="180975" cy="0"/>
        </a:xfrm>
        <a:prstGeom prst="line">
          <a:avLst/>
        </a:prstGeom>
        <a:noFill/>
        <a:ln w="6350">
          <a:solidFill>
            <a:srgbClr val="000000"/>
          </a:solidFill>
          <a:round/>
          <a:headEnd type="stealth" w="sm" len="sm"/>
          <a:tailEnd/>
        </a:ln>
      </xdr:spPr>
    </xdr:sp>
    <xdr:clientData/>
  </xdr:twoCellAnchor>
  <xdr:twoCellAnchor>
    <xdr:from>
      <xdr:col>3</xdr:col>
      <xdr:colOff>161925</xdr:colOff>
      <xdr:row>19</xdr:row>
      <xdr:rowOff>0</xdr:rowOff>
    </xdr:from>
    <xdr:to>
      <xdr:col>4</xdr:col>
      <xdr:colOff>352425</xdr:colOff>
      <xdr:row>19</xdr:row>
      <xdr:rowOff>0</xdr:rowOff>
    </xdr:to>
    <xdr:sp macro="" textlink="">
      <xdr:nvSpPr>
        <xdr:cNvPr id="11" name="Line 3912"/>
        <xdr:cNvSpPr>
          <a:spLocks noChangeShapeType="1"/>
        </xdr:cNvSpPr>
      </xdr:nvSpPr>
      <xdr:spPr bwMode="auto">
        <a:xfrm>
          <a:off x="1409700" y="169068750"/>
          <a:ext cx="609600" cy="0"/>
        </a:xfrm>
        <a:prstGeom prst="line">
          <a:avLst/>
        </a:prstGeom>
        <a:noFill/>
        <a:ln w="6350">
          <a:solidFill>
            <a:srgbClr val="000000"/>
          </a:solidFill>
          <a:round/>
          <a:headEnd type="stealth" w="sm" len="sm"/>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sk%20sinha\Desktop\CPC\N\NBCC\TRIPURA%20PMGSY\OLD%20DPR\kalyanpur\L032\DPR\5%20to%208-%20Estimate\1ARRR-ver-11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DPR%2027-12-2007\RCC%20CULVERT\1ARRR-ver-110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DPR%2027-12-2007\RCC%20CULVERT\rates%20analysis\ARRR-ver-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PR%2027-12-2007\RCC%20CULVERT\ARRR-ver-11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Data1/ROB%20Kota/FINAL/ROB_Kota%2021_C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S%20K%20SINHA\Desktop\CPC\N\NBCC\TRIPURA%20PMGSY\ALL-DPR\Khowai-%20TR%2001%2055(3)\forms%20&amp;%20rates%20&amp;%20culvert%20details%20&amp;%20report\AOR\rates%20analysis\ARRR-ver-11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S%20K%20SINHA\Desktop\CPC\N\NBCC\TRIPURA%20PMGSY\ALL-DPR\Khowai-%20TR%2001%2055(3)\forms%20&amp;%20rates%20&amp;%20culvert%20details%20&amp;%20report\AOR\1ARRR-ver-110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p\CPC%20Pvt.%20LTD\RUPESH\p\HITEDRA\NARKATIAGANJ\L%20024%20READY%20TO%20PRINT\PMGSY\IL&amp;FS\Banka\Draft%20DPR\RUPESH\Analysis\Analysis%20of%20road%20for%20NRRDA\FINAL%20%20ANALYSIS%20OF%20RATE%20(RURAL%20ROA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eg19\SharedDocs\Documents%20and%20Settings\reddy\Desktop\submission%20part-2\54-600\54-600%20abut\Agarwal\New%20Folder\ces\disk2\DNF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eg19\SharedDocs\Documents%20and%20Settings\reddy\Desktop\submission%20part-2\54-600\54-600%20abut\Nh6-Revision\ROB-24-1\P9-revise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udhansh/01%20PROJECTS/05%20Jaipur%20kothputali/BR%20at%20ch.%20243+600/super-structrure%20span_21/Final/Preten_21.0m_G%20(innn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hp\CPC%20Pvt.%20LTD\RUPESH\p\HITEDRA\NARKATIAGANJ\L%20024%20READY%20TO%20PRINT\CPC\N\NRRDA\SOR\SOR%20BHAGALPUR,%20MUNGER,%20BANKA,%20JAMUI,%20LAKHISARAI,%20SHEIKHPURA\FINAL%20%20ANALYSIS%20OF%20RATE%20(RURAL%20ROAD).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hp\CPC%20Pvt.%20LTD\RUPESH\p\HITEDRA\NARKATIAGANJ\L%20024%20READY%20TO%20PRINT\RUPESH\ANALYSIS\Analysis%20of%20road%20for%20NRRDA\FINAL%20%20ANALYSIS%20OF%20RATE%20(RURAL%20ROA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3">
          <cell r="D3">
            <v>90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11">
          <cell r="G11">
            <v>181.5</v>
          </cell>
        </row>
        <row r="50">
          <cell r="G50">
            <v>341.25</v>
          </cell>
        </row>
      </sheetData>
      <sheetData sheetId="3" refreshError="1">
        <row r="3">
          <cell r="D3">
            <v>90</v>
          </cell>
        </row>
        <row r="7">
          <cell r="D7">
            <v>145</v>
          </cell>
        </row>
      </sheetData>
      <sheetData sheetId="4" refreshError="1">
        <row r="3">
          <cell r="D3">
            <v>70</v>
          </cell>
        </row>
        <row r="137">
          <cell r="D137"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row r="24">
          <cell r="D24">
            <v>1378.88</v>
          </cell>
        </row>
        <row r="28">
          <cell r="D28" t="str">
            <v>Input Rate</v>
          </cell>
        </row>
        <row r="40">
          <cell r="D40" t="str">
            <v>Input Rate</v>
          </cell>
        </row>
        <row r="41">
          <cell r="D41" t="str">
            <v>Input Rate</v>
          </cell>
        </row>
        <row r="42">
          <cell r="D42">
            <v>19246.689999999999</v>
          </cell>
        </row>
        <row r="67">
          <cell r="D67">
            <v>3047.41</v>
          </cell>
        </row>
        <row r="113">
          <cell r="D113">
            <v>10985.68</v>
          </cell>
        </row>
        <row r="114">
          <cell r="D114">
            <v>8006.73</v>
          </cell>
        </row>
        <row r="115">
          <cell r="D115" t="str">
            <v>Input Rate</v>
          </cell>
        </row>
        <row r="154">
          <cell r="D154" t="str">
            <v>Input Rate</v>
          </cell>
        </row>
        <row r="155">
          <cell r="D155">
            <v>1426.38</v>
          </cell>
        </row>
        <row r="156">
          <cell r="D156"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sheetData sheetId="3"/>
      <sheetData sheetId="4">
        <row r="49">
          <cell r="D49"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heet1"/>
      <sheetName val="Sheet2"/>
      <sheetName val="Sheet3"/>
      <sheetName val="Index"/>
      <sheetName val="Gen"/>
      <sheetName val="Deck"/>
      <sheetName val="DL_BMSF"/>
      <sheetName val="LL_RF"/>
      <sheetName val="LL_BMSF"/>
      <sheetName val="Properties"/>
      <sheetName val="CF"/>
      <sheetName val="Sum"/>
      <sheetName val="L-G-O"/>
      <sheetName val="L-G-I"/>
      <sheetName val="X"/>
      <sheetName val="Bearing"/>
      <sheetName val="Figure"/>
      <sheetName val="Pedestal"/>
      <sheetName val="Abut_pile"/>
      <sheetName val="wing"/>
      <sheetName val="Pile"/>
      <sheetName val="Abut_raft"/>
      <sheetName val="Footpath"/>
      <sheetName val="Pigeaud"/>
      <sheetName val="Conc"/>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row r="115">
          <cell r="D11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row r="18">
          <cell r="D18">
            <v>2621.88</v>
          </cell>
        </row>
        <row r="50">
          <cell r="D50">
            <v>3.61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Sheet4"/>
      <sheetName val="Sheet5"/>
      <sheetName val="Sheet6"/>
      <sheetName val="Sheet7"/>
      <sheetName val="Sheet9"/>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NEW "/>
      <sheetName val="NEW"/>
      <sheetName val="Chapter-1"/>
      <sheetName val="Chapter-2"/>
      <sheetName val="Chapter-3"/>
      <sheetName val="Chapter-4"/>
      <sheetName val="Chapter-5"/>
      <sheetName val="Sheet3"/>
      <sheetName val="Sheet8"/>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sheetData sheetId="3"/>
      <sheetData sheetId="4"/>
      <sheetData sheetId="5"/>
      <sheetData sheetId="6"/>
      <sheetData sheetId="7"/>
      <sheetData sheetId="8">
        <row r="19">
          <cell r="D19">
            <v>89</v>
          </cell>
        </row>
      </sheetData>
      <sheetData sheetId="9">
        <row r="109">
          <cell r="D109">
            <v>260</v>
          </cell>
        </row>
        <row r="110">
          <cell r="D110">
            <v>10.4</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s>
    <sheetDataSet>
      <sheetData sheetId="0"/>
      <sheetData sheetId="1" refreshError="1">
        <row r="149">
          <cell r="L149">
            <v>2</v>
          </cell>
        </row>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ver"/>
      <sheetName val="data"/>
      <sheetName val="model"/>
      <sheetName val="section"/>
      <sheetName val="section-1"/>
      <sheetName val="Lifting"/>
      <sheetName val="Losses"/>
      <sheetName val="pretension"/>
      <sheetName val="Force summery"/>
      <sheetName val="shrinkage"/>
      <sheetName val="temp_rise"/>
      <sheetName val="temp_fall"/>
      <sheetName val="G-3MaxBM"/>
      <sheetName val="G-1 USC-M"/>
      <sheetName val="G3-USC-S"/>
      <sheetName val="G3-USC-Tr"/>
      <sheetName val="shear_connector"/>
      <sheetName val="LOAD-GEN"/>
      <sheetName val="Sheet1"/>
      <sheetName val="str_chk"/>
      <sheetName val="Sheet2"/>
      <sheetName val="Sheet3"/>
    </sheetNames>
    <sheetDataSet>
      <sheetData sheetId="0" refreshError="1"/>
      <sheetData sheetId="1">
        <row r="31">
          <cell r="G31">
            <v>21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4"/>
      <sheetName val="Sheet5"/>
      <sheetName val="Sheet6"/>
      <sheetName val="Sheet7"/>
      <sheetName val="Sheet9"/>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Sheet3"/>
      <sheetName val="Sheet8"/>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G4">
            <v>258</v>
          </cell>
        </row>
        <row r="9">
          <cell r="G9">
            <v>160</v>
          </cell>
        </row>
        <row r="10">
          <cell r="G10">
            <v>645</v>
          </cell>
        </row>
        <row r="11">
          <cell r="G11">
            <v>188</v>
          </cell>
        </row>
        <row r="13">
          <cell r="G13">
            <v>1779</v>
          </cell>
        </row>
        <row r="17">
          <cell r="G17">
            <v>650</v>
          </cell>
        </row>
        <row r="19">
          <cell r="G19">
            <v>287.5</v>
          </cell>
        </row>
        <row r="20">
          <cell r="G20">
            <v>1050</v>
          </cell>
        </row>
        <row r="23">
          <cell r="G23">
            <v>188</v>
          </cell>
        </row>
        <row r="24">
          <cell r="G24">
            <v>1547.5</v>
          </cell>
        </row>
        <row r="25">
          <cell r="G25">
            <v>306</v>
          </cell>
        </row>
        <row r="27">
          <cell r="G27">
            <v>130.5625</v>
          </cell>
        </row>
        <row r="30">
          <cell r="G30">
            <v>97.75</v>
          </cell>
        </row>
        <row r="31">
          <cell r="G31">
            <v>97.75</v>
          </cell>
        </row>
        <row r="34">
          <cell r="G34">
            <v>371</v>
          </cell>
        </row>
        <row r="45">
          <cell r="G45">
            <v>250</v>
          </cell>
        </row>
        <row r="47">
          <cell r="G47">
            <v>315</v>
          </cell>
        </row>
        <row r="48">
          <cell r="G48">
            <v>293</v>
          </cell>
        </row>
        <row r="53">
          <cell r="G53">
            <v>98</v>
          </cell>
        </row>
      </sheetData>
      <sheetData sheetId="8" refreshError="1">
        <row r="3">
          <cell r="D3">
            <v>75</v>
          </cell>
        </row>
        <row r="5">
          <cell r="D5">
            <v>90</v>
          </cell>
        </row>
        <row r="14">
          <cell r="D14">
            <v>101</v>
          </cell>
        </row>
        <row r="15">
          <cell r="D15">
            <v>90</v>
          </cell>
        </row>
        <row r="16">
          <cell r="D16">
            <v>80</v>
          </cell>
        </row>
        <row r="17">
          <cell r="D17">
            <v>75</v>
          </cell>
        </row>
        <row r="18">
          <cell r="D18">
            <v>77</v>
          </cell>
        </row>
        <row r="19">
          <cell r="D19">
            <v>89</v>
          </cell>
        </row>
        <row r="22">
          <cell r="D22">
            <v>91</v>
          </cell>
        </row>
      </sheetData>
      <sheetData sheetId="9" refreshError="1">
        <row r="3">
          <cell r="D3">
            <v>31.2</v>
          </cell>
        </row>
        <row r="4">
          <cell r="D4">
            <v>318.65600000000001</v>
          </cell>
        </row>
        <row r="17">
          <cell r="D17">
            <v>342.36799999999999</v>
          </cell>
        </row>
        <row r="18">
          <cell r="D18">
            <v>331.44799999999998</v>
          </cell>
        </row>
        <row r="19">
          <cell r="D19">
            <v>335.4</v>
          </cell>
        </row>
        <row r="24">
          <cell r="D24">
            <v>244.92</v>
          </cell>
        </row>
        <row r="25">
          <cell r="D25">
            <v>271.75200000000001</v>
          </cell>
        </row>
        <row r="37">
          <cell r="D37">
            <v>74.671999999999997</v>
          </cell>
        </row>
        <row r="38">
          <cell r="D38">
            <v>26</v>
          </cell>
        </row>
        <row r="43">
          <cell r="D43">
            <v>24678.004000000001</v>
          </cell>
        </row>
        <row r="44">
          <cell r="D44">
            <v>20734.740000000002</v>
          </cell>
        </row>
        <row r="45">
          <cell r="D45">
            <v>21436.376000000004</v>
          </cell>
        </row>
        <row r="46">
          <cell r="D46">
            <v>16.64</v>
          </cell>
        </row>
        <row r="50">
          <cell r="D50">
            <v>1.78</v>
          </cell>
        </row>
        <row r="51">
          <cell r="D51">
            <v>4260</v>
          </cell>
        </row>
        <row r="54">
          <cell r="D54">
            <v>15</v>
          </cell>
        </row>
        <row r="58">
          <cell r="D58" t="str">
            <v>Input Rate</v>
          </cell>
        </row>
        <row r="61">
          <cell r="D61">
            <v>84.448000000000008</v>
          </cell>
        </row>
        <row r="64">
          <cell r="D64">
            <v>475.65</v>
          </cell>
        </row>
        <row r="69">
          <cell r="D69">
            <v>5.2</v>
          </cell>
        </row>
        <row r="70">
          <cell r="D70">
            <v>10.4</v>
          </cell>
        </row>
        <row r="77">
          <cell r="D77">
            <v>156</v>
          </cell>
        </row>
        <row r="79">
          <cell r="D79">
            <v>247.10400000000001</v>
          </cell>
        </row>
        <row r="84">
          <cell r="D84">
            <v>231.6808</v>
          </cell>
        </row>
        <row r="87">
          <cell r="D87">
            <v>416.988</v>
          </cell>
        </row>
        <row r="88">
          <cell r="D88">
            <v>74.671999999999997</v>
          </cell>
        </row>
        <row r="93">
          <cell r="D93">
            <v>650</v>
          </cell>
        </row>
        <row r="95">
          <cell r="D95">
            <v>4.16</v>
          </cell>
        </row>
        <row r="102">
          <cell r="D102">
            <v>22.88</v>
          </cell>
        </row>
        <row r="103">
          <cell r="D103">
            <v>28906.799999999999</v>
          </cell>
        </row>
        <row r="104">
          <cell r="D104">
            <v>37.44</v>
          </cell>
        </row>
        <row r="105">
          <cell r="D105">
            <v>416</v>
          </cell>
        </row>
        <row r="106">
          <cell r="D106">
            <v>832</v>
          </cell>
        </row>
        <row r="109">
          <cell r="D109">
            <v>260</v>
          </cell>
        </row>
        <row r="110">
          <cell r="D110">
            <v>10.4</v>
          </cell>
        </row>
        <row r="111">
          <cell r="D111">
            <v>10.4</v>
          </cell>
        </row>
        <row r="125">
          <cell r="D125">
            <v>84.448000000000008</v>
          </cell>
        </row>
        <row r="129">
          <cell r="D129">
            <v>28438.799999999999</v>
          </cell>
        </row>
        <row r="130">
          <cell r="D130">
            <v>28080</v>
          </cell>
        </row>
        <row r="132">
          <cell r="D132">
            <v>184.86</v>
          </cell>
        </row>
        <row r="142">
          <cell r="D142">
            <v>234.988</v>
          </cell>
        </row>
        <row r="143">
          <cell r="D143">
            <v>234.988</v>
          </cell>
        </row>
        <row r="144">
          <cell r="D144">
            <v>184.86</v>
          </cell>
        </row>
        <row r="146">
          <cell r="D146">
            <v>150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Sheet4"/>
      <sheetName val="Sheet5"/>
      <sheetName val="Sheet6"/>
      <sheetName val="Sheet7"/>
      <sheetName val="Sheet9"/>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NEW "/>
      <sheetName val="NEW"/>
      <sheetName val="Chapter-1"/>
      <sheetName val="Chapter-2"/>
      <sheetName val="Chapter-3"/>
      <sheetName val="Chapter-4"/>
      <sheetName val="Chapter-5"/>
      <sheetName val="Sheet3"/>
      <sheetName val="Sheet8"/>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5">
          <cell r="G5">
            <v>8938</v>
          </cell>
        </row>
        <row r="8">
          <cell r="G8">
            <v>160</v>
          </cell>
        </row>
        <row r="12">
          <cell r="G12">
            <v>688</v>
          </cell>
        </row>
        <row r="15">
          <cell r="G15">
            <v>563</v>
          </cell>
        </row>
        <row r="28">
          <cell r="G28">
            <v>786</v>
          </cell>
        </row>
        <row r="49">
          <cell r="G49">
            <v>306</v>
          </cell>
        </row>
        <row r="51">
          <cell r="G51">
            <v>1243</v>
          </cell>
        </row>
        <row r="54">
          <cell r="G54">
            <v>971</v>
          </cell>
        </row>
      </sheetData>
      <sheetData sheetId="8" refreshError="1">
        <row r="4">
          <cell r="D4">
            <v>79</v>
          </cell>
        </row>
        <row r="10">
          <cell r="D10">
            <v>89</v>
          </cell>
        </row>
      </sheetData>
      <sheetData sheetId="9" refreshError="1">
        <row r="14">
          <cell r="D14">
            <v>265.56400000000002</v>
          </cell>
        </row>
        <row r="15">
          <cell r="D15">
            <v>363.11599999999999</v>
          </cell>
        </row>
        <row r="16">
          <cell r="D16" t="str">
            <v>Input Rate</v>
          </cell>
        </row>
        <row r="21">
          <cell r="D21">
            <v>74.671999999999997</v>
          </cell>
        </row>
        <row r="22">
          <cell r="D22">
            <v>74.671999999999997</v>
          </cell>
        </row>
        <row r="26">
          <cell r="D26" t="str">
            <v>Input Rate</v>
          </cell>
        </row>
        <row r="27">
          <cell r="D27" t="str">
            <v>Input Rate</v>
          </cell>
        </row>
        <row r="42">
          <cell r="D42">
            <v>26891.810399999998</v>
          </cell>
        </row>
        <row r="60">
          <cell r="D60" t="str">
            <v>Input Rate</v>
          </cell>
        </row>
        <row r="65">
          <cell r="D65">
            <v>235</v>
          </cell>
        </row>
        <row r="80">
          <cell r="D80">
            <v>54.704000000000001</v>
          </cell>
        </row>
        <row r="126">
          <cell r="D126">
            <v>72.436000000000007</v>
          </cell>
        </row>
        <row r="147">
          <cell r="D147">
            <v>54.704000000000001</v>
          </cell>
        </row>
        <row r="148">
          <cell r="D148">
            <v>313.24799999999999</v>
          </cell>
        </row>
        <row r="149">
          <cell r="D149">
            <v>271.75200000000001</v>
          </cell>
        </row>
        <row r="152">
          <cell r="D152">
            <v>54.704000000000001</v>
          </cell>
        </row>
        <row r="153">
          <cell r="D153">
            <v>342.52400000000006</v>
          </cell>
        </row>
        <row r="157">
          <cell r="D157">
            <v>54.7</v>
          </cell>
        </row>
        <row r="158">
          <cell r="D158">
            <v>363.11599999999999</v>
          </cell>
        </row>
        <row r="159">
          <cell r="D159">
            <v>223.08</v>
          </cell>
        </row>
        <row r="160">
          <cell r="D160">
            <v>54.704000000000001</v>
          </cell>
        </row>
        <row r="161">
          <cell r="D161">
            <v>162.34399999999999</v>
          </cell>
        </row>
        <row r="162">
          <cell r="D162">
            <v>342.52400000000006</v>
          </cell>
        </row>
        <row r="163">
          <cell r="D163" t="str">
            <v>Input Rate</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9525">
          <a:solidFill>
            <a:schemeClr val="tx2"/>
          </a:solidFill>
        </a:ln>
      </a:spPr>
      <a:bodyPr vertOverflow="clip" horzOverflow="clip" rtlCol="0" anchor="t"/>
      <a:lstStyle>
        <a:defPPr algn="l">
          <a:defRPr sz="1100"/>
        </a:defPPr>
      </a:lstStyle>
      <a:style>
        <a:lnRef idx="1">
          <a:schemeClr val="accent1"/>
        </a:lnRef>
        <a:fillRef idx="0">
          <a:schemeClr val="accent1"/>
        </a:fillRef>
        <a:effectRef idx="0">
          <a:schemeClr val="accent1"/>
        </a:effectRef>
        <a:fontRef idx="minor">
          <a:schemeClr val="tx1"/>
        </a:fontRef>
      </a:style>
    </a:spDef>
    <a:lnDef>
      <a:spPr>
        <a:ln w="9525">
          <a:solidFill>
            <a:schemeClr val="tx2"/>
          </a:solidFill>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18.bin"/><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3.xml"/><Relationship Id="rId1" Type="http://schemas.openxmlformats.org/officeDocument/2006/relationships/printerSettings" Target="../printerSettings/printerSettings22.bin"/><Relationship Id="rId4" Type="http://schemas.openxmlformats.org/officeDocument/2006/relationships/oleObject" Target="../embeddings/oleObject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2.xml"/><Relationship Id="rId1" Type="http://schemas.openxmlformats.org/officeDocument/2006/relationships/printerSettings" Target="../printerSettings/printerSettings48.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5"/>
  <dimension ref="B2:H17"/>
  <sheetViews>
    <sheetView workbookViewId="0">
      <selection activeCell="D23" sqref="D23"/>
    </sheetView>
  </sheetViews>
  <sheetFormatPr defaultColWidth="9.140625" defaultRowHeight="15"/>
  <cols>
    <col min="1" max="2" width="9.140625" style="1"/>
    <col min="3" max="3" width="14.28515625" style="1" customWidth="1"/>
    <col min="4" max="16384" width="9.140625" style="1"/>
  </cols>
  <sheetData>
    <row r="2" spans="2:8">
      <c r="B2" s="23"/>
      <c r="C2" s="24"/>
      <c r="D2" s="24"/>
      <c r="E2" s="24"/>
      <c r="F2" s="24"/>
      <c r="G2" s="24"/>
      <c r="H2" s="21"/>
    </row>
    <row r="3" spans="2:8">
      <c r="B3" s="25"/>
      <c r="C3" s="77">
        <v>0.22</v>
      </c>
      <c r="D3" s="26" t="s">
        <v>56</v>
      </c>
      <c r="E3" s="26"/>
      <c r="F3" s="26"/>
      <c r="G3" s="26"/>
      <c r="H3" s="27"/>
    </row>
    <row r="4" spans="2:8">
      <c r="B4" s="25"/>
      <c r="C4" s="72">
        <v>3.2</v>
      </c>
      <c r="D4" s="26" t="s">
        <v>58</v>
      </c>
      <c r="E4" s="26"/>
      <c r="F4" s="26"/>
      <c r="G4" s="26"/>
      <c r="H4" s="27"/>
    </row>
    <row r="5" spans="2:8">
      <c r="B5" s="25"/>
      <c r="C5" s="83">
        <v>4</v>
      </c>
      <c r="D5" s="26" t="s">
        <v>59</v>
      </c>
      <c r="E5" s="26"/>
      <c r="F5" s="26"/>
      <c r="G5" s="26"/>
      <c r="H5" s="27"/>
    </row>
    <row r="6" spans="2:8">
      <c r="B6" s="25"/>
      <c r="C6" s="82">
        <v>7.6</v>
      </c>
      <c r="D6" s="26" t="s">
        <v>57</v>
      </c>
      <c r="E6" s="26"/>
      <c r="F6" s="26"/>
      <c r="G6" s="26"/>
      <c r="H6" s="27"/>
    </row>
    <row r="7" spans="2:8">
      <c r="B7" s="25"/>
      <c r="C7" s="434" t="s">
        <v>233</v>
      </c>
      <c r="D7" s="26" t="s">
        <v>125</v>
      </c>
      <c r="E7" s="26"/>
      <c r="F7" s="26"/>
      <c r="G7" s="26"/>
      <c r="H7" s="27"/>
    </row>
    <row r="8" spans="2:8">
      <c r="B8" s="28"/>
      <c r="C8" s="15"/>
      <c r="D8" s="15"/>
      <c r="E8" s="15"/>
      <c r="F8" s="15"/>
      <c r="G8" s="15"/>
      <c r="H8" s="22"/>
    </row>
    <row r="17" ht="15" customHeight="1"/>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8"/>
  <dimension ref="A1:L53"/>
  <sheetViews>
    <sheetView view="pageBreakPreview" zoomScaleSheetLayoutView="100" workbookViewId="0">
      <selection activeCell="M33" sqref="M33"/>
    </sheetView>
  </sheetViews>
  <sheetFormatPr defaultColWidth="7.7109375" defaultRowHeight="15"/>
  <cols>
    <col min="1" max="6" width="7.7109375" style="1"/>
    <col min="7" max="7" width="7.7109375" style="1" customWidth="1"/>
    <col min="8" max="16384" width="7.7109375" style="1"/>
  </cols>
  <sheetData>
    <row r="1" spans="1:12">
      <c r="A1" s="119" t="s">
        <v>1816</v>
      </c>
      <c r="B1" s="8"/>
      <c r="C1" s="8"/>
      <c r="D1" s="8"/>
      <c r="E1" s="8"/>
      <c r="F1" s="8"/>
      <c r="G1" s="8"/>
      <c r="H1" s="8"/>
      <c r="I1" s="8"/>
      <c r="J1" s="8"/>
      <c r="K1" s="8"/>
      <c r="L1" s="8"/>
    </row>
    <row r="2" spans="1:12">
      <c r="A2" s="8" t="s">
        <v>159</v>
      </c>
      <c r="B2" s="8"/>
      <c r="D2" s="125" t="s">
        <v>51</v>
      </c>
      <c r="E2" s="125" t="s">
        <v>1</v>
      </c>
      <c r="F2" s="125">
        <v>2</v>
      </c>
      <c r="G2" s="124" t="s">
        <v>143</v>
      </c>
      <c r="H2" s="8"/>
      <c r="I2" s="8"/>
      <c r="L2" s="8"/>
    </row>
    <row r="3" spans="1:12">
      <c r="A3" s="8"/>
      <c r="B3" s="8"/>
      <c r="D3" s="8"/>
      <c r="E3" s="125"/>
      <c r="F3" s="48"/>
      <c r="G3" s="48" t="s">
        <v>157</v>
      </c>
      <c r="H3" s="8"/>
      <c r="I3" s="8"/>
      <c r="L3" s="8"/>
    </row>
    <row r="4" spans="1:12">
      <c r="A4" s="125" t="s">
        <v>133</v>
      </c>
      <c r="B4" s="125" t="s">
        <v>1</v>
      </c>
      <c r="C4" s="8" t="s">
        <v>145</v>
      </c>
      <c r="D4" s="8"/>
      <c r="E4" s="8"/>
      <c r="F4" s="8"/>
      <c r="G4" s="8"/>
      <c r="H4" s="8"/>
      <c r="I4" s="8"/>
    </row>
    <row r="5" spans="1:12">
      <c r="A5" s="125"/>
      <c r="B5" s="125" t="s">
        <v>1</v>
      </c>
      <c r="C5" s="367">
        <f>SUP!H19+SUP!J19</f>
        <v>460</v>
      </c>
      <c r="D5" s="2" t="s">
        <v>54</v>
      </c>
      <c r="E5" s="436">
        <f>LL!H60*0.2</f>
        <v>13.032080000000001</v>
      </c>
      <c r="F5" s="8" t="s">
        <v>134</v>
      </c>
      <c r="G5" s="8"/>
      <c r="H5" s="8"/>
      <c r="I5" s="8"/>
    </row>
    <row r="6" spans="1:12">
      <c r="B6" s="125" t="s">
        <v>1</v>
      </c>
      <c r="C6" s="8">
        <f>C5+E5</f>
        <v>473.03208000000001</v>
      </c>
      <c r="D6" s="1" t="s">
        <v>34</v>
      </c>
      <c r="G6" s="8"/>
      <c r="H6" s="8"/>
      <c r="I6" s="8"/>
    </row>
    <row r="7" spans="1:12">
      <c r="A7" s="8"/>
      <c r="B7" s="8"/>
      <c r="C7" s="8"/>
      <c r="D7" s="8"/>
      <c r="E7" s="8"/>
      <c r="F7" s="8"/>
      <c r="G7" s="8"/>
      <c r="H7" s="8"/>
      <c r="I7" s="8"/>
    </row>
    <row r="8" spans="1:12">
      <c r="A8" s="125" t="s">
        <v>70</v>
      </c>
      <c r="B8" s="125" t="s">
        <v>1</v>
      </c>
      <c r="C8" s="1624" t="s">
        <v>146</v>
      </c>
      <c r="D8" s="1624"/>
      <c r="E8" s="1624"/>
      <c r="F8" s="1624"/>
      <c r="G8" s="1624"/>
      <c r="H8" s="1624"/>
      <c r="I8" s="1624"/>
    </row>
    <row r="9" spans="1:12">
      <c r="A9" s="8"/>
      <c r="B9" s="8"/>
      <c r="C9" s="1624"/>
      <c r="D9" s="1624"/>
      <c r="E9" s="1624"/>
      <c r="F9" s="1624"/>
      <c r="G9" s="1624"/>
      <c r="H9" s="1624"/>
      <c r="I9" s="1624"/>
    </row>
    <row r="10" spans="1:12">
      <c r="A10" s="8"/>
      <c r="B10" s="8"/>
      <c r="C10" s="1624"/>
      <c r="D10" s="1624"/>
      <c r="E10" s="1624"/>
      <c r="F10" s="1624"/>
      <c r="G10" s="1624"/>
      <c r="H10" s="1624"/>
      <c r="I10" s="1624"/>
    </row>
    <row r="11" spans="1:12">
      <c r="A11" s="8"/>
      <c r="B11" s="8"/>
      <c r="C11" s="8"/>
      <c r="D11" s="8"/>
      <c r="E11" s="8"/>
      <c r="F11" s="8"/>
      <c r="G11" s="8"/>
      <c r="H11" s="8"/>
      <c r="I11" s="8"/>
    </row>
    <row r="12" spans="1:12">
      <c r="A12" s="526" t="s">
        <v>70</v>
      </c>
      <c r="B12" s="526" t="s">
        <v>1</v>
      </c>
      <c r="C12" s="122" t="s">
        <v>139</v>
      </c>
      <c r="D12" s="8"/>
      <c r="E12" s="1087" t="s">
        <v>140</v>
      </c>
      <c r="F12" s="8"/>
      <c r="G12" s="8"/>
      <c r="H12" s="8"/>
      <c r="I12" s="8"/>
      <c r="J12" s="8"/>
    </row>
    <row r="13" spans="1:12" ht="17.25">
      <c r="A13" s="8"/>
      <c r="B13" s="8"/>
      <c r="C13" s="526" t="s">
        <v>141</v>
      </c>
      <c r="D13" s="8"/>
      <c r="E13" s="8"/>
      <c r="F13" s="8"/>
      <c r="G13" s="8"/>
      <c r="H13" s="1305">
        <f>GEN!J116+(SUP!F30-SUP!H14)</f>
        <v>1.0779207673799309</v>
      </c>
      <c r="I13" s="8"/>
      <c r="J13" s="8"/>
    </row>
    <row r="14" spans="1:12">
      <c r="A14" s="8"/>
      <c r="B14" s="8"/>
      <c r="C14" s="8"/>
      <c r="D14" s="8"/>
      <c r="E14" s="8"/>
      <c r="F14" s="8"/>
      <c r="G14" s="8"/>
      <c r="H14" s="8"/>
      <c r="I14" s="8"/>
    </row>
    <row r="15" spans="1:12" ht="17.25">
      <c r="A15" s="526" t="s">
        <v>142</v>
      </c>
      <c r="B15" s="526" t="s">
        <v>1</v>
      </c>
      <c r="C15" s="72">
        <f>GEN!H23</f>
        <v>32308.249722965833</v>
      </c>
      <c r="D15" s="8" t="s">
        <v>1777</v>
      </c>
      <c r="E15" s="8"/>
      <c r="F15" s="8"/>
      <c r="G15" s="8"/>
      <c r="H15" s="8"/>
      <c r="I15" s="8"/>
      <c r="J15" s="8"/>
    </row>
    <row r="16" spans="1:12">
      <c r="A16" s="126" t="s">
        <v>1812</v>
      </c>
      <c r="B16" s="526"/>
      <c r="C16" s="719"/>
      <c r="D16" s="8"/>
      <c r="E16" s="8"/>
      <c r="F16" s="8"/>
      <c r="G16" s="8"/>
      <c r="H16" s="8"/>
      <c r="I16" s="8"/>
      <c r="J16" s="8"/>
    </row>
    <row r="17" spans="1:11">
      <c r="A17" s="526" t="s">
        <v>25</v>
      </c>
      <c r="B17" s="526" t="s">
        <v>1</v>
      </c>
      <c r="C17" s="719">
        <f>ROUND(GEN!H196+PI()*GEN!F203^2/4/GEN!F203,1)</f>
        <v>6.4</v>
      </c>
      <c r="D17" s="8" t="s">
        <v>2</v>
      </c>
      <c r="E17" s="8"/>
      <c r="F17" s="8"/>
      <c r="G17" s="8"/>
      <c r="H17" s="8"/>
      <c r="I17" s="8"/>
      <c r="J17" s="8"/>
    </row>
    <row r="18" spans="1:11">
      <c r="A18" s="526" t="s">
        <v>133</v>
      </c>
      <c r="B18" s="526" t="s">
        <v>1</v>
      </c>
      <c r="C18" s="72">
        <f>GEN!F203</f>
        <v>1.2</v>
      </c>
      <c r="D18" s="8" t="s">
        <v>2</v>
      </c>
      <c r="E18" s="8"/>
      <c r="F18" s="8"/>
      <c r="G18" s="8"/>
      <c r="H18" s="1305">
        <f>GEN!K128-GEN!K144</f>
        <v>5.8239999999999981</v>
      </c>
      <c r="I18" s="8"/>
      <c r="J18" s="8"/>
    </row>
    <row r="19" spans="1:11">
      <c r="F19" s="8"/>
      <c r="G19" s="8"/>
      <c r="H19" s="8"/>
      <c r="I19" s="8"/>
    </row>
    <row r="20" spans="1:11" ht="18.75">
      <c r="A20" s="526" t="s">
        <v>1814</v>
      </c>
      <c r="B20" s="526" t="s">
        <v>1</v>
      </c>
      <c r="C20" s="1625">
        <f>C17*C18^3/12*10^12</f>
        <v>921600000000.00012</v>
      </c>
      <c r="D20" s="1625"/>
      <c r="E20" s="8" t="s">
        <v>1813</v>
      </c>
      <c r="F20" s="8"/>
      <c r="G20" s="8"/>
      <c r="H20" s="8"/>
      <c r="I20" s="8"/>
    </row>
    <row r="21" spans="1:11" ht="18.75">
      <c r="A21" s="526" t="s">
        <v>1815</v>
      </c>
      <c r="B21" s="526" t="s">
        <v>1</v>
      </c>
      <c r="C21" s="1625">
        <f>C18*C17^3/12*10^12</f>
        <v>26214400000000.008</v>
      </c>
      <c r="D21" s="1625"/>
      <c r="E21" s="8" t="s">
        <v>1813</v>
      </c>
      <c r="F21" s="8"/>
      <c r="G21" s="8"/>
      <c r="H21" s="8"/>
      <c r="I21" s="8"/>
    </row>
    <row r="22" spans="1:11">
      <c r="A22" s="8"/>
      <c r="B22" s="8"/>
      <c r="C22" s="8"/>
      <c r="E22" s="8"/>
      <c r="F22" s="8"/>
    </row>
    <row r="23" spans="1:11" ht="18">
      <c r="A23" s="1306" t="s">
        <v>148</v>
      </c>
      <c r="B23" s="8"/>
      <c r="C23" s="8"/>
      <c r="D23" s="8"/>
      <c r="H23" s="127" t="s">
        <v>1</v>
      </c>
      <c r="I23" s="138">
        <f>6*C15*C20/(H18*1000)^2/(3*(H13+H18)*1000-H18*1000)/10^4</f>
        <v>35.392403074994547</v>
      </c>
      <c r="J23" s="8" t="s">
        <v>114</v>
      </c>
      <c r="K23" s="8"/>
    </row>
    <row r="24" spans="1:11" ht="18">
      <c r="A24" s="1306" t="s">
        <v>1123</v>
      </c>
      <c r="B24" s="8"/>
      <c r="C24" s="8"/>
      <c r="D24" s="8"/>
      <c r="H24" s="127" t="s">
        <v>1</v>
      </c>
      <c r="I24" s="138">
        <f>6*C15*C21/(H18*1000)^2/(3*(H13+H18)*1000-H18*1000)/10000</f>
        <v>1006.7172430220671</v>
      </c>
      <c r="J24" s="8" t="s">
        <v>114</v>
      </c>
      <c r="K24" s="8"/>
    </row>
    <row r="25" spans="1:11">
      <c r="A25" s="8"/>
      <c r="B25" s="8"/>
      <c r="C25" s="8"/>
      <c r="D25" s="8"/>
      <c r="E25" s="8"/>
      <c r="H25" s="8"/>
      <c r="I25" s="132"/>
      <c r="J25" s="8"/>
      <c r="K25" s="8"/>
    </row>
    <row r="26" spans="1:11">
      <c r="A26" s="129" t="s">
        <v>149</v>
      </c>
      <c r="B26" s="8"/>
      <c r="C26" s="8"/>
      <c r="D26" s="8"/>
      <c r="E26" s="8"/>
      <c r="H26" s="127" t="s">
        <v>1</v>
      </c>
      <c r="I26" s="40">
        <f>2*SQRT(C6/1000/(I23))</f>
        <v>0.23121726901911904</v>
      </c>
      <c r="J26" s="8"/>
      <c r="K26" s="8"/>
    </row>
    <row r="27" spans="1:11">
      <c r="A27" s="129" t="s">
        <v>150</v>
      </c>
      <c r="B27" s="8"/>
      <c r="C27" s="8"/>
      <c r="D27" s="8"/>
      <c r="E27" s="8"/>
      <c r="H27" s="127" t="s">
        <v>1</v>
      </c>
      <c r="I27" s="120">
        <f>2*SQRT(C6/1000/(I24))</f>
        <v>4.3353237941084824E-2</v>
      </c>
      <c r="J27" s="8"/>
      <c r="K27" s="8"/>
    </row>
    <row r="28" spans="1:11">
      <c r="A28" s="8"/>
      <c r="B28" s="8"/>
      <c r="C28" s="8"/>
      <c r="D28" s="8"/>
      <c r="E28" s="8"/>
      <c r="H28" s="127"/>
      <c r="I28" s="8"/>
      <c r="J28" s="127"/>
      <c r="K28" s="8"/>
    </row>
    <row r="29" spans="1:11">
      <c r="A29" s="129" t="s">
        <v>151</v>
      </c>
      <c r="B29" s="8"/>
      <c r="C29" s="8"/>
      <c r="D29" s="8"/>
      <c r="E29" s="8"/>
      <c r="H29" s="127" t="s">
        <v>1</v>
      </c>
      <c r="I29" s="132">
        <f>IF(I34="Rocky",IF(I26&lt;0.4,2.5,1/I26),IF(I34="Medium",IF(I26&lt;0.55,2.5,1.36/I26),IF(I34="Soft",IF(I26&lt;0.67,2.5,1.67/I26),"SOIL TYPE NOT VALID")))</f>
        <v>2.5</v>
      </c>
      <c r="J29" s="127"/>
      <c r="K29" s="8"/>
    </row>
    <row r="30" spans="1:11">
      <c r="A30" s="129" t="s">
        <v>152</v>
      </c>
      <c r="B30" s="8"/>
      <c r="C30" s="8"/>
      <c r="D30" s="8"/>
      <c r="E30" s="8"/>
      <c r="H30" s="127" t="s">
        <v>1</v>
      </c>
      <c r="I30" s="132">
        <f>IF(I34="Rocky",IF(I27&lt;0.4,2.5,1/I27),IF(I34="Medium",IF(I27&lt;0.55,2.5,1.36/I27),IF(I34="Soft",IF(I27&lt;0.67,2.5,1.67/I27),"SOIL TYPE NOT VALID")))</f>
        <v>2.5</v>
      </c>
      <c r="J30" s="8"/>
      <c r="K30" s="8"/>
    </row>
    <row r="31" spans="1:11">
      <c r="A31" s="129" t="s">
        <v>153</v>
      </c>
      <c r="B31" s="8"/>
      <c r="C31" s="8"/>
      <c r="D31" s="8"/>
      <c r="E31" s="8"/>
      <c r="H31" s="127" t="s">
        <v>1</v>
      </c>
      <c r="I31" s="6">
        <f>MAX(I29:I30)</f>
        <v>2.5</v>
      </c>
      <c r="J31" s="8"/>
      <c r="K31" s="8"/>
    </row>
    <row r="32" spans="1:11">
      <c r="A32" s="8"/>
      <c r="B32" s="8"/>
      <c r="C32" s="8"/>
      <c r="D32" s="8"/>
      <c r="E32" s="8"/>
      <c r="H32" s="127"/>
      <c r="I32" s="8"/>
      <c r="J32" s="8"/>
      <c r="K32" s="8"/>
    </row>
    <row r="33" spans="1:11">
      <c r="A33" s="8" t="s">
        <v>127</v>
      </c>
      <c r="B33" s="8"/>
      <c r="C33" s="8"/>
      <c r="D33" s="8"/>
      <c r="H33" s="125" t="s">
        <v>1</v>
      </c>
      <c r="I33" s="155" t="str">
        <f>GEN!I78</f>
        <v>IV</v>
      </c>
      <c r="J33" s="8"/>
      <c r="K33" s="8"/>
    </row>
    <row r="34" spans="1:11">
      <c r="A34" s="8" t="s">
        <v>128</v>
      </c>
      <c r="B34" s="8"/>
      <c r="C34" s="8"/>
      <c r="D34" s="125"/>
      <c r="H34" s="125" t="s">
        <v>1</v>
      </c>
      <c r="I34" s="155" t="str">
        <f>GEN!I79</f>
        <v>medium</v>
      </c>
      <c r="J34" s="8"/>
      <c r="K34" s="8"/>
    </row>
    <row r="35" spans="1:11">
      <c r="A35" s="8" t="s">
        <v>129</v>
      </c>
      <c r="B35" s="8"/>
      <c r="C35" s="8"/>
      <c r="D35" s="127" t="s">
        <v>130</v>
      </c>
      <c r="E35" s="8"/>
      <c r="H35" s="127" t="s">
        <v>1</v>
      </c>
      <c r="I35" s="155">
        <f>GEN!I80</f>
        <v>0.24</v>
      </c>
      <c r="J35" s="8"/>
      <c r="K35" s="8"/>
    </row>
    <row r="36" spans="1:11">
      <c r="A36" s="8" t="s">
        <v>131</v>
      </c>
      <c r="B36" s="8"/>
      <c r="C36" s="8"/>
      <c r="D36" s="127" t="s">
        <v>132</v>
      </c>
      <c r="E36" s="8"/>
      <c r="H36" s="127" t="s">
        <v>1</v>
      </c>
      <c r="I36" s="155">
        <f>GEN!I81</f>
        <v>1.2</v>
      </c>
      <c r="J36" s="8"/>
      <c r="K36" s="8"/>
    </row>
    <row r="37" spans="1:11">
      <c r="A37" s="8"/>
      <c r="B37" s="8"/>
      <c r="C37" s="8"/>
      <c r="D37" s="127"/>
      <c r="E37" s="8"/>
      <c r="F37" s="126"/>
      <c r="G37" s="127"/>
      <c r="H37" s="8"/>
      <c r="I37" s="8"/>
      <c r="J37" s="8"/>
      <c r="K37" s="8"/>
    </row>
    <row r="38" spans="1:11" ht="18">
      <c r="A38" s="129" t="s">
        <v>162</v>
      </c>
      <c r="B38" s="8"/>
      <c r="C38" s="8"/>
      <c r="D38" s="8"/>
      <c r="E38" s="8"/>
      <c r="F38" s="8"/>
      <c r="G38" s="8"/>
      <c r="H38" s="127" t="s">
        <v>1</v>
      </c>
      <c r="I38" s="127">
        <f>I35*I36*I29/2</f>
        <v>0.36</v>
      </c>
      <c r="J38" s="8"/>
      <c r="K38" s="8"/>
    </row>
    <row r="39" spans="1:11" ht="18">
      <c r="A39" s="129" t="s">
        <v>163</v>
      </c>
      <c r="B39" s="8"/>
      <c r="C39" s="8"/>
      <c r="D39" s="8"/>
      <c r="E39" s="8"/>
      <c r="F39" s="8"/>
      <c r="G39" s="8"/>
      <c r="H39" s="127" t="s">
        <v>1</v>
      </c>
      <c r="I39" s="127">
        <f>I35*I36*I30/2</f>
        <v>0.36</v>
      </c>
      <c r="J39" s="8"/>
      <c r="K39" s="8"/>
    </row>
    <row r="40" spans="1:11" ht="18">
      <c r="A40" s="129" t="s">
        <v>164</v>
      </c>
      <c r="B40" s="8"/>
      <c r="C40" s="8"/>
      <c r="D40" s="8"/>
      <c r="E40" s="8"/>
      <c r="F40" s="8"/>
      <c r="G40" s="8"/>
      <c r="H40" s="127" t="s">
        <v>1</v>
      </c>
      <c r="I40" s="127">
        <f>MAX(I38:I39)*2/3</f>
        <v>0.24</v>
      </c>
      <c r="J40" s="8"/>
      <c r="K40" s="8"/>
    </row>
    <row r="41" spans="1:11">
      <c r="A41" s="8"/>
      <c r="B41" s="8"/>
      <c r="C41" s="8"/>
      <c r="D41" s="8"/>
      <c r="E41" s="8"/>
      <c r="F41" s="8"/>
      <c r="G41" s="8"/>
      <c r="H41" s="8"/>
      <c r="I41" s="8"/>
      <c r="J41" s="8"/>
      <c r="K41" s="8"/>
    </row>
    <row r="42" spans="1:11" ht="18">
      <c r="A42" s="129" t="s">
        <v>154</v>
      </c>
      <c r="B42" s="129"/>
      <c r="C42" s="129"/>
      <c r="D42" s="129"/>
      <c r="E42" s="129"/>
      <c r="F42" s="8"/>
      <c r="G42" s="128"/>
      <c r="H42" s="130" t="s">
        <v>1</v>
      </c>
      <c r="I42" s="155">
        <f>GEN!I82</f>
        <v>3</v>
      </c>
      <c r="J42" s="8"/>
      <c r="K42" s="8"/>
    </row>
    <row r="43" spans="1:11" ht="18">
      <c r="A43" s="129" t="s">
        <v>155</v>
      </c>
      <c r="B43" s="129"/>
      <c r="C43" s="129"/>
      <c r="D43" s="129"/>
      <c r="E43" s="129"/>
      <c r="F43" s="8"/>
      <c r="G43" s="128"/>
      <c r="H43" s="130" t="s">
        <v>1</v>
      </c>
      <c r="I43" s="155">
        <f>GEN!I83</f>
        <v>3</v>
      </c>
      <c r="J43" s="8"/>
      <c r="K43" s="8"/>
    </row>
    <row r="44" spans="1:11" ht="18">
      <c r="A44" s="129" t="s">
        <v>156</v>
      </c>
      <c r="B44" s="129"/>
      <c r="C44" s="129"/>
      <c r="D44" s="129"/>
      <c r="E44" s="129"/>
      <c r="F44" s="8"/>
      <c r="G44" s="128"/>
      <c r="H44" s="130" t="s">
        <v>1</v>
      </c>
      <c r="I44" s="155">
        <f>GEN!I84</f>
        <v>3</v>
      </c>
      <c r="J44" s="8"/>
      <c r="K44" s="8"/>
    </row>
    <row r="46" spans="1:11" ht="18">
      <c r="A46" s="129" t="s">
        <v>165</v>
      </c>
      <c r="B46" s="130"/>
      <c r="C46" s="130"/>
      <c r="D46" s="130"/>
      <c r="E46" s="131"/>
      <c r="F46" s="8"/>
      <c r="G46" s="128"/>
      <c r="H46" s="130" t="s">
        <v>1</v>
      </c>
      <c r="I46" s="481">
        <f>I38/I42</f>
        <v>0.12</v>
      </c>
    </row>
    <row r="47" spans="1:11" ht="18">
      <c r="A47" s="129" t="s">
        <v>166</v>
      </c>
      <c r="B47" s="130"/>
      <c r="C47" s="130"/>
      <c r="D47" s="130"/>
      <c r="E47" s="131"/>
      <c r="F47" s="8"/>
      <c r="G47" s="128"/>
      <c r="H47" s="130" t="s">
        <v>1</v>
      </c>
      <c r="I47" s="526">
        <f>I39/I43</f>
        <v>0.12</v>
      </c>
    </row>
    <row r="48" spans="1:11" ht="18">
      <c r="A48" s="129" t="s">
        <v>167</v>
      </c>
      <c r="B48" s="130"/>
      <c r="C48" s="130"/>
      <c r="D48" s="130"/>
      <c r="E48" s="130"/>
      <c r="F48" s="8"/>
      <c r="G48" s="128"/>
      <c r="H48" s="130" t="s">
        <v>1</v>
      </c>
      <c r="I48" s="481">
        <f>I40/I44</f>
        <v>0.08</v>
      </c>
    </row>
    <row r="50" spans="1:9">
      <c r="A50" s="62" t="s">
        <v>681</v>
      </c>
      <c r="B50" s="62"/>
      <c r="C50" s="62"/>
      <c r="D50" s="62"/>
      <c r="E50" s="62"/>
      <c r="F50" s="62"/>
      <c r="G50" s="62"/>
      <c r="H50" s="494">
        <v>0.35</v>
      </c>
    </row>
    <row r="51" spans="1:9" ht="18">
      <c r="A51" s="129" t="s">
        <v>165</v>
      </c>
      <c r="B51" s="130"/>
      <c r="C51" s="130"/>
      <c r="D51" s="130"/>
      <c r="E51" s="131"/>
      <c r="F51" s="8"/>
      <c r="G51" s="128"/>
      <c r="H51" s="130" t="s">
        <v>1</v>
      </c>
      <c r="I51" s="120">
        <f>I46*(1+$H$50)</f>
        <v>0.16200000000000001</v>
      </c>
    </row>
    <row r="52" spans="1:9" ht="18">
      <c r="A52" s="129" t="s">
        <v>166</v>
      </c>
      <c r="B52" s="130"/>
      <c r="C52" s="130"/>
      <c r="D52" s="130"/>
      <c r="E52" s="131"/>
      <c r="F52" s="8"/>
      <c r="G52" s="128"/>
      <c r="H52" s="130" t="s">
        <v>1</v>
      </c>
      <c r="I52" s="120">
        <f>I47*(1+$H$50)</f>
        <v>0.16200000000000001</v>
      </c>
    </row>
    <row r="53" spans="1:9" ht="18">
      <c r="A53" s="129" t="s">
        <v>167</v>
      </c>
      <c r="B53" s="130"/>
      <c r="C53" s="130"/>
      <c r="D53" s="130"/>
      <c r="E53" s="130"/>
      <c r="F53" s="8"/>
      <c r="G53" s="128"/>
      <c r="H53" s="130" t="s">
        <v>1</v>
      </c>
      <c r="I53" s="120">
        <f>I48*(1+$H$50)</f>
        <v>0.10800000000000001</v>
      </c>
    </row>
  </sheetData>
  <mergeCells count="3">
    <mergeCell ref="C8:I10"/>
    <mergeCell ref="C20:D20"/>
    <mergeCell ref="C21:D21"/>
  </mergeCells>
  <pageMargins left="0.70866141732283505" right="0.70866141732283505" top="0.74803149606299202" bottom="0.74803149606299202" header="0.31496062992126" footer="0.31496062992126"/>
  <pageSetup paperSize="9" scale="86" orientation="portrait" blackAndWhite="1" r:id="rId1"/>
  <drawing r:id="rId2"/>
</worksheet>
</file>

<file path=xl/worksheets/sheet11.xml><?xml version="1.0" encoding="utf-8"?>
<worksheet xmlns="http://schemas.openxmlformats.org/spreadsheetml/2006/main" xmlns:r="http://schemas.openxmlformats.org/officeDocument/2006/relationships">
  <sheetPr codeName="Sheet12"/>
  <dimension ref="A1:K77"/>
  <sheetViews>
    <sheetView view="pageBreakPreview" zoomScaleSheetLayoutView="100" workbookViewId="0">
      <selection activeCell="M33" sqref="M33"/>
    </sheetView>
  </sheetViews>
  <sheetFormatPr defaultColWidth="7.7109375" defaultRowHeight="15"/>
  <cols>
    <col min="1" max="6" width="7.7109375" style="1"/>
    <col min="7" max="8" width="7.7109375" style="2"/>
    <col min="9" max="16384" width="7.7109375" style="1"/>
  </cols>
  <sheetData>
    <row r="1" spans="1:9">
      <c r="A1" s="9" t="s">
        <v>1518</v>
      </c>
    </row>
    <row r="2" spans="1:9" ht="18">
      <c r="A2" s="105" t="s">
        <v>183</v>
      </c>
      <c r="B2" s="105"/>
      <c r="C2" s="105"/>
      <c r="D2" s="105"/>
      <c r="F2" s="105" t="s">
        <v>184</v>
      </c>
      <c r="G2" s="105" t="s">
        <v>1</v>
      </c>
      <c r="H2" s="72">
        <f>SEIS!I51</f>
        <v>0.16200000000000001</v>
      </c>
    </row>
    <row r="3" spans="1:9" ht="18">
      <c r="A3" s="105" t="s">
        <v>185</v>
      </c>
      <c r="F3" s="105" t="s">
        <v>186</v>
      </c>
      <c r="G3" s="105" t="s">
        <v>1</v>
      </c>
      <c r="H3" s="72">
        <f>SEIS!I52</f>
        <v>0.16200000000000001</v>
      </c>
    </row>
    <row r="4" spans="1:9" ht="18">
      <c r="A4" s="105" t="s">
        <v>187</v>
      </c>
      <c r="F4" s="105" t="s">
        <v>188</v>
      </c>
      <c r="G4" s="105" t="s">
        <v>1</v>
      </c>
      <c r="H4" s="72">
        <f>SEIS!I53</f>
        <v>0.10800000000000001</v>
      </c>
    </row>
    <row r="6" spans="1:9">
      <c r="A6" s="1" t="s">
        <v>649</v>
      </c>
    </row>
    <row r="7" spans="1:9">
      <c r="F7" s="30" t="s">
        <v>919</v>
      </c>
      <c r="G7" s="605"/>
      <c r="H7" s="646" t="s">
        <v>920</v>
      </c>
      <c r="I7" s="32"/>
    </row>
    <row r="8" spans="1:9">
      <c r="A8" s="23" t="s">
        <v>74</v>
      </c>
      <c r="B8" s="24"/>
      <c r="C8" s="24"/>
      <c r="D8" s="24"/>
      <c r="E8" s="24"/>
      <c r="F8" s="1082" t="s">
        <v>24</v>
      </c>
      <c r="G8" s="1083" t="s">
        <v>29</v>
      </c>
      <c r="H8" s="1082" t="s">
        <v>24</v>
      </c>
      <c r="I8" s="1083" t="s">
        <v>29</v>
      </c>
    </row>
    <row r="9" spans="1:9">
      <c r="A9" s="28"/>
      <c r="B9" s="15"/>
      <c r="C9" s="15"/>
      <c r="D9" s="15"/>
      <c r="E9" s="15"/>
      <c r="F9" s="1081" t="s">
        <v>34</v>
      </c>
      <c r="G9" s="1083" t="s">
        <v>2</v>
      </c>
      <c r="H9" s="1081" t="s">
        <v>34</v>
      </c>
      <c r="I9" s="1083" t="s">
        <v>2</v>
      </c>
    </row>
    <row r="10" spans="1:9">
      <c r="A10" s="25" t="s">
        <v>180</v>
      </c>
      <c r="B10" s="26"/>
      <c r="C10" s="26"/>
      <c r="D10" s="26"/>
      <c r="E10" s="26" t="s">
        <v>1</v>
      </c>
      <c r="F10" s="194">
        <f>SUP!H19*2</f>
        <v>460</v>
      </c>
      <c r="G10" s="457">
        <f>SUP!H22</f>
        <v>8.9229207673799316</v>
      </c>
      <c r="H10" s="456">
        <f>SUP!J19*2</f>
        <v>460</v>
      </c>
      <c r="I10" s="457">
        <f>G10</f>
        <v>8.9229207673799316</v>
      </c>
    </row>
    <row r="11" spans="1:9">
      <c r="A11" s="25" t="s">
        <v>181</v>
      </c>
      <c r="B11" s="26"/>
      <c r="C11" s="26"/>
      <c r="D11" s="26"/>
      <c r="E11" s="26" t="s">
        <v>1</v>
      </c>
      <c r="F11" s="25">
        <f>SI!H28*2</f>
        <v>41.320000000000007</v>
      </c>
      <c r="G11" s="457">
        <f>SI!H31</f>
        <v>10.165000000000001</v>
      </c>
      <c r="H11" s="456">
        <f>SI!J28*2</f>
        <v>41.320000000000007</v>
      </c>
      <c r="I11" s="457">
        <f>G11</f>
        <v>10.165000000000001</v>
      </c>
    </row>
    <row r="12" spans="1:9">
      <c r="A12" s="25" t="s">
        <v>182</v>
      </c>
      <c r="B12" s="26"/>
      <c r="C12" s="26"/>
      <c r="D12" s="26"/>
      <c r="E12" s="26" t="s">
        <v>1</v>
      </c>
      <c r="F12" s="25">
        <f>SI!H50*2</f>
        <v>84</v>
      </c>
      <c r="G12" s="457">
        <f>SI!H53</f>
        <v>9.7900000000000009</v>
      </c>
      <c r="H12" s="456">
        <f>SI!J50*2</f>
        <v>84</v>
      </c>
      <c r="I12" s="457">
        <f>G12</f>
        <v>9.7900000000000009</v>
      </c>
    </row>
    <row r="13" spans="1:9">
      <c r="A13" s="28"/>
      <c r="B13" s="15"/>
      <c r="C13" s="15"/>
      <c r="D13" s="15"/>
      <c r="E13" s="15"/>
      <c r="F13" s="28"/>
      <c r="G13" s="607"/>
      <c r="H13" s="28"/>
      <c r="I13" s="98"/>
    </row>
    <row r="14" spans="1:9">
      <c r="A14" s="30" t="s">
        <v>32</v>
      </c>
      <c r="B14" s="31"/>
      <c r="C14" s="31"/>
      <c r="D14" s="31"/>
      <c r="E14" s="31"/>
      <c r="F14" s="176">
        <f>SUM(F10:F12)</f>
        <v>585.31999999999994</v>
      </c>
      <c r="G14" s="647">
        <f>SUMPRODUCT(F10:F12,G10:G12)/F14</f>
        <v>9.1350395561312929</v>
      </c>
      <c r="H14" s="176">
        <f>SUM(H10:H12)</f>
        <v>585.31999999999994</v>
      </c>
      <c r="I14" s="647">
        <f>SUMPRODUCT(H10:H12,I10:I12)/H14</f>
        <v>9.1350395561312929</v>
      </c>
    </row>
    <row r="15" spans="1:9">
      <c r="A15" s="1" t="s">
        <v>24</v>
      </c>
      <c r="B15" s="1" t="s">
        <v>1</v>
      </c>
      <c r="C15" s="1" t="s">
        <v>190</v>
      </c>
    </row>
    <row r="16" spans="1:9">
      <c r="A16" s="1" t="s">
        <v>29</v>
      </c>
      <c r="B16" s="1" t="s">
        <v>1</v>
      </c>
      <c r="C16" s="1" t="s">
        <v>191</v>
      </c>
    </row>
    <row r="18" spans="1:11">
      <c r="A18" s="1" t="s">
        <v>648</v>
      </c>
      <c r="G18" s="2" t="s">
        <v>1</v>
      </c>
      <c r="H18" s="367">
        <f>GEN!K125-GEN!K147-GEN!F112-GEN!E106</f>
        <v>8.2800000000000011</v>
      </c>
      <c r="I18" s="1" t="s">
        <v>2</v>
      </c>
    </row>
    <row r="20" spans="1:11">
      <c r="A20" s="170" t="s">
        <v>176</v>
      </c>
      <c r="B20" s="171"/>
      <c r="C20" s="171"/>
      <c r="D20" s="171"/>
      <c r="E20" s="171"/>
      <c r="F20" s="171"/>
    </row>
    <row r="21" spans="1:11" ht="18">
      <c r="A21" s="105" t="s">
        <v>192</v>
      </c>
      <c r="B21" s="105"/>
      <c r="C21" s="105"/>
      <c r="D21" s="105"/>
      <c r="E21" s="105" t="s">
        <v>184</v>
      </c>
      <c r="F21" s="105" t="s">
        <v>1</v>
      </c>
      <c r="G21" s="175">
        <f>H2</f>
        <v>0.16200000000000001</v>
      </c>
      <c r="H21" s="105"/>
      <c r="J21" s="105"/>
      <c r="K21" s="105"/>
    </row>
    <row r="22" spans="1:11">
      <c r="A22" s="105"/>
      <c r="B22" s="105"/>
      <c r="C22" s="105"/>
      <c r="D22" s="105"/>
      <c r="E22" s="105"/>
      <c r="F22" s="105"/>
      <c r="G22" s="175"/>
      <c r="H22" s="105"/>
      <c r="J22" s="105"/>
      <c r="K22" s="105"/>
    </row>
    <row r="23" spans="1:11">
      <c r="A23" s="105"/>
      <c r="B23" s="105"/>
      <c r="C23" s="105"/>
      <c r="D23" s="105"/>
      <c r="E23" s="105"/>
      <c r="F23" s="105"/>
      <c r="G23" s="175" t="s">
        <v>919</v>
      </c>
      <c r="H23" s="105"/>
      <c r="I23" s="175" t="s">
        <v>920</v>
      </c>
      <c r="J23" s="105"/>
    </row>
    <row r="24" spans="1:11">
      <c r="A24" s="105" t="s">
        <v>193</v>
      </c>
      <c r="B24" s="105"/>
      <c r="C24" s="105"/>
      <c r="D24" s="105"/>
      <c r="E24" s="105"/>
      <c r="F24" s="105" t="s">
        <v>1</v>
      </c>
      <c r="G24" s="254">
        <f>F14</f>
        <v>585.31999999999994</v>
      </c>
      <c r="H24" s="105" t="s">
        <v>34</v>
      </c>
      <c r="I24" s="177">
        <f>H14</f>
        <v>585.31999999999994</v>
      </c>
      <c r="J24" s="105" t="s">
        <v>34</v>
      </c>
    </row>
    <row r="25" spans="1:11" ht="18">
      <c r="A25" s="105" t="s">
        <v>652</v>
      </c>
      <c r="B25" s="105"/>
      <c r="C25" s="105"/>
      <c r="D25" s="105"/>
      <c r="E25" s="105"/>
      <c r="F25" s="105" t="s">
        <v>1</v>
      </c>
      <c r="G25" s="4">
        <v>0</v>
      </c>
      <c r="H25" s="105" t="s">
        <v>34</v>
      </c>
      <c r="I25" s="177">
        <f>I24*G21</f>
        <v>94.821839999999995</v>
      </c>
      <c r="J25" s="105" t="s">
        <v>34</v>
      </c>
    </row>
    <row r="26" spans="1:11">
      <c r="A26" s="105" t="s">
        <v>189</v>
      </c>
      <c r="B26" s="105"/>
      <c r="C26" s="105"/>
      <c r="D26" s="105"/>
      <c r="E26" s="105"/>
      <c r="F26" s="105" t="s">
        <v>1</v>
      </c>
      <c r="G26" s="4">
        <v>0</v>
      </c>
      <c r="H26" s="105" t="s">
        <v>2</v>
      </c>
      <c r="I26" s="177">
        <f>H18</f>
        <v>8.2800000000000011</v>
      </c>
      <c r="J26" s="105" t="s">
        <v>2</v>
      </c>
    </row>
    <row r="27" spans="1:11" ht="18">
      <c r="A27" s="105" t="s">
        <v>196</v>
      </c>
      <c r="B27" s="105"/>
      <c r="C27" s="105"/>
      <c r="D27" s="105"/>
      <c r="E27" s="105"/>
      <c r="F27" s="105" t="s">
        <v>1</v>
      </c>
      <c r="G27" s="4">
        <v>0</v>
      </c>
      <c r="H27" s="105" t="s">
        <v>77</v>
      </c>
      <c r="I27" s="177">
        <f>I25*I26</f>
        <v>785.12483520000001</v>
      </c>
      <c r="J27" s="105" t="s">
        <v>77</v>
      </c>
    </row>
    <row r="28" spans="1:11">
      <c r="A28" s="105"/>
      <c r="B28" s="105"/>
      <c r="C28" s="105"/>
      <c r="D28" s="105"/>
      <c r="E28" s="105"/>
      <c r="F28" s="105"/>
      <c r="G28" s="105"/>
      <c r="H28" s="105"/>
      <c r="J28" s="105"/>
      <c r="K28" s="105"/>
    </row>
    <row r="29" spans="1:11">
      <c r="A29" s="170" t="s">
        <v>175</v>
      </c>
      <c r="B29" s="171"/>
      <c r="C29" s="171"/>
      <c r="D29" s="171"/>
      <c r="E29" s="171"/>
      <c r="F29" s="171"/>
    </row>
    <row r="30" spans="1:11" ht="18">
      <c r="A30" s="105" t="s">
        <v>174</v>
      </c>
      <c r="B30" s="105"/>
      <c r="C30" s="105"/>
      <c r="D30" s="105"/>
      <c r="E30" s="105" t="s">
        <v>186</v>
      </c>
      <c r="F30" s="105" t="s">
        <v>1</v>
      </c>
      <c r="G30" s="175">
        <f>H3</f>
        <v>0.16200000000000001</v>
      </c>
      <c r="H30" s="105"/>
    </row>
    <row r="31" spans="1:11">
      <c r="A31" s="105"/>
      <c r="B31" s="105"/>
      <c r="C31" s="105"/>
      <c r="D31" s="105"/>
      <c r="E31" s="105"/>
      <c r="F31" s="105"/>
      <c r="G31" s="175"/>
      <c r="H31" s="105"/>
    </row>
    <row r="32" spans="1:11">
      <c r="A32" s="105"/>
      <c r="B32" s="105"/>
      <c r="C32" s="105"/>
      <c r="D32" s="105"/>
      <c r="E32" s="105"/>
      <c r="F32" s="105"/>
      <c r="G32" s="175" t="s">
        <v>919</v>
      </c>
      <c r="H32" s="105"/>
      <c r="I32" s="175" t="s">
        <v>920</v>
      </c>
    </row>
    <row r="33" spans="1:11">
      <c r="A33" s="105" t="s">
        <v>193</v>
      </c>
      <c r="B33" s="105"/>
      <c r="C33" s="105"/>
      <c r="D33" s="105"/>
      <c r="E33" s="105"/>
      <c r="F33" s="105" t="s">
        <v>1</v>
      </c>
      <c r="G33" s="177">
        <f>F14/2</f>
        <v>292.65999999999997</v>
      </c>
      <c r="H33" s="105" t="s">
        <v>34</v>
      </c>
      <c r="I33" s="648">
        <f>H14/2</f>
        <v>292.65999999999997</v>
      </c>
      <c r="J33" s="105" t="s">
        <v>34</v>
      </c>
    </row>
    <row r="34" spans="1:11" ht="18">
      <c r="A34" s="105" t="s">
        <v>653</v>
      </c>
      <c r="B34" s="105"/>
      <c r="C34" s="105"/>
      <c r="D34" s="105"/>
      <c r="E34" s="105"/>
      <c r="F34" s="105" t="s">
        <v>1</v>
      </c>
      <c r="G34" s="177">
        <f>G33*G30</f>
        <v>47.410919999999997</v>
      </c>
      <c r="H34" s="105" t="s">
        <v>34</v>
      </c>
      <c r="I34" s="648">
        <f>I33*G30</f>
        <v>47.410919999999997</v>
      </c>
      <c r="J34" s="105" t="s">
        <v>34</v>
      </c>
    </row>
    <row r="35" spans="1:11">
      <c r="A35" s="105" t="s">
        <v>189</v>
      </c>
      <c r="B35" s="105"/>
      <c r="C35" s="105"/>
      <c r="D35" s="105"/>
      <c r="E35" s="105"/>
      <c r="F35" s="105" t="s">
        <v>1</v>
      </c>
      <c r="G35" s="177">
        <f>G14</f>
        <v>9.1350395561312929</v>
      </c>
      <c r="H35" s="105" t="s">
        <v>2</v>
      </c>
      <c r="I35" s="648">
        <f>I14</f>
        <v>9.1350395561312929</v>
      </c>
      <c r="J35" s="105" t="s">
        <v>2</v>
      </c>
    </row>
    <row r="36" spans="1:11" ht="18">
      <c r="A36" s="105" t="s">
        <v>195</v>
      </c>
      <c r="B36" s="105"/>
      <c r="C36" s="105"/>
      <c r="D36" s="105"/>
      <c r="E36" s="105"/>
      <c r="F36" s="105" t="s">
        <v>1</v>
      </c>
      <c r="G36" s="177">
        <f>G34*G35</f>
        <v>433.10062959257624</v>
      </c>
      <c r="H36" s="105" t="s">
        <v>77</v>
      </c>
      <c r="I36" s="177">
        <f>I34*I35</f>
        <v>433.10062959257624</v>
      </c>
      <c r="J36" s="105" t="s">
        <v>77</v>
      </c>
    </row>
    <row r="37" spans="1:11">
      <c r="A37" s="105"/>
      <c r="B37" s="105"/>
      <c r="C37" s="105"/>
      <c r="D37" s="105"/>
      <c r="E37" s="105"/>
      <c r="F37" s="105"/>
      <c r="G37" s="105"/>
      <c r="H37" s="105"/>
      <c r="I37" s="105"/>
    </row>
    <row r="38" spans="1:11">
      <c r="A38" s="170" t="s">
        <v>178</v>
      </c>
      <c r="B38" s="171"/>
      <c r="C38" s="171"/>
      <c r="D38" s="171"/>
      <c r="E38" s="171"/>
      <c r="F38" s="171"/>
    </row>
    <row r="39" spans="1:11">
      <c r="A39" s="1" t="s">
        <v>650</v>
      </c>
      <c r="G39" s="448"/>
      <c r="H39" s="105"/>
    </row>
    <row r="40" spans="1:11">
      <c r="A40" s="30"/>
      <c r="B40" s="31"/>
      <c r="C40" s="31"/>
      <c r="D40" s="31"/>
      <c r="E40" s="32"/>
      <c r="F40" s="30" t="s">
        <v>919</v>
      </c>
      <c r="G40" s="31"/>
      <c r="H40" s="31"/>
      <c r="I40" s="30" t="s">
        <v>920</v>
      </c>
      <c r="J40" s="31"/>
      <c r="K40" s="32"/>
    </row>
    <row r="41" spans="1:11" ht="18">
      <c r="A41" s="23" t="s">
        <v>74</v>
      </c>
      <c r="B41" s="24"/>
      <c r="C41" s="24"/>
      <c r="D41" s="24"/>
      <c r="E41" s="21"/>
      <c r="F41" s="30" t="s">
        <v>23</v>
      </c>
      <c r="G41" s="30" t="s">
        <v>80</v>
      </c>
      <c r="H41" s="33" t="s">
        <v>81</v>
      </c>
      <c r="I41" s="30" t="s">
        <v>23</v>
      </c>
      <c r="J41" s="30" t="s">
        <v>80</v>
      </c>
      <c r="K41" s="33" t="s">
        <v>81</v>
      </c>
    </row>
    <row r="42" spans="1:11">
      <c r="A42" s="28"/>
      <c r="B42" s="15"/>
      <c r="C42" s="15"/>
      <c r="D42" s="15"/>
      <c r="E42" s="22"/>
      <c r="F42" s="28" t="s">
        <v>34</v>
      </c>
      <c r="G42" s="28" t="s">
        <v>77</v>
      </c>
      <c r="H42" s="58" t="s">
        <v>77</v>
      </c>
      <c r="I42" s="28" t="s">
        <v>34</v>
      </c>
      <c r="J42" s="28" t="s">
        <v>77</v>
      </c>
      <c r="K42" s="58" t="s">
        <v>77</v>
      </c>
    </row>
    <row r="43" spans="1:11">
      <c r="A43" s="25" t="s">
        <v>180</v>
      </c>
      <c r="B43" s="26"/>
      <c r="C43" s="26"/>
      <c r="D43" s="26"/>
      <c r="E43" s="27" t="s">
        <v>1</v>
      </c>
      <c r="F43" s="456">
        <f>SUP!H19</f>
        <v>230</v>
      </c>
      <c r="G43" s="456">
        <f>SUP!H20</f>
        <v>-115</v>
      </c>
      <c r="H43" s="455">
        <f>SUP!H21</f>
        <v>0</v>
      </c>
      <c r="I43" s="456">
        <f>SUP!J19</f>
        <v>230</v>
      </c>
      <c r="J43" s="456">
        <f>SUP!J20</f>
        <v>115</v>
      </c>
      <c r="K43" s="455">
        <f>+SUP!J21</f>
        <v>0</v>
      </c>
    </row>
    <row r="44" spans="1:11">
      <c r="A44" s="25" t="s">
        <v>181</v>
      </c>
      <c r="B44" s="26"/>
      <c r="C44" s="26"/>
      <c r="D44" s="26"/>
      <c r="E44" s="27" t="s">
        <v>1</v>
      </c>
      <c r="F44" s="456">
        <f>SI!H28</f>
        <v>20.660000000000004</v>
      </c>
      <c r="G44" s="456">
        <f>SI!H29</f>
        <v>-10.330000000000002</v>
      </c>
      <c r="H44" s="455">
        <f>SI!H30</f>
        <v>0</v>
      </c>
      <c r="I44" s="456">
        <f>+SI!J28</f>
        <v>20.660000000000004</v>
      </c>
      <c r="J44" s="456">
        <f>SI!J29</f>
        <v>10.330000000000002</v>
      </c>
      <c r="K44" s="455">
        <f>SI!J30</f>
        <v>0</v>
      </c>
    </row>
    <row r="45" spans="1:11">
      <c r="A45" s="25" t="s">
        <v>182</v>
      </c>
      <c r="B45" s="26"/>
      <c r="C45" s="26"/>
      <c r="D45" s="26"/>
      <c r="E45" s="27" t="s">
        <v>1</v>
      </c>
      <c r="F45" s="456">
        <f>SI!H50</f>
        <v>42</v>
      </c>
      <c r="G45" s="456">
        <f>SI!H51</f>
        <v>-14.858499999999999</v>
      </c>
      <c r="H45" s="455">
        <f>SI!H52</f>
        <v>0</v>
      </c>
      <c r="I45" s="456">
        <f>SI!J50</f>
        <v>42</v>
      </c>
      <c r="J45" s="456">
        <f>SI!J51</f>
        <v>14.858499999999999</v>
      </c>
      <c r="K45" s="455">
        <f>SI!J52</f>
        <v>0</v>
      </c>
    </row>
    <row r="46" spans="1:11">
      <c r="A46" s="28"/>
      <c r="B46" s="15"/>
      <c r="C46" s="15"/>
      <c r="D46" s="15"/>
      <c r="E46" s="22"/>
      <c r="F46" s="28"/>
      <c r="G46" s="28"/>
      <c r="H46" s="58"/>
      <c r="I46" s="28"/>
      <c r="J46" s="28"/>
      <c r="K46" s="58"/>
    </row>
    <row r="47" spans="1:11">
      <c r="A47" s="30" t="s">
        <v>32</v>
      </c>
      <c r="B47" s="31"/>
      <c r="C47" s="31"/>
      <c r="D47" s="31"/>
      <c r="E47" s="31"/>
      <c r="F47" s="176">
        <f t="shared" ref="F47:K47" si="0">SUM(F43:F45)</f>
        <v>292.65999999999997</v>
      </c>
      <c r="G47" s="176">
        <f t="shared" si="0"/>
        <v>-140.1885</v>
      </c>
      <c r="H47" s="396">
        <f t="shared" si="0"/>
        <v>0</v>
      </c>
      <c r="I47" s="176">
        <f t="shared" si="0"/>
        <v>292.65999999999997</v>
      </c>
      <c r="J47" s="176">
        <f t="shared" si="0"/>
        <v>140.1885</v>
      </c>
      <c r="K47" s="396">
        <f t="shared" si="0"/>
        <v>0</v>
      </c>
    </row>
    <row r="48" spans="1:11">
      <c r="A48" s="105"/>
      <c r="B48" s="105"/>
      <c r="C48" s="105"/>
      <c r="D48" s="105"/>
      <c r="E48" s="105"/>
      <c r="F48" s="105"/>
      <c r="G48" s="1"/>
      <c r="H48" s="105"/>
    </row>
    <row r="49" spans="1:10" ht="18">
      <c r="A49" s="105" t="s">
        <v>174</v>
      </c>
      <c r="B49" s="105"/>
      <c r="C49" s="105"/>
      <c r="D49" s="105"/>
      <c r="E49" s="105" t="s">
        <v>179</v>
      </c>
      <c r="F49" s="105" t="s">
        <v>1</v>
      </c>
      <c r="G49" s="1">
        <f>H4</f>
        <v>0.10800000000000001</v>
      </c>
      <c r="H49" s="105"/>
    </row>
    <row r="50" spans="1:10">
      <c r="A50" s="105" t="s">
        <v>193</v>
      </c>
      <c r="B50" s="105"/>
      <c r="C50" s="105"/>
      <c r="D50" s="105"/>
      <c r="E50" s="105"/>
      <c r="F50" s="105" t="s">
        <v>1</v>
      </c>
      <c r="G50" s="177">
        <f>H14</f>
        <v>585.31999999999994</v>
      </c>
      <c r="H50" s="105" t="s">
        <v>34</v>
      </c>
      <c r="I50" s="105"/>
    </row>
    <row r="51" spans="1:10">
      <c r="A51" s="105"/>
      <c r="B51" s="105"/>
      <c r="C51" s="105"/>
      <c r="D51" s="105"/>
      <c r="E51" s="105"/>
      <c r="F51" s="105"/>
      <c r="G51" s="105"/>
      <c r="H51" s="105"/>
      <c r="I51" s="105"/>
    </row>
    <row r="52" spans="1:10">
      <c r="A52" s="178" t="s">
        <v>960</v>
      </c>
      <c r="B52" s="105"/>
      <c r="C52" s="105"/>
      <c r="D52" s="105"/>
      <c r="E52" s="105"/>
      <c r="F52" s="105"/>
      <c r="G52" s="177" t="s">
        <v>919</v>
      </c>
      <c r="H52" s="105"/>
      <c r="I52" s="177" t="s">
        <v>920</v>
      </c>
      <c r="J52" s="105"/>
    </row>
    <row r="53" spans="1:10">
      <c r="A53" s="163" t="s">
        <v>194</v>
      </c>
      <c r="B53" s="163"/>
      <c r="C53" s="163"/>
      <c r="D53" s="163"/>
      <c r="E53" s="163"/>
      <c r="F53" s="163" t="s">
        <v>1</v>
      </c>
      <c r="G53" s="177">
        <f>F47*G49</f>
        <v>31.607279999999999</v>
      </c>
      <c r="H53" s="163" t="s">
        <v>34</v>
      </c>
      <c r="I53" s="177">
        <f>I47*G49</f>
        <v>31.607279999999999</v>
      </c>
      <c r="J53" s="163" t="s">
        <v>34</v>
      </c>
    </row>
    <row r="54" spans="1:10" ht="18">
      <c r="A54" s="26" t="s">
        <v>81</v>
      </c>
      <c r="B54" s="163"/>
      <c r="C54" s="163"/>
      <c r="D54" s="163"/>
      <c r="E54" s="163"/>
      <c r="F54" s="163" t="s">
        <v>1</v>
      </c>
      <c r="G54" s="177">
        <f>H47*G49</f>
        <v>0</v>
      </c>
      <c r="H54" s="163" t="s">
        <v>77</v>
      </c>
      <c r="I54" s="177">
        <f>K47*G49</f>
        <v>0</v>
      </c>
      <c r="J54" s="163" t="s">
        <v>77</v>
      </c>
    </row>
    <row r="55" spans="1:10" ht="18">
      <c r="A55" s="26" t="s">
        <v>80</v>
      </c>
      <c r="B55" s="163"/>
      <c r="C55" s="163"/>
      <c r="D55" s="163"/>
      <c r="E55" s="163"/>
      <c r="F55" s="163" t="s">
        <v>1</v>
      </c>
      <c r="G55" s="177">
        <f>G47*G49</f>
        <v>-15.140358000000003</v>
      </c>
      <c r="H55" s="163" t="s">
        <v>77</v>
      </c>
      <c r="I55" s="177">
        <f>J47*G49</f>
        <v>15.140358000000003</v>
      </c>
      <c r="J55" s="163" t="s">
        <v>77</v>
      </c>
    </row>
    <row r="56" spans="1:10">
      <c r="G56" s="1"/>
      <c r="H56" s="1"/>
      <c r="I56" s="105"/>
    </row>
    <row r="57" spans="1:10">
      <c r="A57" s="179" t="s">
        <v>611</v>
      </c>
      <c r="B57" s="105"/>
      <c r="C57" s="105"/>
      <c r="D57" s="105"/>
      <c r="E57" s="105"/>
      <c r="F57" s="105"/>
      <c r="G57" s="105"/>
      <c r="H57" s="105"/>
      <c r="I57" s="105"/>
    </row>
    <row r="58" spans="1:10">
      <c r="A58" s="179" t="s">
        <v>919</v>
      </c>
      <c r="B58" s="105"/>
      <c r="C58" s="105"/>
      <c r="D58" s="105"/>
      <c r="E58" s="105"/>
      <c r="F58" s="105"/>
      <c r="G58" s="105"/>
      <c r="H58" s="105"/>
      <c r="I58" s="105"/>
    </row>
    <row r="59" spans="1:10" ht="18">
      <c r="A59" s="1626" t="s">
        <v>560</v>
      </c>
      <c r="B59" s="1627"/>
      <c r="C59" s="1628"/>
      <c r="D59" s="1085" t="s">
        <v>23</v>
      </c>
      <c r="E59" s="628" t="s">
        <v>201</v>
      </c>
      <c r="F59" s="628" t="s">
        <v>202</v>
      </c>
      <c r="G59" s="1085" t="s">
        <v>29</v>
      </c>
      <c r="H59" s="1084" t="s">
        <v>199</v>
      </c>
      <c r="I59" s="1084" t="s">
        <v>198</v>
      </c>
    </row>
    <row r="60" spans="1:10">
      <c r="A60" s="1629"/>
      <c r="B60" s="1630"/>
      <c r="C60" s="1631"/>
      <c r="D60" s="643" t="s">
        <v>51</v>
      </c>
      <c r="E60" s="1095" t="s">
        <v>51</v>
      </c>
      <c r="F60" s="1095" t="s">
        <v>51</v>
      </c>
      <c r="G60" s="643" t="s">
        <v>2</v>
      </c>
      <c r="H60" s="1088" t="s">
        <v>77</v>
      </c>
      <c r="I60" s="1088" t="s">
        <v>77</v>
      </c>
    </row>
    <row r="61" spans="1:10">
      <c r="A61" s="23" t="s">
        <v>200</v>
      </c>
      <c r="B61" s="161"/>
      <c r="C61" s="180"/>
      <c r="D61" s="160"/>
      <c r="E61" s="184">
        <f>G25</f>
        <v>0</v>
      </c>
      <c r="F61" s="460"/>
      <c r="G61" s="375">
        <f>G26</f>
        <v>0</v>
      </c>
      <c r="H61" s="471">
        <f>G27</f>
        <v>0</v>
      </c>
      <c r="I61" s="472"/>
    </row>
    <row r="62" spans="1:10">
      <c r="A62" s="28"/>
      <c r="B62" s="166"/>
      <c r="C62" s="167"/>
      <c r="D62" s="165"/>
      <c r="E62" s="181"/>
      <c r="F62" s="166"/>
      <c r="G62" s="183"/>
      <c r="H62" s="473"/>
      <c r="I62" s="474"/>
    </row>
    <row r="63" spans="1:10">
      <c r="A63" s="23" t="s">
        <v>203</v>
      </c>
      <c r="B63" s="161"/>
      <c r="C63" s="180"/>
      <c r="D63" s="160"/>
      <c r="E63" s="460"/>
      <c r="F63" s="184">
        <f>G34</f>
        <v>47.410919999999997</v>
      </c>
      <c r="G63" s="375">
        <f>G35</f>
        <v>9.1350395561312929</v>
      </c>
      <c r="H63" s="472"/>
      <c r="I63" s="471">
        <f>G36</f>
        <v>433.10062959257624</v>
      </c>
    </row>
    <row r="64" spans="1:10">
      <c r="A64" s="28"/>
      <c r="B64" s="166"/>
      <c r="C64" s="167"/>
      <c r="D64" s="165"/>
      <c r="E64" s="166"/>
      <c r="F64" s="181"/>
      <c r="G64" s="165"/>
      <c r="H64" s="474"/>
      <c r="I64" s="473"/>
    </row>
    <row r="65" spans="1:9">
      <c r="A65" s="25" t="s">
        <v>204</v>
      </c>
      <c r="B65" s="163"/>
      <c r="C65" s="164"/>
      <c r="D65" s="169">
        <f>G53</f>
        <v>31.607279999999999</v>
      </c>
      <c r="E65" s="163"/>
      <c r="F65" s="163"/>
      <c r="G65" s="162"/>
      <c r="H65" s="475">
        <f>G55</f>
        <v>-15.140358000000003</v>
      </c>
      <c r="I65" s="475">
        <f>G54</f>
        <v>0</v>
      </c>
    </row>
    <row r="66" spans="1:9">
      <c r="A66" s="28"/>
      <c r="B66" s="166"/>
      <c r="C66" s="167"/>
      <c r="D66" s="183"/>
      <c r="E66" s="166"/>
      <c r="F66" s="166"/>
      <c r="G66" s="165"/>
      <c r="H66" s="473"/>
      <c r="I66" s="474"/>
    </row>
    <row r="67" spans="1:9">
      <c r="A67" s="105"/>
      <c r="B67" s="105"/>
      <c r="C67" s="105"/>
      <c r="D67" s="105"/>
      <c r="E67" s="105"/>
      <c r="F67" s="105"/>
      <c r="G67" s="105"/>
      <c r="H67" s="105"/>
      <c r="I67" s="105"/>
    </row>
    <row r="68" spans="1:9">
      <c r="A68" s="179" t="s">
        <v>920</v>
      </c>
      <c r="B68" s="105"/>
      <c r="C68" s="105"/>
      <c r="D68" s="105"/>
      <c r="E68" s="105"/>
      <c r="F68" s="105"/>
      <c r="G68" s="105"/>
      <c r="H68" s="105"/>
      <c r="I68" s="105"/>
    </row>
    <row r="69" spans="1:9" ht="18">
      <c r="A69" s="1626" t="s">
        <v>560</v>
      </c>
      <c r="B69" s="1627"/>
      <c r="C69" s="1628"/>
      <c r="D69" s="1085" t="s">
        <v>23</v>
      </c>
      <c r="E69" s="628" t="s">
        <v>201</v>
      </c>
      <c r="F69" s="628" t="s">
        <v>202</v>
      </c>
      <c r="G69" s="1085" t="s">
        <v>29</v>
      </c>
      <c r="H69" s="1084" t="s">
        <v>199</v>
      </c>
      <c r="I69" s="1084" t="s">
        <v>198</v>
      </c>
    </row>
    <row r="70" spans="1:9">
      <c r="A70" s="1629"/>
      <c r="B70" s="1630"/>
      <c r="C70" s="1631"/>
      <c r="D70" s="643" t="s">
        <v>51</v>
      </c>
      <c r="E70" s="1095" t="s">
        <v>51</v>
      </c>
      <c r="F70" s="1095" t="s">
        <v>51</v>
      </c>
      <c r="G70" s="643" t="s">
        <v>2</v>
      </c>
      <c r="H70" s="1088" t="s">
        <v>77</v>
      </c>
      <c r="I70" s="1088" t="s">
        <v>77</v>
      </c>
    </row>
    <row r="71" spans="1:9">
      <c r="A71" s="23" t="s">
        <v>200</v>
      </c>
      <c r="B71" s="161"/>
      <c r="C71" s="180"/>
      <c r="D71" s="160"/>
      <c r="E71" s="184">
        <f>I25</f>
        <v>94.821839999999995</v>
      </c>
      <c r="F71" s="460"/>
      <c r="G71" s="375">
        <f>I26</f>
        <v>8.2800000000000011</v>
      </c>
      <c r="H71" s="471">
        <f>I27</f>
        <v>785.12483520000001</v>
      </c>
      <c r="I71" s="472"/>
    </row>
    <row r="72" spans="1:9">
      <c r="A72" s="28"/>
      <c r="B72" s="166"/>
      <c r="C72" s="167"/>
      <c r="D72" s="165"/>
      <c r="E72" s="181"/>
      <c r="F72" s="166"/>
      <c r="G72" s="183"/>
      <c r="H72" s="473"/>
      <c r="I72" s="474"/>
    </row>
    <row r="73" spans="1:9">
      <c r="A73" s="23" t="s">
        <v>203</v>
      </c>
      <c r="B73" s="161"/>
      <c r="C73" s="180"/>
      <c r="D73" s="160"/>
      <c r="E73" s="460"/>
      <c r="F73" s="184">
        <f>I34</f>
        <v>47.410919999999997</v>
      </c>
      <c r="G73" s="375">
        <f>I35</f>
        <v>9.1350395561312929</v>
      </c>
      <c r="H73" s="472"/>
      <c r="I73" s="471">
        <f>I36</f>
        <v>433.10062959257624</v>
      </c>
    </row>
    <row r="74" spans="1:9">
      <c r="A74" s="28"/>
      <c r="B74" s="166"/>
      <c r="C74" s="167"/>
      <c r="D74" s="165"/>
      <c r="E74" s="166"/>
      <c r="F74" s="181"/>
      <c r="G74" s="165"/>
      <c r="H74" s="474"/>
      <c r="I74" s="473"/>
    </row>
    <row r="75" spans="1:9">
      <c r="A75" s="25" t="s">
        <v>204</v>
      </c>
      <c r="B75" s="163"/>
      <c r="C75" s="164"/>
      <c r="D75" s="169">
        <f>I53</f>
        <v>31.607279999999999</v>
      </c>
      <c r="E75" s="163"/>
      <c r="F75" s="163"/>
      <c r="G75" s="162"/>
      <c r="H75" s="475">
        <f>I55</f>
        <v>15.140358000000003</v>
      </c>
      <c r="I75" s="475">
        <f>I54</f>
        <v>0</v>
      </c>
    </row>
    <row r="76" spans="1:9">
      <c r="A76" s="28"/>
      <c r="B76" s="166"/>
      <c r="C76" s="167"/>
      <c r="D76" s="183"/>
      <c r="E76" s="166"/>
      <c r="F76" s="166"/>
      <c r="G76" s="165"/>
      <c r="H76" s="473"/>
      <c r="I76" s="474"/>
    </row>
    <row r="77" spans="1:9">
      <c r="G77" s="658"/>
    </row>
  </sheetData>
  <mergeCells count="2">
    <mergeCell ref="A59:C60"/>
    <mergeCell ref="A69:C70"/>
  </mergeCells>
  <pageMargins left="0.70866141732283505" right="0.70866141732283505" top="0.74803149606299202" bottom="0.74803149606299202" header="0.31496062992126" footer="0.31496062992126"/>
  <pageSetup paperSize="9" orientation="portrait" blackAndWhite="1" r:id="rId1"/>
  <rowBreaks count="1" manualBreakCount="1">
    <brk id="37" max="10" man="1"/>
  </rowBreaks>
</worksheet>
</file>

<file path=xl/worksheets/sheet12.xml><?xml version="1.0" encoding="utf-8"?>
<worksheet xmlns="http://schemas.openxmlformats.org/spreadsheetml/2006/main" xmlns:r="http://schemas.openxmlformats.org/officeDocument/2006/relationships">
  <sheetPr codeName="Sheet13"/>
  <dimension ref="A1:P84"/>
  <sheetViews>
    <sheetView view="pageBreakPreview" zoomScaleSheetLayoutView="100" workbookViewId="0">
      <selection activeCell="E34" sqref="E34"/>
    </sheetView>
  </sheetViews>
  <sheetFormatPr defaultColWidth="7.7109375" defaultRowHeight="15"/>
  <cols>
    <col min="1" max="6" width="7.7109375" style="1"/>
    <col min="7" max="8" width="7.7109375" style="2"/>
    <col min="9" max="16384" width="7.7109375" style="1"/>
  </cols>
  <sheetData>
    <row r="1" spans="1:14">
      <c r="A1" s="9" t="s">
        <v>1519</v>
      </c>
    </row>
    <row r="3" spans="1:14" ht="18">
      <c r="A3" s="105" t="s">
        <v>183</v>
      </c>
      <c r="B3" s="105"/>
      <c r="C3" s="105"/>
      <c r="D3" s="105"/>
      <c r="F3" s="105" t="s">
        <v>184</v>
      </c>
      <c r="G3" s="105" t="s">
        <v>1</v>
      </c>
      <c r="H3" s="72">
        <f>SEIS!I51</f>
        <v>0.16200000000000001</v>
      </c>
    </row>
    <row r="4" spans="1:14" ht="18">
      <c r="A4" s="105" t="s">
        <v>185</v>
      </c>
      <c r="F4" s="105" t="s">
        <v>186</v>
      </c>
      <c r="G4" s="105" t="s">
        <v>1</v>
      </c>
      <c r="H4" s="72">
        <f>SEIS!I52</f>
        <v>0.16200000000000001</v>
      </c>
    </row>
    <row r="5" spans="1:14" ht="18">
      <c r="A5" s="105" t="s">
        <v>187</v>
      </c>
      <c r="F5" s="105" t="s">
        <v>188</v>
      </c>
      <c r="G5" s="105" t="s">
        <v>1</v>
      </c>
      <c r="H5" s="72">
        <f>SEIS!I53</f>
        <v>0.10800000000000001</v>
      </c>
    </row>
    <row r="7" spans="1:14">
      <c r="A7" s="1" t="s">
        <v>651</v>
      </c>
    </row>
    <row r="8" spans="1:14">
      <c r="A8" s="1" t="s">
        <v>961</v>
      </c>
      <c r="F8" s="1" t="s">
        <v>919</v>
      </c>
      <c r="G8" s="528"/>
      <c r="H8" s="528"/>
      <c r="K8" s="1" t="s">
        <v>920</v>
      </c>
    </row>
    <row r="9" spans="1:14" ht="18">
      <c r="A9" s="23" t="s">
        <v>74</v>
      </c>
      <c r="B9" s="24"/>
      <c r="C9" s="24"/>
      <c r="D9" s="24"/>
      <c r="E9" s="21"/>
      <c r="F9" s="31" t="s">
        <v>24</v>
      </c>
      <c r="G9" s="33" t="s">
        <v>80</v>
      </c>
      <c r="H9" s="33" t="s">
        <v>81</v>
      </c>
      <c r="I9" s="33" t="s">
        <v>29</v>
      </c>
      <c r="K9" s="33" t="s">
        <v>24</v>
      </c>
      <c r="L9" s="33" t="s">
        <v>80</v>
      </c>
      <c r="M9" s="33" t="s">
        <v>81</v>
      </c>
      <c r="N9" s="33" t="s">
        <v>29</v>
      </c>
    </row>
    <row r="10" spans="1:14">
      <c r="A10" s="28"/>
      <c r="B10" s="15"/>
      <c r="C10" s="15"/>
      <c r="D10" s="15"/>
      <c r="E10" s="22"/>
      <c r="F10" s="15" t="s">
        <v>34</v>
      </c>
      <c r="G10" s="58" t="s">
        <v>77</v>
      </c>
      <c r="H10" s="58" t="s">
        <v>77</v>
      </c>
      <c r="I10" s="58" t="s">
        <v>2</v>
      </c>
      <c r="K10" s="58" t="s">
        <v>34</v>
      </c>
      <c r="L10" s="58" t="s">
        <v>77</v>
      </c>
      <c r="M10" s="58" t="s">
        <v>77</v>
      </c>
      <c r="N10" s="58" t="s">
        <v>2</v>
      </c>
    </row>
    <row r="11" spans="1:14">
      <c r="A11" s="1" t="s">
        <v>961</v>
      </c>
      <c r="B11" s="26"/>
      <c r="C11" s="26"/>
      <c r="D11" s="26"/>
      <c r="E11" s="27" t="s">
        <v>1</v>
      </c>
      <c r="F11" s="174">
        <f>LL!H60</f>
        <v>65.160399999999996</v>
      </c>
      <c r="G11" s="455">
        <f>LL!H62</f>
        <v>-32.580199999999998</v>
      </c>
      <c r="H11" s="455">
        <f>LL!H64</f>
        <v>-10.105732306306301</v>
      </c>
      <c r="I11" s="455">
        <f>(GEN!K125-GEN!K147)+1.2</f>
        <v>10.965</v>
      </c>
      <c r="K11" s="455">
        <f>LL!J60</f>
        <v>75.185314285714313</v>
      </c>
      <c r="L11" s="455">
        <f>LL!J62</f>
        <v>37.592657142857156</v>
      </c>
      <c r="M11" s="455">
        <f>LL!J64</f>
        <v>-11.660497166023164</v>
      </c>
      <c r="N11" s="455">
        <f>(GEN!K125-GEN!K147)+1.2</f>
        <v>10.965</v>
      </c>
    </row>
    <row r="12" spans="1:14">
      <c r="B12" s="26"/>
      <c r="C12" s="26"/>
      <c r="D12" s="26"/>
      <c r="E12" s="27"/>
      <c r="F12" s="174"/>
      <c r="G12" s="455"/>
      <c r="H12" s="455"/>
      <c r="I12" s="455"/>
      <c r="K12" s="455"/>
      <c r="L12" s="455"/>
      <c r="M12" s="455"/>
      <c r="N12" s="455"/>
    </row>
    <row r="13" spans="1:14">
      <c r="A13" s="1" t="s">
        <v>962</v>
      </c>
      <c r="B13" s="26"/>
      <c r="C13" s="26"/>
      <c r="D13" s="26"/>
      <c r="E13" s="27" t="s">
        <v>1</v>
      </c>
      <c r="F13" s="174">
        <f>LL!H70</f>
        <v>0</v>
      </c>
      <c r="G13" s="455">
        <f>LL!H72</f>
        <v>0</v>
      </c>
      <c r="H13" s="455">
        <f>LL!H74</f>
        <v>0</v>
      </c>
      <c r="I13" s="455">
        <f>(GEN!K125-GEN!K147)+1.2</f>
        <v>10.965</v>
      </c>
      <c r="K13" s="455">
        <f>LL!J70</f>
        <v>127.89948571428575</v>
      </c>
      <c r="L13" s="455">
        <f>LL!J72</f>
        <v>63.949742857142873</v>
      </c>
      <c r="M13" s="455">
        <f>LL!J74</f>
        <v>-19.835942761904757</v>
      </c>
      <c r="N13" s="455">
        <f>(GEN!K125-GEN!K147)+1.2</f>
        <v>10.965</v>
      </c>
    </row>
    <row r="14" spans="1:14">
      <c r="A14" s="28"/>
      <c r="B14" s="15"/>
      <c r="C14" s="15"/>
      <c r="D14" s="15"/>
      <c r="E14" s="22"/>
      <c r="F14" s="28"/>
      <c r="G14" s="58"/>
      <c r="H14" s="449"/>
      <c r="I14" s="58"/>
      <c r="K14" s="58"/>
      <c r="L14" s="58"/>
      <c r="M14" s="531"/>
      <c r="N14" s="58"/>
    </row>
    <row r="15" spans="1:14">
      <c r="A15" s="26"/>
      <c r="B15" s="26"/>
      <c r="C15" s="26"/>
      <c r="D15" s="26"/>
      <c r="E15" s="26"/>
      <c r="F15" s="26"/>
      <c r="G15" s="26"/>
      <c r="H15" s="450"/>
      <c r="I15" s="26"/>
      <c r="K15" s="26"/>
      <c r="L15" s="26"/>
      <c r="M15" s="450"/>
      <c r="N15" s="26"/>
    </row>
    <row r="16" spans="1:14">
      <c r="A16" s="1" t="s">
        <v>24</v>
      </c>
      <c r="B16" s="1" t="s">
        <v>1</v>
      </c>
      <c r="C16" s="1" t="s">
        <v>205</v>
      </c>
    </row>
    <row r="17" spans="1:11">
      <c r="A17" s="1" t="s">
        <v>29</v>
      </c>
      <c r="B17" s="1" t="s">
        <v>1</v>
      </c>
      <c r="C17" s="1" t="s">
        <v>191</v>
      </c>
    </row>
    <row r="19" spans="1:11">
      <c r="A19" s="170" t="s">
        <v>176</v>
      </c>
      <c r="B19" s="171"/>
      <c r="C19" s="171"/>
      <c r="D19" s="171"/>
      <c r="E19" s="171"/>
      <c r="F19" s="171"/>
    </row>
    <row r="20" spans="1:11">
      <c r="A20" s="1" t="s">
        <v>206</v>
      </c>
    </row>
    <row r="21" spans="1:11">
      <c r="A21" s="1" t="s">
        <v>666</v>
      </c>
    </row>
    <row r="22" spans="1:11">
      <c r="A22" s="9"/>
      <c r="G22" s="468"/>
      <c r="H22" s="468"/>
    </row>
    <row r="23" spans="1:11">
      <c r="A23" s="1" t="s">
        <v>105</v>
      </c>
      <c r="C23" s="1" t="s">
        <v>1</v>
      </c>
      <c r="D23" s="72">
        <f>LLH!G36</f>
        <v>22.77</v>
      </c>
      <c r="E23" s="468" t="s">
        <v>30</v>
      </c>
      <c r="F23" s="6">
        <v>0.2</v>
      </c>
      <c r="G23" s="468"/>
      <c r="H23" s="468"/>
    </row>
    <row r="24" spans="1:11">
      <c r="A24" s="9"/>
      <c r="C24" s="1" t="s">
        <v>1</v>
      </c>
      <c r="D24" s="1">
        <f>D23*F23</f>
        <v>4.5540000000000003</v>
      </c>
      <c r="E24" s="1" t="s">
        <v>34</v>
      </c>
      <c r="G24" s="468"/>
      <c r="H24" s="468"/>
    </row>
    <row r="25" spans="1:11">
      <c r="A25" s="9"/>
      <c r="G25" s="468"/>
      <c r="H25" s="468"/>
    </row>
    <row r="26" spans="1:11">
      <c r="A26" s="1" t="s">
        <v>667</v>
      </c>
      <c r="E26" s="1" t="s">
        <v>1</v>
      </c>
      <c r="F26" s="367">
        <f>GEN!K125-GEN!K147-GEN!F112-GEN!E106</f>
        <v>8.2800000000000011</v>
      </c>
      <c r="G26" s="468" t="s">
        <v>2</v>
      </c>
      <c r="H26" s="468"/>
      <c r="I26" s="105"/>
    </row>
    <row r="27" spans="1:11" ht="18">
      <c r="A27" s="105" t="s">
        <v>665</v>
      </c>
      <c r="E27" s="1" t="s">
        <v>1</v>
      </c>
      <c r="F27" s="1">
        <f>D24*F26</f>
        <v>37.70712000000001</v>
      </c>
      <c r="G27" s="468" t="s">
        <v>77</v>
      </c>
      <c r="H27" s="468"/>
    </row>
    <row r="28" spans="1:11">
      <c r="A28" s="9"/>
      <c r="G28" s="468"/>
      <c r="H28" s="468"/>
    </row>
    <row r="29" spans="1:11">
      <c r="A29" s="170" t="s">
        <v>175</v>
      </c>
      <c r="B29" s="171"/>
      <c r="C29" s="171"/>
      <c r="D29" s="171"/>
      <c r="E29" s="171"/>
      <c r="F29" s="171"/>
    </row>
    <row r="30" spans="1:11" ht="18">
      <c r="A30" s="105" t="s">
        <v>174</v>
      </c>
      <c r="B30" s="105"/>
      <c r="C30" s="105"/>
      <c r="D30" s="105"/>
      <c r="E30" s="105" t="s">
        <v>186</v>
      </c>
      <c r="F30" s="105" t="s">
        <v>1</v>
      </c>
      <c r="G30" s="175">
        <f>H4</f>
        <v>0.16200000000000001</v>
      </c>
      <c r="H30" s="105"/>
    </row>
    <row r="31" spans="1:11">
      <c r="A31" s="105"/>
      <c r="B31" s="105"/>
      <c r="C31" s="105"/>
      <c r="D31" s="105"/>
      <c r="E31" s="105"/>
      <c r="F31" s="105"/>
      <c r="G31" s="175"/>
      <c r="H31" s="105"/>
    </row>
    <row r="32" spans="1:11">
      <c r="A32" s="187" t="s">
        <v>207</v>
      </c>
      <c r="B32" s="105"/>
      <c r="C32" s="105"/>
      <c r="D32" s="105"/>
      <c r="E32" s="105"/>
      <c r="F32" s="105"/>
      <c r="G32" s="175" t="s">
        <v>919</v>
      </c>
      <c r="H32" s="105"/>
      <c r="J32" s="175" t="s">
        <v>920</v>
      </c>
      <c r="K32" s="105"/>
    </row>
    <row r="33" spans="1:11">
      <c r="A33" s="105" t="s">
        <v>208</v>
      </c>
      <c r="B33" s="105"/>
      <c r="C33" s="105"/>
      <c r="D33" s="105"/>
      <c r="E33" s="105"/>
      <c r="F33" s="105" t="s">
        <v>1</v>
      </c>
      <c r="G33" s="188">
        <f>F11</f>
        <v>65.160399999999996</v>
      </c>
      <c r="H33" s="105" t="s">
        <v>34</v>
      </c>
      <c r="I33" s="105"/>
      <c r="J33" s="188">
        <f>K11</f>
        <v>75.185314285714313</v>
      </c>
      <c r="K33" s="105" t="s">
        <v>34</v>
      </c>
    </row>
    <row r="34" spans="1:11" ht="18">
      <c r="A34" s="105" t="s">
        <v>653</v>
      </c>
      <c r="B34" s="105"/>
      <c r="C34" s="105"/>
      <c r="D34" s="105"/>
      <c r="E34" s="105"/>
      <c r="F34" s="105" t="s">
        <v>1</v>
      </c>
      <c r="G34" s="110">
        <f>G33*G30</f>
        <v>10.555984799999999</v>
      </c>
      <c r="H34" s="105" t="s">
        <v>34</v>
      </c>
      <c r="I34" s="105"/>
      <c r="J34" s="110">
        <f>J33*G30</f>
        <v>12.18002091428572</v>
      </c>
      <c r="K34" s="105" t="s">
        <v>34</v>
      </c>
    </row>
    <row r="35" spans="1:11">
      <c r="A35" s="105" t="s">
        <v>189</v>
      </c>
      <c r="B35" s="105"/>
      <c r="C35" s="105"/>
      <c r="D35" s="105"/>
      <c r="E35" s="105"/>
      <c r="F35" s="105" t="s">
        <v>1</v>
      </c>
      <c r="G35" s="110">
        <f>I11</f>
        <v>10.965</v>
      </c>
      <c r="H35" s="105" t="s">
        <v>2</v>
      </c>
      <c r="I35" s="105"/>
      <c r="J35" s="110">
        <f>N11</f>
        <v>10.965</v>
      </c>
      <c r="K35" s="105" t="s">
        <v>2</v>
      </c>
    </row>
    <row r="36" spans="1:11" ht="18">
      <c r="A36" s="105" t="s">
        <v>195</v>
      </c>
      <c r="B36" s="105"/>
      <c r="C36" s="105"/>
      <c r="D36" s="105"/>
      <c r="E36" s="105"/>
      <c r="F36" s="105" t="s">
        <v>1</v>
      </c>
      <c r="G36" s="110">
        <f>G34*G35</f>
        <v>115.74637333199999</v>
      </c>
      <c r="H36" s="105" t="s">
        <v>77</v>
      </c>
      <c r="I36" s="105"/>
      <c r="J36" s="110">
        <f>J34*J35</f>
        <v>133.55392932514292</v>
      </c>
      <c r="K36" s="105" t="s">
        <v>77</v>
      </c>
    </row>
    <row r="37" spans="1:11">
      <c r="A37" s="9"/>
    </row>
    <row r="38" spans="1:11">
      <c r="A38" s="187" t="s">
        <v>963</v>
      </c>
      <c r="B38" s="105"/>
      <c r="C38" s="105"/>
      <c r="D38" s="105"/>
      <c r="E38" s="105"/>
      <c r="F38" s="105"/>
      <c r="G38" s="175" t="s">
        <v>919</v>
      </c>
      <c r="H38" s="105"/>
      <c r="J38" s="175" t="s">
        <v>920</v>
      </c>
      <c r="K38" s="105"/>
    </row>
    <row r="39" spans="1:11">
      <c r="A39" s="105" t="s">
        <v>208</v>
      </c>
      <c r="B39" s="105"/>
      <c r="C39" s="105"/>
      <c r="D39" s="105"/>
      <c r="E39" s="105"/>
      <c r="F39" s="105" t="s">
        <v>1</v>
      </c>
      <c r="G39" s="188">
        <f>F13</f>
        <v>0</v>
      </c>
      <c r="H39" s="105" t="s">
        <v>34</v>
      </c>
      <c r="I39" s="105"/>
      <c r="J39" s="188">
        <f>K13</f>
        <v>127.89948571428575</v>
      </c>
      <c r="K39" s="105" t="s">
        <v>34</v>
      </c>
    </row>
    <row r="40" spans="1:11" ht="18">
      <c r="A40" s="105" t="s">
        <v>653</v>
      </c>
      <c r="B40" s="105"/>
      <c r="C40" s="105"/>
      <c r="D40" s="105"/>
      <c r="E40" s="105"/>
      <c r="F40" s="105" t="s">
        <v>1</v>
      </c>
      <c r="G40" s="110">
        <f>G39*G30</f>
        <v>0</v>
      </c>
      <c r="H40" s="105" t="s">
        <v>34</v>
      </c>
      <c r="I40" s="105"/>
      <c r="J40" s="110">
        <f>J39*G30</f>
        <v>20.719716685714292</v>
      </c>
      <c r="K40" s="105" t="s">
        <v>34</v>
      </c>
    </row>
    <row r="41" spans="1:11">
      <c r="A41" s="105" t="s">
        <v>189</v>
      </c>
      <c r="B41" s="105"/>
      <c r="C41" s="105"/>
      <c r="D41" s="105"/>
      <c r="E41" s="105"/>
      <c r="F41" s="105" t="s">
        <v>1</v>
      </c>
      <c r="G41" s="110">
        <f>I13</f>
        <v>10.965</v>
      </c>
      <c r="H41" s="105" t="s">
        <v>2</v>
      </c>
      <c r="I41" s="105"/>
      <c r="J41" s="110">
        <f>N13</f>
        <v>10.965</v>
      </c>
      <c r="K41" s="105" t="s">
        <v>2</v>
      </c>
    </row>
    <row r="42" spans="1:11" ht="18">
      <c r="A42" s="105" t="s">
        <v>195</v>
      </c>
      <c r="B42" s="105"/>
      <c r="C42" s="105"/>
      <c r="D42" s="105"/>
      <c r="E42" s="105"/>
      <c r="F42" s="105" t="s">
        <v>1</v>
      </c>
      <c r="G42" s="110">
        <f>G40*G41</f>
        <v>0</v>
      </c>
      <c r="H42" s="105" t="s">
        <v>77</v>
      </c>
      <c r="I42" s="105"/>
      <c r="J42" s="110">
        <f>J40*J41</f>
        <v>227.1916934588572</v>
      </c>
      <c r="K42" s="105" t="s">
        <v>77</v>
      </c>
    </row>
    <row r="43" spans="1:11">
      <c r="A43" s="9"/>
      <c r="G43" s="528"/>
      <c r="H43" s="528"/>
    </row>
    <row r="44" spans="1:11">
      <c r="A44" s="9"/>
      <c r="G44" s="528"/>
      <c r="H44" s="528"/>
    </row>
    <row r="45" spans="1:11">
      <c r="A45" s="170" t="s">
        <v>178</v>
      </c>
      <c r="B45" s="171"/>
      <c r="C45" s="171"/>
      <c r="D45" s="171"/>
      <c r="E45" s="171"/>
      <c r="F45" s="171"/>
      <c r="G45" s="171"/>
    </row>
    <row r="46" spans="1:11" ht="18">
      <c r="A46" s="105" t="s">
        <v>187</v>
      </c>
      <c r="B46" s="105"/>
      <c r="C46" s="105"/>
      <c r="D46" s="105"/>
      <c r="E46" s="105" t="s">
        <v>186</v>
      </c>
      <c r="F46" s="105" t="s">
        <v>1</v>
      </c>
      <c r="G46" s="175">
        <f>H5</f>
        <v>0.10800000000000001</v>
      </c>
      <c r="H46" s="105"/>
    </row>
    <row r="47" spans="1:11">
      <c r="B47" s="105"/>
      <c r="C47" s="105"/>
      <c r="D47" s="105"/>
      <c r="E47" s="105"/>
      <c r="F47" s="105"/>
      <c r="G47" s="175"/>
      <c r="H47" s="105"/>
    </row>
    <row r="48" spans="1:11">
      <c r="A48" s="187" t="s">
        <v>207</v>
      </c>
      <c r="B48" s="105"/>
      <c r="C48" s="105"/>
      <c r="D48" s="105"/>
      <c r="E48" s="105"/>
      <c r="F48" s="105"/>
      <c r="G48" s="175" t="s">
        <v>919</v>
      </c>
      <c r="H48" s="105"/>
      <c r="J48" s="1" t="s">
        <v>920</v>
      </c>
    </row>
    <row r="49" spans="1:16">
      <c r="A49" s="105" t="s">
        <v>208</v>
      </c>
      <c r="B49" s="105"/>
      <c r="C49" s="105"/>
      <c r="D49" s="105"/>
      <c r="E49" s="105"/>
      <c r="F49" s="105" t="s">
        <v>1</v>
      </c>
      <c r="G49" s="188">
        <f>F11</f>
        <v>65.160399999999996</v>
      </c>
      <c r="H49" s="105" t="s">
        <v>34</v>
      </c>
      <c r="I49" s="105"/>
      <c r="J49" s="188">
        <f>K11</f>
        <v>75.185314285714313</v>
      </c>
      <c r="K49" s="105" t="s">
        <v>34</v>
      </c>
    </row>
    <row r="50" spans="1:16">
      <c r="A50" s="105" t="s">
        <v>194</v>
      </c>
      <c r="B50" s="105"/>
      <c r="C50" s="105"/>
      <c r="D50" s="105"/>
      <c r="E50" s="105"/>
      <c r="F50" s="105" t="s">
        <v>1</v>
      </c>
      <c r="G50" s="110">
        <f>G49*G46</f>
        <v>7.0373232000000003</v>
      </c>
      <c r="H50" s="105" t="s">
        <v>34</v>
      </c>
      <c r="I50" s="105"/>
      <c r="J50" s="110">
        <f>J49*G46</f>
        <v>8.1200139428571472</v>
      </c>
      <c r="K50" s="105" t="s">
        <v>34</v>
      </c>
    </row>
    <row r="51" spans="1:16" ht="18">
      <c r="A51" s="26" t="s">
        <v>81</v>
      </c>
      <c r="B51" s="105"/>
      <c r="C51" s="105"/>
      <c r="D51" s="105"/>
      <c r="E51" s="105"/>
      <c r="F51" s="105" t="s">
        <v>1</v>
      </c>
      <c r="G51" s="110">
        <f>H11*G46</f>
        <v>-1.0914190890810807</v>
      </c>
      <c r="H51" s="105" t="s">
        <v>77</v>
      </c>
      <c r="I51" s="105"/>
      <c r="J51" s="110">
        <f>M11*G46</f>
        <v>-1.259333693930502</v>
      </c>
      <c r="K51" s="105" t="s">
        <v>77</v>
      </c>
    </row>
    <row r="52" spans="1:16" ht="18">
      <c r="A52" s="26" t="s">
        <v>80</v>
      </c>
      <c r="B52" s="105"/>
      <c r="C52" s="105"/>
      <c r="D52" s="105"/>
      <c r="E52" s="105"/>
      <c r="F52" s="105" t="s">
        <v>1</v>
      </c>
      <c r="G52" s="110">
        <f>G11*G46</f>
        <v>-3.5186616000000002</v>
      </c>
      <c r="H52" s="105" t="s">
        <v>77</v>
      </c>
      <c r="I52" s="105"/>
      <c r="J52" s="110">
        <f>L11*G46</f>
        <v>4.0600069714285736</v>
      </c>
      <c r="K52" s="105" t="s">
        <v>77</v>
      </c>
    </row>
    <row r="53" spans="1:16">
      <c r="G53" s="1"/>
      <c r="H53" s="1"/>
      <c r="I53" s="105"/>
    </row>
    <row r="54" spans="1:16">
      <c r="A54" s="187" t="s">
        <v>964</v>
      </c>
      <c r="B54" s="105"/>
      <c r="C54" s="105"/>
      <c r="D54" s="105"/>
      <c r="E54" s="105"/>
      <c r="F54" s="105"/>
      <c r="G54" s="175" t="s">
        <v>919</v>
      </c>
      <c r="H54" s="105"/>
      <c r="J54" s="1" t="s">
        <v>920</v>
      </c>
    </row>
    <row r="55" spans="1:16">
      <c r="A55" s="105" t="s">
        <v>208</v>
      </c>
      <c r="B55" s="105"/>
      <c r="C55" s="105"/>
      <c r="D55" s="105"/>
      <c r="E55" s="105"/>
      <c r="F55" s="105" t="s">
        <v>1</v>
      </c>
      <c r="G55" s="188">
        <f>F13</f>
        <v>0</v>
      </c>
      <c r="H55" s="105" t="s">
        <v>34</v>
      </c>
      <c r="I55" s="105"/>
      <c r="J55" s="188">
        <f>K13</f>
        <v>127.89948571428575</v>
      </c>
      <c r="K55" s="105" t="s">
        <v>34</v>
      </c>
    </row>
    <row r="56" spans="1:16">
      <c r="A56" s="105" t="s">
        <v>194</v>
      </c>
      <c r="B56" s="105"/>
      <c r="C56" s="105"/>
      <c r="D56" s="105"/>
      <c r="E56" s="105"/>
      <c r="F56" s="105" t="s">
        <v>1</v>
      </c>
      <c r="G56" s="110">
        <f>G55*G46</f>
        <v>0</v>
      </c>
      <c r="H56" s="105" t="s">
        <v>34</v>
      </c>
      <c r="I56" s="105"/>
      <c r="J56" s="110">
        <f>J55*G46</f>
        <v>13.813144457142862</v>
      </c>
      <c r="K56" s="105" t="s">
        <v>34</v>
      </c>
    </row>
    <row r="57" spans="1:16" ht="18">
      <c r="A57" s="26" t="s">
        <v>81</v>
      </c>
      <c r="B57" s="105"/>
      <c r="C57" s="105"/>
      <c r="D57" s="105"/>
      <c r="E57" s="105"/>
      <c r="F57" s="105" t="s">
        <v>1</v>
      </c>
      <c r="G57" s="110">
        <f>H13*G46</f>
        <v>0</v>
      </c>
      <c r="H57" s="105" t="s">
        <v>77</v>
      </c>
      <c r="I57" s="105"/>
      <c r="J57" s="110">
        <f>M13*G46</f>
        <v>-2.142281818285714</v>
      </c>
      <c r="K57" s="105" t="s">
        <v>77</v>
      </c>
    </row>
    <row r="58" spans="1:16" ht="18">
      <c r="A58" s="26" t="s">
        <v>80</v>
      </c>
      <c r="B58" s="105"/>
      <c r="C58" s="105"/>
      <c r="D58" s="105"/>
      <c r="E58" s="105"/>
      <c r="F58" s="105" t="s">
        <v>1</v>
      </c>
      <c r="G58" s="110">
        <f>G13*G46</f>
        <v>0</v>
      </c>
      <c r="H58" s="105" t="s">
        <v>77</v>
      </c>
      <c r="I58" s="105"/>
      <c r="J58" s="110">
        <f>L13*G46</f>
        <v>6.9065722285714308</v>
      </c>
      <c r="K58" s="105" t="s">
        <v>77</v>
      </c>
    </row>
    <row r="59" spans="1:16">
      <c r="G59" s="1"/>
      <c r="H59" s="1"/>
      <c r="I59" s="105"/>
    </row>
    <row r="60" spans="1:16">
      <c r="G60" s="1"/>
      <c r="H60" s="1"/>
      <c r="I60" s="105"/>
    </row>
    <row r="61" spans="1:16">
      <c r="A61" s="179" t="s">
        <v>612</v>
      </c>
      <c r="B61" s="105"/>
      <c r="C61" s="105"/>
      <c r="D61" s="105"/>
      <c r="E61" s="105"/>
      <c r="F61" s="105"/>
      <c r="G61" s="105"/>
      <c r="H61" s="105"/>
    </row>
    <row r="62" spans="1:16">
      <c r="A62" s="187" t="s">
        <v>207</v>
      </c>
      <c r="B62" s="105"/>
      <c r="C62" s="105"/>
      <c r="D62" s="105"/>
      <c r="E62" s="105"/>
      <c r="F62" s="105"/>
      <c r="G62" s="105"/>
      <c r="H62" s="105"/>
    </row>
    <row r="63" spans="1:16">
      <c r="A63" s="187"/>
      <c r="B63" s="105"/>
      <c r="C63" s="105"/>
      <c r="D63" s="105" t="s">
        <v>919</v>
      </c>
      <c r="E63" s="105"/>
      <c r="F63" s="105"/>
      <c r="G63" s="105"/>
      <c r="H63" s="105"/>
      <c r="K63" s="105" t="s">
        <v>920</v>
      </c>
      <c r="L63" s="105"/>
      <c r="M63" s="105"/>
      <c r="N63" s="105"/>
      <c r="O63" s="105"/>
    </row>
    <row r="64" spans="1:16" ht="18">
      <c r="A64" s="160" t="s">
        <v>209</v>
      </c>
      <c r="B64" s="161"/>
      <c r="C64" s="161"/>
      <c r="D64" s="1085" t="s">
        <v>23</v>
      </c>
      <c r="E64" s="628" t="s">
        <v>201</v>
      </c>
      <c r="F64" s="628" t="s">
        <v>202</v>
      </c>
      <c r="G64" s="1084" t="s">
        <v>29</v>
      </c>
      <c r="H64" s="1086" t="s">
        <v>199</v>
      </c>
      <c r="I64" s="1086" t="s">
        <v>198</v>
      </c>
      <c r="K64" s="1085" t="s">
        <v>23</v>
      </c>
      <c r="L64" s="628" t="s">
        <v>201</v>
      </c>
      <c r="M64" s="628" t="s">
        <v>202</v>
      </c>
      <c r="N64" s="1084" t="s">
        <v>29</v>
      </c>
      <c r="O64" s="1086" t="s">
        <v>199</v>
      </c>
      <c r="P64" s="1086" t="s">
        <v>198</v>
      </c>
    </row>
    <row r="65" spans="1:16">
      <c r="A65" s="165"/>
      <c r="B65" s="166"/>
      <c r="C65" s="166"/>
      <c r="D65" s="643" t="s">
        <v>51</v>
      </c>
      <c r="E65" s="1095" t="s">
        <v>51</v>
      </c>
      <c r="F65" s="1095" t="s">
        <v>51</v>
      </c>
      <c r="G65" s="1088" t="s">
        <v>2</v>
      </c>
      <c r="H65" s="1099" t="s">
        <v>77</v>
      </c>
      <c r="I65" s="1099" t="s">
        <v>77</v>
      </c>
      <c r="K65" s="643" t="s">
        <v>51</v>
      </c>
      <c r="L65" s="1095" t="s">
        <v>51</v>
      </c>
      <c r="M65" s="1095" t="s">
        <v>51</v>
      </c>
      <c r="N65" s="1088" t="s">
        <v>2</v>
      </c>
      <c r="O65" s="1099" t="s">
        <v>77</v>
      </c>
      <c r="P65" s="1099" t="s">
        <v>77</v>
      </c>
    </row>
    <row r="66" spans="1:16">
      <c r="A66" s="23" t="s">
        <v>200</v>
      </c>
      <c r="B66" s="161"/>
      <c r="C66" s="180"/>
      <c r="D66" s="160"/>
      <c r="E66" s="189">
        <v>0</v>
      </c>
      <c r="F66" s="161"/>
      <c r="G66" s="1096">
        <v>0</v>
      </c>
      <c r="H66" s="190">
        <v>0</v>
      </c>
      <c r="I66" s="180"/>
      <c r="K66" s="160"/>
      <c r="L66" s="189">
        <f>D24</f>
        <v>4.5540000000000003</v>
      </c>
      <c r="M66" s="161"/>
      <c r="N66" s="1096">
        <f>F26</f>
        <v>8.2800000000000011</v>
      </c>
      <c r="O66" s="190">
        <f>F27</f>
        <v>37.70712000000001</v>
      </c>
      <c r="P66" s="180"/>
    </row>
    <row r="67" spans="1:16">
      <c r="A67" s="28"/>
      <c r="B67" s="166"/>
      <c r="C67" s="167"/>
      <c r="D67" s="165"/>
      <c r="E67" s="181"/>
      <c r="F67" s="166"/>
      <c r="G67" s="1097"/>
      <c r="H67" s="182"/>
      <c r="I67" s="167"/>
      <c r="K67" s="165"/>
      <c r="L67" s="181"/>
      <c r="M67" s="166"/>
      <c r="N67" s="1097"/>
      <c r="O67" s="182"/>
      <c r="P67" s="167"/>
    </row>
    <row r="68" spans="1:16">
      <c r="A68" s="23" t="s">
        <v>203</v>
      </c>
      <c r="B68" s="161"/>
      <c r="C68" s="180"/>
      <c r="D68" s="160"/>
      <c r="E68" s="460"/>
      <c r="F68" s="184">
        <f>G34</f>
        <v>10.555984799999999</v>
      </c>
      <c r="G68" s="824">
        <f>G35</f>
        <v>10.965</v>
      </c>
      <c r="H68" s="461"/>
      <c r="I68" s="185">
        <f>G36</f>
        <v>115.74637333199999</v>
      </c>
      <c r="K68" s="160"/>
      <c r="L68" s="460"/>
      <c r="M68" s="184">
        <f>J34</f>
        <v>12.18002091428572</v>
      </c>
      <c r="N68" s="824">
        <f>J35</f>
        <v>10.965</v>
      </c>
      <c r="O68" s="461"/>
      <c r="P68" s="185">
        <f>J36</f>
        <v>133.55392932514292</v>
      </c>
    </row>
    <row r="69" spans="1:16">
      <c r="A69" s="28"/>
      <c r="B69" s="166"/>
      <c r="C69" s="167"/>
      <c r="D69" s="165"/>
      <c r="E69" s="166"/>
      <c r="F69" s="181"/>
      <c r="G69" s="1098"/>
      <c r="H69" s="167"/>
      <c r="I69" s="182"/>
      <c r="K69" s="165"/>
      <c r="L69" s="166"/>
      <c r="M69" s="181"/>
      <c r="N69" s="1098"/>
      <c r="O69" s="167"/>
      <c r="P69" s="182"/>
    </row>
    <row r="70" spans="1:16">
      <c r="A70" s="25" t="s">
        <v>204</v>
      </c>
      <c r="B70" s="163"/>
      <c r="C70" s="164"/>
      <c r="D70" s="459">
        <f>G50</f>
        <v>7.0373232000000003</v>
      </c>
      <c r="E70" s="163"/>
      <c r="F70" s="163"/>
      <c r="G70" s="776"/>
      <c r="H70" s="168">
        <f>G52</f>
        <v>-3.5186616000000002</v>
      </c>
      <c r="I70" s="476">
        <f>G51</f>
        <v>-1.0914190890810807</v>
      </c>
      <c r="K70" s="459">
        <f>J50</f>
        <v>8.1200139428571472</v>
      </c>
      <c r="L70" s="163"/>
      <c r="M70" s="163"/>
      <c r="N70" s="776"/>
      <c r="O70" s="168">
        <f>J52</f>
        <v>4.0600069714285736</v>
      </c>
      <c r="P70" s="476">
        <f>J51</f>
        <v>-1.259333693930502</v>
      </c>
    </row>
    <row r="71" spans="1:16">
      <c r="A71" s="28"/>
      <c r="B71" s="166"/>
      <c r="C71" s="167"/>
      <c r="D71" s="183"/>
      <c r="E71" s="166"/>
      <c r="F71" s="166"/>
      <c r="G71" s="1098"/>
      <c r="H71" s="182"/>
      <c r="I71" s="167"/>
      <c r="K71" s="183"/>
      <c r="L71" s="166"/>
      <c r="M71" s="166"/>
      <c r="N71" s="1098"/>
      <c r="O71" s="182"/>
      <c r="P71" s="167"/>
    </row>
    <row r="72" spans="1:16">
      <c r="G72" s="658"/>
      <c r="I72" s="2"/>
      <c r="J72" s="2"/>
      <c r="N72" s="7"/>
    </row>
    <row r="73" spans="1:16">
      <c r="G73" s="658"/>
      <c r="I73" s="2"/>
      <c r="J73" s="2"/>
      <c r="N73" s="7"/>
    </row>
    <row r="74" spans="1:16">
      <c r="A74" s="187" t="s">
        <v>965</v>
      </c>
      <c r="B74" s="105"/>
      <c r="C74" s="105"/>
      <c r="D74" s="105"/>
      <c r="E74" s="105"/>
      <c r="F74" s="105"/>
      <c r="G74" s="105"/>
      <c r="H74" s="105"/>
      <c r="N74" s="7"/>
    </row>
    <row r="75" spans="1:16">
      <c r="A75" s="187"/>
      <c r="B75" s="105"/>
      <c r="C75" s="105"/>
      <c r="D75" s="105" t="s">
        <v>919</v>
      </c>
      <c r="E75" s="105"/>
      <c r="F75" s="105"/>
      <c r="G75" s="105"/>
      <c r="H75" s="105"/>
      <c r="K75" s="105" t="s">
        <v>920</v>
      </c>
      <c r="L75" s="105"/>
      <c r="M75" s="105"/>
      <c r="N75" s="105"/>
      <c r="O75" s="105"/>
    </row>
    <row r="76" spans="1:16" ht="18">
      <c r="A76" s="160" t="s">
        <v>209</v>
      </c>
      <c r="B76" s="161"/>
      <c r="C76" s="161"/>
      <c r="D76" s="1085" t="s">
        <v>23</v>
      </c>
      <c r="E76" s="628" t="s">
        <v>201</v>
      </c>
      <c r="F76" s="628" t="s">
        <v>202</v>
      </c>
      <c r="G76" s="1084" t="s">
        <v>29</v>
      </c>
      <c r="H76" s="1086" t="s">
        <v>199</v>
      </c>
      <c r="I76" s="1086" t="s">
        <v>198</v>
      </c>
      <c r="K76" s="1085" t="s">
        <v>23</v>
      </c>
      <c r="L76" s="628" t="s">
        <v>201</v>
      </c>
      <c r="M76" s="628" t="s">
        <v>202</v>
      </c>
      <c r="N76" s="1084" t="s">
        <v>29</v>
      </c>
      <c r="O76" s="1086" t="s">
        <v>199</v>
      </c>
      <c r="P76" s="1086" t="s">
        <v>198</v>
      </c>
    </row>
    <row r="77" spans="1:16">
      <c r="A77" s="165"/>
      <c r="B77" s="166"/>
      <c r="C77" s="166"/>
      <c r="D77" s="643" t="s">
        <v>51</v>
      </c>
      <c r="E77" s="1095" t="s">
        <v>51</v>
      </c>
      <c r="F77" s="1095" t="s">
        <v>51</v>
      </c>
      <c r="G77" s="1088" t="s">
        <v>2</v>
      </c>
      <c r="H77" s="1099" t="s">
        <v>77</v>
      </c>
      <c r="I77" s="1099" t="s">
        <v>77</v>
      </c>
      <c r="K77" s="643" t="s">
        <v>51</v>
      </c>
      <c r="L77" s="1095" t="s">
        <v>51</v>
      </c>
      <c r="M77" s="1095" t="s">
        <v>51</v>
      </c>
      <c r="N77" s="1088" t="s">
        <v>2</v>
      </c>
      <c r="O77" s="1099" t="s">
        <v>77</v>
      </c>
      <c r="P77" s="1099" t="s">
        <v>77</v>
      </c>
    </row>
    <row r="78" spans="1:16">
      <c r="A78" s="23" t="s">
        <v>200</v>
      </c>
      <c r="B78" s="161"/>
      <c r="C78" s="180"/>
      <c r="D78" s="160"/>
      <c r="E78" s="189">
        <v>0</v>
      </c>
      <c r="F78" s="161"/>
      <c r="G78" s="1096">
        <v>0</v>
      </c>
      <c r="H78" s="190">
        <v>0</v>
      </c>
      <c r="I78" s="180"/>
      <c r="K78" s="160"/>
      <c r="L78" s="189">
        <f>D24</f>
        <v>4.5540000000000003</v>
      </c>
      <c r="M78" s="161"/>
      <c r="N78" s="1096">
        <f>F26</f>
        <v>8.2800000000000011</v>
      </c>
      <c r="O78" s="190">
        <f>F27</f>
        <v>37.70712000000001</v>
      </c>
      <c r="P78" s="180"/>
    </row>
    <row r="79" spans="1:16">
      <c r="A79" s="28"/>
      <c r="B79" s="166"/>
      <c r="C79" s="167"/>
      <c r="D79" s="165"/>
      <c r="E79" s="181"/>
      <c r="F79" s="166"/>
      <c r="G79" s="1097"/>
      <c r="H79" s="182"/>
      <c r="I79" s="167"/>
      <c r="K79" s="165"/>
      <c r="L79" s="181"/>
      <c r="M79" s="166"/>
      <c r="N79" s="1097"/>
      <c r="O79" s="182"/>
      <c r="P79" s="167"/>
    </row>
    <row r="80" spans="1:16">
      <c r="A80" s="23" t="s">
        <v>203</v>
      </c>
      <c r="B80" s="161"/>
      <c r="C80" s="180"/>
      <c r="D80" s="160"/>
      <c r="E80" s="460"/>
      <c r="F80" s="184">
        <f>G40</f>
        <v>0</v>
      </c>
      <c r="G80" s="824">
        <f>G41</f>
        <v>10.965</v>
      </c>
      <c r="H80" s="461"/>
      <c r="I80" s="185">
        <f>G42</f>
        <v>0</v>
      </c>
      <c r="K80" s="160"/>
      <c r="L80" s="460"/>
      <c r="M80" s="184">
        <f>J40</f>
        <v>20.719716685714292</v>
      </c>
      <c r="N80" s="824">
        <f>J41</f>
        <v>10.965</v>
      </c>
      <c r="O80" s="461"/>
      <c r="P80" s="185">
        <f>J42</f>
        <v>227.1916934588572</v>
      </c>
    </row>
    <row r="81" spans="1:16">
      <c r="A81" s="28"/>
      <c r="B81" s="166"/>
      <c r="C81" s="167"/>
      <c r="D81" s="165"/>
      <c r="E81" s="166"/>
      <c r="F81" s="181"/>
      <c r="G81" s="1098"/>
      <c r="H81" s="167"/>
      <c r="I81" s="182"/>
      <c r="K81" s="165"/>
      <c r="L81" s="166"/>
      <c r="M81" s="181"/>
      <c r="N81" s="1098"/>
      <c r="O81" s="167"/>
      <c r="P81" s="182"/>
    </row>
    <row r="82" spans="1:16">
      <c r="A82" s="25" t="s">
        <v>204</v>
      </c>
      <c r="B82" s="163"/>
      <c r="C82" s="164"/>
      <c r="D82" s="459">
        <f>G56</f>
        <v>0</v>
      </c>
      <c r="E82" s="163"/>
      <c r="F82" s="163"/>
      <c r="G82" s="776"/>
      <c r="H82" s="168">
        <f>G58</f>
        <v>0</v>
      </c>
      <c r="I82" s="476">
        <f>G57</f>
        <v>0</v>
      </c>
      <c r="K82" s="459">
        <f>J56</f>
        <v>13.813144457142862</v>
      </c>
      <c r="L82" s="163"/>
      <c r="M82" s="163"/>
      <c r="N82" s="776"/>
      <c r="O82" s="168">
        <f>J58</f>
        <v>6.9065722285714308</v>
      </c>
      <c r="P82" s="476">
        <f>J57</f>
        <v>-2.142281818285714</v>
      </c>
    </row>
    <row r="83" spans="1:16">
      <c r="A83" s="28"/>
      <c r="B83" s="166"/>
      <c r="C83" s="167"/>
      <c r="D83" s="183"/>
      <c r="E83" s="166"/>
      <c r="F83" s="166"/>
      <c r="G83" s="1098"/>
      <c r="H83" s="182"/>
      <c r="I83" s="167"/>
      <c r="K83" s="183"/>
      <c r="L83" s="166"/>
      <c r="M83" s="166"/>
      <c r="N83" s="1098"/>
      <c r="O83" s="182"/>
      <c r="P83" s="167"/>
    </row>
    <row r="84" spans="1:16">
      <c r="G84" s="658"/>
    </row>
  </sheetData>
  <pageMargins left="0.70866141732283505" right="0.70866141732283505" top="0.74803149606299202" bottom="0.74803149606299202" header="0.31496062992126" footer="0.31496062992126"/>
  <pageSetup paperSize="9" orientation="landscape" blackAndWhite="1" r:id="rId1"/>
  <rowBreaks count="2" manualBreakCount="2">
    <brk id="28" max="16383" man="1"/>
    <brk id="59" max="15" man="1"/>
  </rowBreaks>
</worksheet>
</file>

<file path=xl/worksheets/sheet13.xml><?xml version="1.0" encoding="utf-8"?>
<worksheet xmlns="http://schemas.openxmlformats.org/spreadsheetml/2006/main" xmlns:r="http://schemas.openxmlformats.org/officeDocument/2006/relationships">
  <sheetPr codeName="Sheet14"/>
  <dimension ref="A1:K60"/>
  <sheetViews>
    <sheetView view="pageBreakPreview" zoomScaleSheetLayoutView="100" workbookViewId="0">
      <selection activeCell="M33" sqref="M33"/>
    </sheetView>
  </sheetViews>
  <sheetFormatPr defaultColWidth="7.7109375" defaultRowHeight="15"/>
  <cols>
    <col min="1" max="4" width="7.7109375" style="1"/>
    <col min="5" max="6" width="7.85546875" style="1" bestFit="1" customWidth="1"/>
    <col min="7" max="7" width="8.140625" style="2" bestFit="1" customWidth="1"/>
    <col min="8" max="8" width="7.85546875" style="2" bestFit="1" customWidth="1"/>
    <col min="9" max="16384" width="7.7109375" style="1"/>
  </cols>
  <sheetData>
    <row r="1" spans="1:11">
      <c r="A1" s="9" t="s">
        <v>177</v>
      </c>
    </row>
    <row r="2" spans="1:11" ht="18">
      <c r="A2" s="105" t="s">
        <v>183</v>
      </c>
      <c r="B2" s="105"/>
      <c r="C2" s="105"/>
      <c r="D2" s="105"/>
      <c r="F2" s="105" t="s">
        <v>184</v>
      </c>
      <c r="G2" s="106" t="s">
        <v>1</v>
      </c>
      <c r="H2" s="72">
        <f>SEIS!I51</f>
        <v>0.16200000000000001</v>
      </c>
    </row>
    <row r="3" spans="1:11" ht="18">
      <c r="A3" s="105" t="s">
        <v>185</v>
      </c>
      <c r="F3" s="105" t="s">
        <v>186</v>
      </c>
      <c r="G3" s="106" t="s">
        <v>1</v>
      </c>
      <c r="H3" s="72">
        <f>SEIS!I52</f>
        <v>0.16200000000000001</v>
      </c>
    </row>
    <row r="4" spans="1:11" ht="18">
      <c r="A4" s="105" t="s">
        <v>187</v>
      </c>
      <c r="F4" s="105" t="s">
        <v>188</v>
      </c>
      <c r="G4" s="106" t="s">
        <v>1</v>
      </c>
      <c r="H4" s="72">
        <f>SEIS!I53</f>
        <v>0.10800000000000001</v>
      </c>
    </row>
    <row r="6" spans="1:11">
      <c r="A6" s="1" t="s">
        <v>246</v>
      </c>
    </row>
    <row r="7" spans="1:11" ht="18">
      <c r="A7" s="23" t="s">
        <v>74</v>
      </c>
      <c r="B7" s="24"/>
      <c r="C7" s="24"/>
      <c r="D7" s="30" t="s">
        <v>24</v>
      </c>
      <c r="E7" s="32"/>
      <c r="F7" s="1286" t="s">
        <v>83</v>
      </c>
      <c r="G7" s="1288" t="s">
        <v>82</v>
      </c>
      <c r="H7" s="1285" t="s">
        <v>84</v>
      </c>
    </row>
    <row r="8" spans="1:11">
      <c r="A8" s="25"/>
      <c r="B8" s="26"/>
      <c r="C8" s="26"/>
      <c r="D8" s="25" t="s">
        <v>34</v>
      </c>
      <c r="E8" s="27"/>
      <c r="F8" s="1284" t="s">
        <v>2</v>
      </c>
      <c r="G8" s="1289" t="s">
        <v>2</v>
      </c>
      <c r="H8" s="1283" t="s">
        <v>2</v>
      </c>
    </row>
    <row r="9" spans="1:11">
      <c r="A9" s="160" t="s">
        <v>39</v>
      </c>
      <c r="B9" s="24"/>
      <c r="C9" s="24"/>
      <c r="D9" s="1312">
        <f>GEN!H230</f>
        <v>165.42303866482536</v>
      </c>
      <c r="E9" s="1283"/>
      <c r="F9" s="1307">
        <f>GEN!I230</f>
        <v>5.4959656538431281</v>
      </c>
      <c r="G9" s="1315">
        <f>GEN!J230</f>
        <v>0</v>
      </c>
      <c r="H9" s="1308">
        <f>GEN!K230</f>
        <v>0</v>
      </c>
    </row>
    <row r="10" spans="1:11">
      <c r="A10" s="162" t="s">
        <v>1045</v>
      </c>
      <c r="B10" s="26"/>
      <c r="C10" s="26"/>
      <c r="D10" s="1313">
        <f>GEN!H238</f>
        <v>199.66499999999996</v>
      </c>
      <c r="E10" s="60"/>
      <c r="F10" s="1216">
        <f>GEN!I238</f>
        <v>0.9</v>
      </c>
      <c r="G10" s="463">
        <f>GEN!J238</f>
        <v>0</v>
      </c>
      <c r="H10" s="1309">
        <f>GEN!K238</f>
        <v>0</v>
      </c>
    </row>
    <row r="11" spans="1:11">
      <c r="A11" s="28"/>
      <c r="B11" s="15"/>
      <c r="C11" s="15"/>
      <c r="D11" s="1314"/>
      <c r="E11" s="22"/>
      <c r="F11" s="1310"/>
      <c r="G11" s="1316"/>
      <c r="H11" s="1311"/>
    </row>
    <row r="12" spans="1:11">
      <c r="A12" s="1" t="s">
        <v>24</v>
      </c>
      <c r="B12" s="1" t="s">
        <v>1</v>
      </c>
      <c r="C12" s="1" t="s">
        <v>190</v>
      </c>
    </row>
    <row r="13" spans="1:11">
      <c r="A13" s="1" t="s">
        <v>29</v>
      </c>
      <c r="B13" s="1" t="s">
        <v>1</v>
      </c>
      <c r="C13" s="1" t="s">
        <v>191</v>
      </c>
    </row>
    <row r="15" spans="1:11">
      <c r="A15" s="170" t="s">
        <v>176</v>
      </c>
      <c r="B15" s="171"/>
      <c r="C15" s="171"/>
      <c r="D15" s="171"/>
      <c r="E15" s="171"/>
      <c r="F15" s="171"/>
      <c r="G15" s="3" t="s">
        <v>247</v>
      </c>
      <c r="J15" s="529" t="s">
        <v>628</v>
      </c>
      <c r="K15" s="528"/>
    </row>
    <row r="16" spans="1:11" ht="18">
      <c r="A16" s="105" t="s">
        <v>192</v>
      </c>
      <c r="B16" s="105"/>
      <c r="C16" s="105"/>
      <c r="D16" s="105"/>
      <c r="E16" s="105" t="s">
        <v>184</v>
      </c>
      <c r="F16" s="105" t="s">
        <v>1</v>
      </c>
      <c r="G16" s="175">
        <f>H2</f>
        <v>0.16200000000000001</v>
      </c>
      <c r="H16" s="105"/>
      <c r="J16" s="175">
        <f>H2</f>
        <v>0.16200000000000001</v>
      </c>
      <c r="K16" s="105"/>
    </row>
    <row r="17" spans="1:11">
      <c r="A17" s="105" t="s">
        <v>210</v>
      </c>
      <c r="B17" s="105"/>
      <c r="C17" s="105"/>
      <c r="D17" s="105"/>
      <c r="E17" s="105"/>
      <c r="F17" s="105" t="s">
        <v>1</v>
      </c>
      <c r="G17" s="177">
        <f>D9</f>
        <v>165.42303866482536</v>
      </c>
      <c r="H17" s="105" t="s">
        <v>34</v>
      </c>
      <c r="J17" s="177">
        <f>SUB_SEIS!D10</f>
        <v>199.66499999999996</v>
      </c>
      <c r="K17" s="105" t="s">
        <v>34</v>
      </c>
    </row>
    <row r="18" spans="1:11">
      <c r="A18" s="105"/>
      <c r="B18" s="105"/>
      <c r="C18" s="105"/>
      <c r="D18" s="105"/>
      <c r="E18" s="105"/>
      <c r="F18" s="105"/>
      <c r="G18" s="177"/>
      <c r="H18" s="105"/>
      <c r="J18" s="177"/>
      <c r="K18" s="105"/>
    </row>
    <row r="19" spans="1:11" ht="18">
      <c r="A19" s="105" t="s">
        <v>652</v>
      </c>
      <c r="B19" s="105"/>
      <c r="C19" s="105"/>
      <c r="D19" s="105"/>
      <c r="E19" s="105"/>
      <c r="F19" s="105" t="s">
        <v>1</v>
      </c>
      <c r="G19" s="177">
        <f>G17*G16</f>
        <v>26.798532263701709</v>
      </c>
      <c r="H19" s="105" t="s">
        <v>34</v>
      </c>
      <c r="J19" s="177">
        <f>J17*J16</f>
        <v>32.345729999999996</v>
      </c>
      <c r="K19" s="105" t="s">
        <v>34</v>
      </c>
    </row>
    <row r="20" spans="1:11">
      <c r="A20" s="105" t="s">
        <v>189</v>
      </c>
      <c r="B20" s="105"/>
      <c r="C20" s="105"/>
      <c r="D20" s="105"/>
      <c r="E20" s="105"/>
      <c r="F20" s="105" t="s">
        <v>1</v>
      </c>
      <c r="G20" s="177">
        <f>F9</f>
        <v>5.4959656538431281</v>
      </c>
      <c r="H20" s="105" t="s">
        <v>2</v>
      </c>
      <c r="J20" s="177">
        <f>SUB_SEIS!F10</f>
        <v>0.9</v>
      </c>
      <c r="K20" s="105" t="s">
        <v>2</v>
      </c>
    </row>
    <row r="21" spans="1:11" ht="18">
      <c r="A21" s="105" t="s">
        <v>196</v>
      </c>
      <c r="B21" s="105"/>
      <c r="C21" s="105"/>
      <c r="D21" s="105"/>
      <c r="E21" s="105"/>
      <c r="F21" s="105" t="s">
        <v>1</v>
      </c>
      <c r="G21" s="177">
        <f>G19*G20</f>
        <v>147.28381289471153</v>
      </c>
      <c r="H21" s="105" t="s">
        <v>77</v>
      </c>
      <c r="J21" s="177">
        <f>J19*J20</f>
        <v>29.111156999999999</v>
      </c>
      <c r="K21" s="105" t="s">
        <v>77</v>
      </c>
    </row>
    <row r="22" spans="1:11">
      <c r="A22" s="105"/>
      <c r="B22" s="105"/>
      <c r="C22" s="105"/>
      <c r="D22" s="105"/>
      <c r="E22" s="105"/>
      <c r="F22" s="105"/>
      <c r="G22" s="105"/>
      <c r="H22" s="105"/>
      <c r="J22" s="105"/>
      <c r="K22" s="105"/>
    </row>
    <row r="23" spans="1:11">
      <c r="A23" s="170" t="s">
        <v>175</v>
      </c>
      <c r="B23" s="171"/>
      <c r="C23" s="171"/>
      <c r="D23" s="171"/>
      <c r="E23" s="171"/>
      <c r="F23" s="171"/>
      <c r="J23" s="528"/>
      <c r="K23" s="528"/>
    </row>
    <row r="24" spans="1:11" ht="18">
      <c r="A24" s="105" t="s">
        <v>174</v>
      </c>
      <c r="B24" s="105"/>
      <c r="C24" s="105"/>
      <c r="D24" s="105"/>
      <c r="E24" s="105" t="s">
        <v>186</v>
      </c>
      <c r="F24" s="105" t="s">
        <v>1</v>
      </c>
      <c r="G24" s="175">
        <f>H3</f>
        <v>0.16200000000000001</v>
      </c>
      <c r="H24" s="105"/>
      <c r="J24" s="175">
        <f>H3</f>
        <v>0.16200000000000001</v>
      </c>
      <c r="K24" s="105"/>
    </row>
    <row r="25" spans="1:11">
      <c r="A25" s="105" t="s">
        <v>210</v>
      </c>
      <c r="B25" s="105"/>
      <c r="C25" s="105"/>
      <c r="D25" s="105"/>
      <c r="E25" s="105"/>
      <c r="F25" s="105" t="s">
        <v>1</v>
      </c>
      <c r="G25" s="177">
        <f>D9</f>
        <v>165.42303866482536</v>
      </c>
      <c r="H25" s="105" t="s">
        <v>34</v>
      </c>
      <c r="I25" s="105"/>
      <c r="J25" s="177">
        <f>SUB_SEIS!D10</f>
        <v>199.66499999999996</v>
      </c>
      <c r="K25" s="105" t="s">
        <v>34</v>
      </c>
    </row>
    <row r="26" spans="1:11">
      <c r="A26" s="105"/>
      <c r="B26" s="105"/>
      <c r="C26" s="105"/>
      <c r="D26" s="105"/>
      <c r="E26" s="105"/>
      <c r="F26" s="105"/>
      <c r="G26" s="105"/>
      <c r="H26" s="105"/>
      <c r="I26" s="105"/>
      <c r="J26" s="105"/>
      <c r="K26" s="105"/>
    </row>
    <row r="27" spans="1:11" ht="18">
      <c r="A27" s="105" t="s">
        <v>653</v>
      </c>
      <c r="B27" s="105"/>
      <c r="C27" s="105"/>
      <c r="D27" s="105"/>
      <c r="E27" s="105"/>
      <c r="F27" s="105" t="s">
        <v>1</v>
      </c>
      <c r="G27" s="177">
        <f>G25*G24</f>
        <v>26.798532263701709</v>
      </c>
      <c r="H27" s="105" t="s">
        <v>34</v>
      </c>
      <c r="I27" s="105"/>
      <c r="J27" s="177">
        <f>J25*J24</f>
        <v>32.345729999999996</v>
      </c>
      <c r="K27" s="105" t="s">
        <v>34</v>
      </c>
    </row>
    <row r="28" spans="1:11">
      <c r="A28" s="105" t="s">
        <v>189</v>
      </c>
      <c r="B28" s="105"/>
      <c r="C28" s="105"/>
      <c r="D28" s="105"/>
      <c r="E28" s="105"/>
      <c r="F28" s="105" t="s">
        <v>1</v>
      </c>
      <c r="G28" s="177">
        <f>F9</f>
        <v>5.4959656538431281</v>
      </c>
      <c r="H28" s="105" t="s">
        <v>2</v>
      </c>
      <c r="I28" s="105"/>
      <c r="J28" s="177">
        <f>SUB_SEIS!F10</f>
        <v>0.9</v>
      </c>
      <c r="K28" s="105" t="s">
        <v>2</v>
      </c>
    </row>
    <row r="29" spans="1:11" ht="18">
      <c r="A29" s="105" t="s">
        <v>195</v>
      </c>
      <c r="B29" s="105"/>
      <c r="C29" s="105"/>
      <c r="D29" s="105"/>
      <c r="E29" s="105"/>
      <c r="F29" s="105" t="s">
        <v>1</v>
      </c>
      <c r="G29" s="177">
        <f>G27*G28</f>
        <v>147.28381289471153</v>
      </c>
      <c r="H29" s="105" t="s">
        <v>77</v>
      </c>
      <c r="I29" s="105"/>
      <c r="J29" s="177">
        <f>J27*J28</f>
        <v>29.111156999999999</v>
      </c>
      <c r="K29" s="105" t="s">
        <v>77</v>
      </c>
    </row>
    <row r="30" spans="1:11">
      <c r="A30" s="105"/>
      <c r="B30" s="105"/>
      <c r="C30" s="105"/>
      <c r="D30" s="105"/>
      <c r="E30" s="105"/>
      <c r="F30" s="105"/>
      <c r="G30" s="105"/>
      <c r="H30" s="105"/>
      <c r="I30" s="105"/>
      <c r="J30" s="105"/>
      <c r="K30" s="105"/>
    </row>
    <row r="31" spans="1:11">
      <c r="A31" s="170" t="s">
        <v>178</v>
      </c>
      <c r="B31" s="171"/>
      <c r="C31" s="171"/>
      <c r="D31" s="171"/>
      <c r="E31" s="171"/>
      <c r="F31" s="171"/>
      <c r="J31" s="528"/>
      <c r="K31" s="528"/>
    </row>
    <row r="32" spans="1:11" ht="18">
      <c r="A32" s="105" t="s">
        <v>174</v>
      </c>
      <c r="B32" s="105"/>
      <c r="C32" s="105"/>
      <c r="D32" s="105"/>
      <c r="E32" s="105" t="s">
        <v>179</v>
      </c>
      <c r="F32" s="105" t="s">
        <v>1</v>
      </c>
      <c r="G32" s="1">
        <f>H4</f>
        <v>0.10800000000000001</v>
      </c>
      <c r="H32" s="105"/>
      <c r="J32" s="1">
        <f>H4</f>
        <v>0.10800000000000001</v>
      </c>
      <c r="K32" s="105"/>
    </row>
    <row r="33" spans="1:11">
      <c r="A33" s="105" t="s">
        <v>210</v>
      </c>
      <c r="B33" s="105"/>
      <c r="C33" s="105"/>
      <c r="D33" s="105"/>
      <c r="E33" s="105"/>
      <c r="F33" s="105" t="s">
        <v>1</v>
      </c>
      <c r="G33" s="177">
        <f>D9</f>
        <v>165.42303866482536</v>
      </c>
      <c r="H33" s="105" t="s">
        <v>34</v>
      </c>
      <c r="J33" s="177">
        <f>SUB_SEIS!D10</f>
        <v>199.66499999999996</v>
      </c>
      <c r="K33" s="105" t="s">
        <v>34</v>
      </c>
    </row>
    <row r="34" spans="1:11">
      <c r="A34" s="105"/>
      <c r="B34" s="105"/>
      <c r="C34" s="105"/>
      <c r="D34" s="105"/>
      <c r="E34" s="105"/>
      <c r="F34" s="105"/>
      <c r="G34" s="105"/>
      <c r="H34" s="105"/>
      <c r="J34" s="105"/>
      <c r="K34" s="105"/>
    </row>
    <row r="35" spans="1:11">
      <c r="A35" s="105" t="s">
        <v>194</v>
      </c>
      <c r="B35" s="105"/>
      <c r="C35" s="105"/>
      <c r="D35" s="105"/>
      <c r="E35" s="105"/>
      <c r="F35" s="105" t="s">
        <v>1</v>
      </c>
      <c r="G35" s="177">
        <f>G33*G32</f>
        <v>17.865688175801139</v>
      </c>
      <c r="H35" s="105" t="s">
        <v>34</v>
      </c>
      <c r="J35" s="177">
        <f>J33*J32</f>
        <v>21.56382</v>
      </c>
      <c r="K35" s="105" t="s">
        <v>34</v>
      </c>
    </row>
    <row r="36" spans="1:11">
      <c r="A36" s="105" t="s">
        <v>663</v>
      </c>
      <c r="B36" s="105"/>
      <c r="C36" s="105"/>
      <c r="D36" s="105"/>
      <c r="E36" s="105"/>
      <c r="F36" s="105" t="s">
        <v>1</v>
      </c>
      <c r="G36" s="188">
        <f>G9</f>
        <v>0</v>
      </c>
      <c r="H36" s="105" t="s">
        <v>2</v>
      </c>
      <c r="J36" s="188">
        <f>SUB_SEIS!G10</f>
        <v>0</v>
      </c>
      <c r="K36" s="105" t="s">
        <v>2</v>
      </c>
    </row>
    <row r="37" spans="1:11">
      <c r="A37" s="105" t="s">
        <v>664</v>
      </c>
      <c r="B37" s="105"/>
      <c r="C37" s="105"/>
      <c r="D37" s="105"/>
      <c r="E37" s="105"/>
      <c r="F37" s="105" t="s">
        <v>1</v>
      </c>
      <c r="G37" s="188">
        <f>H9</f>
        <v>0</v>
      </c>
      <c r="H37" s="105" t="s">
        <v>2</v>
      </c>
      <c r="J37" s="188">
        <f>SUB_SEIS!H10</f>
        <v>0</v>
      </c>
      <c r="K37" s="105" t="s">
        <v>2</v>
      </c>
    </row>
    <row r="38" spans="1:11">
      <c r="A38" s="105"/>
      <c r="B38" s="105"/>
      <c r="C38" s="105"/>
      <c r="D38" s="105"/>
      <c r="E38" s="105"/>
      <c r="F38" s="105"/>
      <c r="G38" s="188"/>
      <c r="H38" s="105"/>
      <c r="J38" s="188"/>
      <c r="K38" s="105"/>
    </row>
    <row r="39" spans="1:11" ht="18">
      <c r="A39" s="105" t="s">
        <v>195</v>
      </c>
      <c r="B39" s="105"/>
      <c r="C39" s="105"/>
      <c r="D39" s="105"/>
      <c r="E39" s="105"/>
      <c r="F39" s="105" t="s">
        <v>1</v>
      </c>
      <c r="G39" s="188">
        <f>G35*G37</f>
        <v>0</v>
      </c>
      <c r="H39" s="105" t="s">
        <v>77</v>
      </c>
      <c r="J39" s="188">
        <f>J35*J37</f>
        <v>0</v>
      </c>
      <c r="K39" s="105" t="s">
        <v>77</v>
      </c>
    </row>
    <row r="40" spans="1:11" ht="18">
      <c r="A40" s="105" t="s">
        <v>665</v>
      </c>
      <c r="B40" s="105"/>
      <c r="C40" s="105"/>
      <c r="D40" s="105"/>
      <c r="E40" s="105"/>
      <c r="F40" s="105" t="s">
        <v>1</v>
      </c>
      <c r="G40" s="188">
        <f>G35*G36</f>
        <v>0</v>
      </c>
      <c r="H40" s="105" t="s">
        <v>77</v>
      </c>
      <c r="J40" s="188">
        <f>J35*J36</f>
        <v>0</v>
      </c>
      <c r="K40" s="105" t="s">
        <v>77</v>
      </c>
    </row>
    <row r="41" spans="1:11">
      <c r="A41" s="105"/>
      <c r="B41" s="105"/>
      <c r="C41" s="105"/>
      <c r="D41" s="105"/>
      <c r="E41" s="105"/>
      <c r="F41" s="105"/>
      <c r="G41" s="105"/>
      <c r="H41" s="105"/>
    </row>
    <row r="42" spans="1:11">
      <c r="A42" s="179" t="s">
        <v>248</v>
      </c>
      <c r="B42" s="105"/>
      <c r="C42" s="105"/>
      <c r="D42" s="105"/>
      <c r="E42" s="105"/>
      <c r="F42" s="105"/>
      <c r="G42" s="105"/>
      <c r="H42" s="105"/>
      <c r="I42" s="105"/>
    </row>
    <row r="43" spans="1:11" ht="18">
      <c r="A43" s="160" t="s">
        <v>197</v>
      </c>
      <c r="B43" s="161"/>
      <c r="C43" s="161"/>
      <c r="D43" s="160" t="s">
        <v>23</v>
      </c>
      <c r="E43" s="161" t="s">
        <v>201</v>
      </c>
      <c r="F43" s="161" t="s">
        <v>202</v>
      </c>
      <c r="G43" s="161" t="s">
        <v>199</v>
      </c>
      <c r="H43" s="180" t="s">
        <v>198</v>
      </c>
    </row>
    <row r="44" spans="1:11">
      <c r="A44" s="165"/>
      <c r="B44" s="166"/>
      <c r="C44" s="166"/>
      <c r="D44" s="165" t="s">
        <v>51</v>
      </c>
      <c r="E44" s="166" t="s">
        <v>51</v>
      </c>
      <c r="F44" s="166" t="s">
        <v>51</v>
      </c>
      <c r="G44" s="166" t="s">
        <v>77</v>
      </c>
      <c r="H44" s="167" t="s">
        <v>77</v>
      </c>
    </row>
    <row r="45" spans="1:11">
      <c r="A45" s="23" t="s">
        <v>200</v>
      </c>
      <c r="B45" s="161"/>
      <c r="C45" s="180"/>
      <c r="D45" s="160"/>
      <c r="E45" s="184">
        <f>G19</f>
        <v>26.798532263701709</v>
      </c>
      <c r="F45" s="184"/>
      <c r="G45" s="184">
        <f>G21</f>
        <v>147.28381289471153</v>
      </c>
      <c r="H45" s="185"/>
    </row>
    <row r="46" spans="1:11">
      <c r="A46" s="28"/>
      <c r="B46" s="166"/>
      <c r="C46" s="167"/>
      <c r="D46" s="165"/>
      <c r="E46" s="181"/>
      <c r="F46" s="181"/>
      <c r="G46" s="181"/>
      <c r="H46" s="182"/>
    </row>
    <row r="47" spans="1:11">
      <c r="A47" s="23" t="s">
        <v>203</v>
      </c>
      <c r="B47" s="161"/>
      <c r="C47" s="180"/>
      <c r="D47" s="160"/>
      <c r="E47" s="184"/>
      <c r="F47" s="184">
        <f>G27</f>
        <v>26.798532263701709</v>
      </c>
      <c r="G47" s="184"/>
      <c r="H47" s="185">
        <f>G29</f>
        <v>147.28381289471153</v>
      </c>
    </row>
    <row r="48" spans="1:11">
      <c r="A48" s="28"/>
      <c r="B48" s="166"/>
      <c r="C48" s="167"/>
      <c r="D48" s="165"/>
      <c r="E48" s="181"/>
      <c r="F48" s="181"/>
      <c r="G48" s="181"/>
      <c r="H48" s="182"/>
    </row>
    <row r="49" spans="1:8">
      <c r="A49" s="25" t="s">
        <v>204</v>
      </c>
      <c r="B49" s="163"/>
      <c r="C49" s="164"/>
      <c r="D49" s="375">
        <f>G35</f>
        <v>17.865688175801139</v>
      </c>
      <c r="E49" s="184"/>
      <c r="F49" s="184"/>
      <c r="G49" s="184">
        <f>G40</f>
        <v>0</v>
      </c>
      <c r="H49" s="185">
        <f>G39</f>
        <v>0</v>
      </c>
    </row>
    <row r="50" spans="1:8">
      <c r="A50" s="28"/>
      <c r="B50" s="166"/>
      <c r="C50" s="167"/>
      <c r="D50" s="165"/>
      <c r="E50" s="166"/>
      <c r="F50" s="166"/>
      <c r="G50" s="166"/>
      <c r="H50" s="167"/>
    </row>
    <row r="52" spans="1:8">
      <c r="A52" s="179" t="s">
        <v>1471</v>
      </c>
      <c r="G52" s="528"/>
      <c r="H52" s="528"/>
    </row>
    <row r="53" spans="1:8" ht="18">
      <c r="A53" s="160" t="s">
        <v>197</v>
      </c>
      <c r="B53" s="161"/>
      <c r="C53" s="161"/>
      <c r="D53" s="160" t="s">
        <v>23</v>
      </c>
      <c r="E53" s="161" t="s">
        <v>201</v>
      </c>
      <c r="F53" s="161" t="s">
        <v>202</v>
      </c>
      <c r="G53" s="161" t="s">
        <v>199</v>
      </c>
      <c r="H53" s="180" t="s">
        <v>198</v>
      </c>
    </row>
    <row r="54" spans="1:8">
      <c r="A54" s="165"/>
      <c r="B54" s="166"/>
      <c r="C54" s="166"/>
      <c r="D54" s="165" t="s">
        <v>51</v>
      </c>
      <c r="E54" s="166" t="s">
        <v>51</v>
      </c>
      <c r="F54" s="166" t="s">
        <v>51</v>
      </c>
      <c r="G54" s="166" t="s">
        <v>77</v>
      </c>
      <c r="H54" s="167" t="s">
        <v>77</v>
      </c>
    </row>
    <row r="55" spans="1:8">
      <c r="A55" s="23" t="s">
        <v>200</v>
      </c>
      <c r="B55" s="161"/>
      <c r="C55" s="180"/>
      <c r="D55" s="160"/>
      <c r="E55" s="184">
        <f>SUB_SEIS!J19</f>
        <v>32.345729999999996</v>
      </c>
      <c r="F55" s="184"/>
      <c r="G55" s="184">
        <f>SUB_SEIS!J21</f>
        <v>29.111156999999999</v>
      </c>
      <c r="H55" s="185"/>
    </row>
    <row r="56" spans="1:8">
      <c r="A56" s="28"/>
      <c r="B56" s="166"/>
      <c r="C56" s="167"/>
      <c r="D56" s="165"/>
      <c r="E56" s="181"/>
      <c r="F56" s="181"/>
      <c r="G56" s="181"/>
      <c r="H56" s="182"/>
    </row>
    <row r="57" spans="1:8">
      <c r="A57" s="23" t="s">
        <v>203</v>
      </c>
      <c r="B57" s="161"/>
      <c r="C57" s="180"/>
      <c r="D57" s="160"/>
      <c r="E57" s="184"/>
      <c r="F57" s="184">
        <f>SUB_SEIS!J27</f>
        <v>32.345729999999996</v>
      </c>
      <c r="G57" s="184"/>
      <c r="H57" s="185">
        <f>SUB_SEIS!J29</f>
        <v>29.111156999999999</v>
      </c>
    </row>
    <row r="58" spans="1:8">
      <c r="A58" s="28"/>
      <c r="B58" s="166"/>
      <c r="C58" s="167"/>
      <c r="D58" s="165"/>
      <c r="E58" s="181"/>
      <c r="F58" s="181"/>
      <c r="G58" s="181"/>
      <c r="H58" s="182"/>
    </row>
    <row r="59" spans="1:8">
      <c r="A59" s="25" t="s">
        <v>204</v>
      </c>
      <c r="B59" s="163"/>
      <c r="C59" s="164"/>
      <c r="D59" s="375">
        <f>SUB_SEIS!J35</f>
        <v>21.56382</v>
      </c>
      <c r="E59" s="184"/>
      <c r="F59" s="184"/>
      <c r="G59" s="184">
        <f>SUB_SEIS!J40</f>
        <v>0</v>
      </c>
      <c r="H59" s="185">
        <f>SUB_SEIS!J39</f>
        <v>0</v>
      </c>
    </row>
    <row r="60" spans="1:8">
      <c r="A60" s="28"/>
      <c r="B60" s="166"/>
      <c r="C60" s="167"/>
      <c r="D60" s="165"/>
      <c r="E60" s="166"/>
      <c r="F60" s="166"/>
      <c r="G60" s="166"/>
      <c r="H60" s="167"/>
    </row>
  </sheetData>
  <pageMargins left="0.70866141732283505" right="0.70866141732283505" top="0.74803149606299202" bottom="0.74803149606299202" header="0.31496062992126" footer="0.31496062992126"/>
  <pageSetup paperSize="9" scale="93" orientation="portrait" blackAndWhite="1" r:id="rId1"/>
</worksheet>
</file>

<file path=xl/worksheets/sheet14.xml><?xml version="1.0" encoding="utf-8"?>
<worksheet xmlns="http://schemas.openxmlformats.org/spreadsheetml/2006/main" xmlns:r="http://schemas.openxmlformats.org/officeDocument/2006/relationships">
  <sheetPr codeName="Sheet38"/>
  <dimension ref="A1:M91"/>
  <sheetViews>
    <sheetView view="pageBreakPreview" zoomScaleSheetLayoutView="100" workbookViewId="0">
      <selection activeCell="M33" sqref="M33"/>
    </sheetView>
  </sheetViews>
  <sheetFormatPr defaultColWidth="9.140625" defaultRowHeight="15"/>
  <cols>
    <col min="1" max="5" width="9.140625" style="1"/>
    <col min="6" max="6" width="9.5703125" style="1" bestFit="1" customWidth="1"/>
    <col min="7" max="16384" width="9.140625" style="1"/>
  </cols>
  <sheetData>
    <row r="1" spans="1:13">
      <c r="A1" s="119" t="s">
        <v>1040</v>
      </c>
      <c r="B1" s="7"/>
      <c r="C1" s="7"/>
      <c r="D1" s="7"/>
      <c r="E1" s="7"/>
      <c r="F1" s="7"/>
      <c r="G1" s="7"/>
      <c r="H1" s="7"/>
      <c r="I1" s="7"/>
      <c r="J1" s="7"/>
      <c r="K1" s="7"/>
      <c r="L1" s="7"/>
      <c r="M1" s="7"/>
    </row>
    <row r="2" spans="1:13" ht="17.25">
      <c r="A2" s="7" t="s">
        <v>1041</v>
      </c>
      <c r="B2" s="7"/>
      <c r="C2" s="7"/>
      <c r="D2" s="7" t="s">
        <v>597</v>
      </c>
      <c r="E2" s="7" t="s">
        <v>1</v>
      </c>
      <c r="F2" s="7" t="s">
        <v>1060</v>
      </c>
      <c r="G2" s="7" t="s">
        <v>1061</v>
      </c>
      <c r="H2" s="7"/>
      <c r="I2" s="7"/>
      <c r="J2" s="7"/>
      <c r="K2" s="7"/>
      <c r="L2" s="7"/>
      <c r="M2" s="7"/>
    </row>
    <row r="3" spans="1:13">
      <c r="A3" s="7"/>
      <c r="B3" s="7"/>
      <c r="C3" s="7"/>
      <c r="D3" s="7"/>
      <c r="E3" s="7"/>
      <c r="F3" s="7"/>
      <c r="G3" s="7"/>
      <c r="H3" s="7"/>
      <c r="I3" s="7"/>
      <c r="J3" s="7"/>
      <c r="K3" s="7"/>
      <c r="L3" s="7"/>
      <c r="M3" s="7"/>
    </row>
    <row r="4" spans="1:13">
      <c r="A4" s="308" t="s">
        <v>1042</v>
      </c>
      <c r="B4" s="661"/>
      <c r="C4" s="370" t="s">
        <v>1078</v>
      </c>
      <c r="D4" s="1632" t="s">
        <v>1076</v>
      </c>
      <c r="E4" s="1633"/>
      <c r="F4" s="1632" t="s">
        <v>1043</v>
      </c>
      <c r="G4" s="1633"/>
      <c r="H4" s="7"/>
      <c r="J4" s="7"/>
      <c r="K4" s="7"/>
    </row>
    <row r="5" spans="1:13" ht="17.25">
      <c r="A5" s="112"/>
      <c r="B5" s="11"/>
      <c r="C5" s="89"/>
      <c r="D5" s="308" t="s">
        <v>1071</v>
      </c>
      <c r="E5" s="370" t="s">
        <v>1077</v>
      </c>
      <c r="F5" s="308" t="s">
        <v>1062</v>
      </c>
      <c r="G5" s="370" t="s">
        <v>1063</v>
      </c>
      <c r="H5" s="7"/>
      <c r="J5" s="7"/>
      <c r="K5" s="7"/>
    </row>
    <row r="6" spans="1:13">
      <c r="A6" s="308" t="s">
        <v>1044</v>
      </c>
      <c r="B6" s="661"/>
      <c r="C6" s="370" t="s">
        <v>1470</v>
      </c>
      <c r="D6" s="667">
        <f>GEN!H194</f>
        <v>6.7</v>
      </c>
      <c r="E6" s="665">
        <f>GEN!F203</f>
        <v>1.2</v>
      </c>
      <c r="F6" s="665">
        <f>IF(C6="circ",0.66,1.5)</f>
        <v>0.66</v>
      </c>
      <c r="G6" s="666">
        <f>IF(C6="circ",0.66,IF(C6="DD",0.66,1.5))</f>
        <v>0.66</v>
      </c>
      <c r="H6" s="7"/>
      <c r="J6" s="7"/>
      <c r="K6" s="7"/>
    </row>
    <row r="7" spans="1:13">
      <c r="A7" s="112" t="s">
        <v>1045</v>
      </c>
      <c r="B7" s="11"/>
      <c r="C7" s="89" t="s">
        <v>1079</v>
      </c>
      <c r="D7" s="11">
        <f>GEN!I192</f>
        <v>8.6999999999999993</v>
      </c>
      <c r="E7" s="112">
        <f>GEN!F204</f>
        <v>5.0999999999999996</v>
      </c>
      <c r="F7" s="66">
        <f>IF(C7="circ",0.66,1.5)</f>
        <v>1.5</v>
      </c>
      <c r="G7" s="102">
        <f>IF(C7="circ",0.66,IF(C7="DD",0.66,1.5))</f>
        <v>1.5</v>
      </c>
      <c r="H7" s="7"/>
      <c r="J7" s="7"/>
      <c r="K7" s="7"/>
    </row>
    <row r="8" spans="1:13">
      <c r="A8" s="112" t="s">
        <v>1067</v>
      </c>
      <c r="B8" s="11"/>
      <c r="C8" s="89" t="s">
        <v>1079</v>
      </c>
      <c r="D8" s="11">
        <f>D7-0.15*2</f>
        <v>8.3999999999999986</v>
      </c>
      <c r="E8" s="112">
        <f>E7-0.15*2</f>
        <v>4.8</v>
      </c>
      <c r="F8" s="66">
        <f>IF(C8="circ",0.66,1.5)</f>
        <v>1.5</v>
      </c>
      <c r="G8" s="102">
        <f>IF(C8="circ",0.66,IF(C8="DD",0.66,1.5))</f>
        <v>1.5</v>
      </c>
      <c r="H8" s="7"/>
      <c r="J8" s="7"/>
      <c r="K8" s="7"/>
    </row>
    <row r="9" spans="1:13">
      <c r="A9" s="113"/>
      <c r="B9" s="651"/>
      <c r="C9" s="599"/>
      <c r="D9" s="651"/>
      <c r="E9" s="113"/>
      <c r="F9" s="113"/>
      <c r="G9" s="599"/>
      <c r="H9" s="7"/>
      <c r="J9" s="7"/>
      <c r="K9" s="7"/>
    </row>
    <row r="10" spans="1:13">
      <c r="A10" s="7"/>
      <c r="B10" s="7"/>
      <c r="C10" s="7"/>
      <c r="D10" s="7"/>
      <c r="E10" s="7"/>
      <c r="F10" s="7"/>
      <c r="G10" s="7"/>
      <c r="H10" s="7"/>
      <c r="I10" s="7"/>
      <c r="J10" s="7"/>
      <c r="K10" s="7"/>
      <c r="L10" s="7"/>
      <c r="M10" s="7"/>
    </row>
    <row r="11" spans="1:13">
      <c r="A11" s="7" t="s">
        <v>1046</v>
      </c>
      <c r="B11" s="7"/>
      <c r="C11" s="7"/>
      <c r="D11" s="7"/>
      <c r="E11" s="7" t="s">
        <v>1</v>
      </c>
      <c r="F11" s="1146">
        <v>2</v>
      </c>
      <c r="G11" s="7" t="s">
        <v>1047</v>
      </c>
      <c r="H11" s="7"/>
      <c r="I11" s="7"/>
      <c r="J11" s="7"/>
      <c r="K11" s="7"/>
      <c r="L11" s="7"/>
      <c r="M11" s="7"/>
    </row>
    <row r="12" spans="1:13">
      <c r="A12" s="7" t="s">
        <v>1048</v>
      </c>
      <c r="B12" s="7"/>
      <c r="C12" s="7"/>
      <c r="D12" s="7"/>
      <c r="E12" s="7" t="s">
        <v>1</v>
      </c>
      <c r="F12" s="658" t="s">
        <v>1049</v>
      </c>
      <c r="G12" s="595">
        <f>F11</f>
        <v>2</v>
      </c>
      <c r="H12" s="7"/>
      <c r="I12" s="7"/>
      <c r="J12" s="7"/>
      <c r="K12" s="7"/>
      <c r="L12" s="7"/>
      <c r="M12" s="7"/>
    </row>
    <row r="13" spans="1:13">
      <c r="A13" s="7"/>
      <c r="B13" s="7"/>
      <c r="C13" s="659"/>
      <c r="D13" s="7"/>
      <c r="E13" s="7" t="s">
        <v>1</v>
      </c>
      <c r="F13" s="713">
        <f>SQRT(2)*G12</f>
        <v>2.8284271247461903</v>
      </c>
      <c r="G13" s="7" t="s">
        <v>1050</v>
      </c>
      <c r="H13" s="7"/>
      <c r="I13" s="7"/>
      <c r="J13" s="7"/>
      <c r="K13" s="7"/>
      <c r="L13" s="7"/>
      <c r="M13" s="7"/>
    </row>
    <row r="14" spans="1:13">
      <c r="A14" s="7"/>
      <c r="B14" s="7"/>
      <c r="C14" s="7"/>
      <c r="D14" s="7"/>
      <c r="E14" s="7"/>
      <c r="F14" s="7"/>
      <c r="G14" s="7"/>
      <c r="H14" s="7"/>
      <c r="I14" s="7"/>
      <c r="J14" s="7"/>
      <c r="K14" s="7"/>
      <c r="L14" s="7"/>
      <c r="M14" s="7"/>
    </row>
    <row r="15" spans="1:13" ht="17.25">
      <c r="A15" s="7" t="s">
        <v>1051</v>
      </c>
      <c r="B15" s="7"/>
      <c r="C15" s="7"/>
      <c r="D15" s="7"/>
      <c r="E15" s="7" t="s">
        <v>1</v>
      </c>
      <c r="F15" s="7" t="s">
        <v>1064</v>
      </c>
      <c r="G15" s="7"/>
      <c r="H15" s="7"/>
      <c r="I15" s="7"/>
      <c r="J15" s="7"/>
      <c r="K15" s="7"/>
      <c r="L15" s="7"/>
      <c r="M15" s="7"/>
    </row>
    <row r="16" spans="1:13" ht="17.25">
      <c r="A16" s="7"/>
      <c r="B16" s="7"/>
      <c r="C16" s="7"/>
      <c r="D16" s="7"/>
      <c r="E16" s="7" t="s">
        <v>1</v>
      </c>
      <c r="F16" s="7">
        <f>52*F13^2</f>
        <v>416.00000000000011</v>
      </c>
      <c r="G16" s="7" t="s">
        <v>1065</v>
      </c>
      <c r="H16" s="7"/>
      <c r="I16" s="7"/>
      <c r="J16" s="7"/>
      <c r="K16" s="7"/>
      <c r="L16" s="7"/>
      <c r="M16" s="7"/>
    </row>
    <row r="17" spans="1:13" ht="17.25">
      <c r="A17" s="7"/>
      <c r="B17" s="7"/>
      <c r="C17" s="7"/>
      <c r="D17" s="7"/>
      <c r="E17" s="7" t="s">
        <v>1</v>
      </c>
      <c r="F17" s="7">
        <f>F16/1000</f>
        <v>0.41600000000000009</v>
      </c>
      <c r="G17" s="7" t="s">
        <v>1066</v>
      </c>
      <c r="H17" s="7"/>
      <c r="I17" s="7"/>
      <c r="J17" s="7"/>
      <c r="K17" s="7"/>
      <c r="L17" s="7"/>
      <c r="M17" s="7"/>
    </row>
    <row r="18" spans="1:13">
      <c r="A18" s="7"/>
      <c r="B18" s="7"/>
      <c r="C18" s="7"/>
      <c r="D18" s="7"/>
      <c r="E18" s="7"/>
      <c r="F18" s="7"/>
      <c r="G18" s="7"/>
      <c r="H18" s="7"/>
      <c r="I18" s="7"/>
      <c r="J18" s="7"/>
      <c r="K18" s="7"/>
      <c r="L18" s="7"/>
      <c r="M18" s="7"/>
    </row>
    <row r="19" spans="1:13">
      <c r="A19" s="7"/>
      <c r="B19" s="7" t="s">
        <v>1034</v>
      </c>
      <c r="C19" s="496">
        <f>GEN!F94</f>
        <v>96</v>
      </c>
      <c r="D19" s="7"/>
      <c r="E19" s="663">
        <f>F17</f>
        <v>0.41600000000000009</v>
      </c>
      <c r="F19" s="7" t="s">
        <v>424</v>
      </c>
      <c r="G19" s="7"/>
      <c r="H19" s="7"/>
      <c r="I19" s="7"/>
      <c r="J19" s="7"/>
      <c r="K19" s="7"/>
      <c r="L19" s="7"/>
      <c r="M19" s="7"/>
    </row>
    <row r="20" spans="1:13">
      <c r="A20" s="7"/>
      <c r="B20" s="7"/>
      <c r="C20" s="7"/>
      <c r="D20" s="7"/>
      <c r="E20" s="660"/>
      <c r="F20" s="7"/>
      <c r="G20" s="7"/>
      <c r="H20" s="7"/>
      <c r="I20" s="7"/>
      <c r="J20" s="7"/>
      <c r="K20" s="7"/>
      <c r="L20" s="7"/>
      <c r="M20" s="7"/>
    </row>
    <row r="21" spans="1:13">
      <c r="A21" s="7"/>
      <c r="B21" s="7"/>
      <c r="C21" s="7"/>
      <c r="D21" s="7"/>
      <c r="E21" s="660"/>
      <c r="F21" s="7"/>
      <c r="G21" s="7"/>
      <c r="H21" s="7"/>
      <c r="I21" s="7"/>
      <c r="J21" s="7"/>
      <c r="K21" s="7"/>
      <c r="L21" s="7"/>
      <c r="M21" s="7"/>
    </row>
    <row r="22" spans="1:13">
      <c r="A22" s="7"/>
      <c r="B22" s="7"/>
      <c r="C22" s="7"/>
      <c r="D22" s="7"/>
      <c r="E22" s="660"/>
      <c r="F22" s="7"/>
      <c r="G22" s="7"/>
      <c r="H22" s="7"/>
      <c r="I22" s="7"/>
      <c r="J22" s="7"/>
      <c r="K22" s="7"/>
      <c r="L22" s="7"/>
      <c r="M22" s="7"/>
    </row>
    <row r="23" spans="1:13">
      <c r="A23" s="7"/>
      <c r="B23" s="7"/>
      <c r="C23" s="7"/>
      <c r="D23" s="7"/>
      <c r="E23" s="660"/>
      <c r="F23" s="7"/>
      <c r="G23" s="7"/>
      <c r="H23" s="7"/>
      <c r="I23" s="7"/>
      <c r="J23" s="7"/>
      <c r="K23" s="7"/>
      <c r="L23" s="7"/>
      <c r="M23" s="7"/>
    </row>
    <row r="24" spans="1:13">
      <c r="A24" s="7"/>
      <c r="B24" s="7"/>
      <c r="C24" s="7"/>
      <c r="D24" s="7"/>
      <c r="E24" s="660"/>
      <c r="F24" s="7"/>
      <c r="G24" s="7"/>
      <c r="H24" s="7"/>
      <c r="I24" s="7"/>
      <c r="J24" s="7"/>
      <c r="K24" s="7"/>
      <c r="L24" s="7"/>
      <c r="M24" s="7"/>
    </row>
    <row r="25" spans="1:13">
      <c r="A25" s="7"/>
      <c r="B25" s="659" t="s">
        <v>1052</v>
      </c>
      <c r="C25" s="496">
        <f>GEN!K144</f>
        <v>92.935000000000002</v>
      </c>
      <c r="D25" s="7"/>
      <c r="E25" s="660">
        <f>E19/(C19-C31)*(C25-C31)</f>
        <v>0.2598407838334354</v>
      </c>
      <c r="F25" s="7" t="s">
        <v>424</v>
      </c>
      <c r="G25" s="7"/>
      <c r="H25" s="660"/>
      <c r="I25" s="7"/>
      <c r="J25" s="7"/>
      <c r="K25" s="7"/>
      <c r="L25" s="7"/>
      <c r="M25" s="7"/>
    </row>
    <row r="26" spans="1:13">
      <c r="A26" s="7"/>
      <c r="B26" s="7"/>
      <c r="C26" s="496"/>
      <c r="D26" s="7"/>
      <c r="E26" s="660"/>
      <c r="F26" s="7"/>
      <c r="G26" s="7"/>
      <c r="H26" s="7"/>
      <c r="I26" s="7"/>
      <c r="J26" s="7"/>
      <c r="K26" s="7"/>
      <c r="L26" s="7"/>
      <c r="M26" s="7"/>
    </row>
    <row r="27" spans="1:13">
      <c r="A27" s="7"/>
      <c r="B27" s="7"/>
      <c r="C27" s="496"/>
      <c r="D27" s="7"/>
      <c r="E27" s="14"/>
      <c r="G27" s="270"/>
      <c r="H27" s="270"/>
      <c r="I27" s="7"/>
      <c r="J27" s="7"/>
      <c r="K27" s="7"/>
      <c r="L27" s="7"/>
      <c r="M27" s="7"/>
    </row>
    <row r="28" spans="1:13">
      <c r="A28" s="7"/>
      <c r="B28" s="659" t="s">
        <v>1053</v>
      </c>
      <c r="C28" s="496">
        <f>GEN!K147</f>
        <v>91.135000000000005</v>
      </c>
      <c r="D28" s="7"/>
      <c r="E28" s="660">
        <f>E19/(C19-C31)*(C28-C31)</f>
        <v>0.16813227189222296</v>
      </c>
      <c r="F28" s="7" t="s">
        <v>424</v>
      </c>
      <c r="G28" s="270"/>
      <c r="H28" s="270"/>
      <c r="I28" s="7"/>
      <c r="J28" s="7"/>
      <c r="K28" s="7"/>
      <c r="L28" s="7"/>
      <c r="M28" s="7"/>
    </row>
    <row r="29" spans="1:13">
      <c r="A29" s="7"/>
      <c r="B29" s="7"/>
      <c r="C29" s="496"/>
      <c r="D29" s="7"/>
      <c r="E29" s="7"/>
      <c r="F29" s="7"/>
      <c r="G29" s="270"/>
      <c r="H29" s="270"/>
      <c r="I29" s="7"/>
      <c r="J29" s="7"/>
      <c r="K29" s="7"/>
      <c r="L29" s="7"/>
      <c r="M29" s="7"/>
    </row>
    <row r="30" spans="1:13">
      <c r="A30" s="7"/>
      <c r="B30" s="7"/>
      <c r="C30" s="496"/>
      <c r="D30" s="7"/>
      <c r="E30" s="7"/>
      <c r="F30" s="7"/>
      <c r="G30" s="270"/>
      <c r="H30" s="270"/>
      <c r="I30" s="7"/>
      <c r="J30" s="7"/>
      <c r="K30" s="7"/>
      <c r="L30" s="7"/>
      <c r="M30" s="7"/>
    </row>
    <row r="31" spans="1:13">
      <c r="A31" s="7"/>
      <c r="B31" s="659" t="s">
        <v>1054</v>
      </c>
      <c r="C31" s="496">
        <f>GEN!F95</f>
        <v>87.835000000000008</v>
      </c>
      <c r="D31" s="7"/>
      <c r="E31" s="7"/>
      <c r="F31" s="7"/>
      <c r="G31" s="270"/>
      <c r="H31" s="270"/>
      <c r="I31" s="7"/>
      <c r="J31" s="7"/>
      <c r="K31" s="7"/>
      <c r="L31" s="7"/>
      <c r="M31" s="7"/>
    </row>
    <row r="32" spans="1:13">
      <c r="A32" s="7"/>
      <c r="B32" s="7"/>
      <c r="C32" s="496"/>
      <c r="D32" s="7"/>
      <c r="E32" s="7" t="s">
        <v>1068</v>
      </c>
      <c r="F32" s="7"/>
      <c r="G32" s="270"/>
      <c r="H32" s="270"/>
      <c r="I32" s="7"/>
      <c r="J32" s="7"/>
      <c r="K32" s="7"/>
      <c r="L32" s="7"/>
      <c r="M32" s="7"/>
    </row>
    <row r="33" spans="1:13">
      <c r="A33" s="7"/>
      <c r="B33" s="7"/>
      <c r="C33" s="496"/>
      <c r="D33" s="7"/>
      <c r="E33" s="7"/>
      <c r="F33" s="7"/>
      <c r="G33" s="270"/>
      <c r="H33" s="270"/>
      <c r="I33" s="7"/>
      <c r="J33" s="7"/>
      <c r="K33" s="7"/>
      <c r="L33" s="7"/>
      <c r="M33" s="7"/>
    </row>
    <row r="34" spans="1:13">
      <c r="A34" s="7"/>
      <c r="B34" s="659" t="s">
        <v>1055</v>
      </c>
      <c r="C34" s="662">
        <f>GEN!F92</f>
        <v>71.135000000000005</v>
      </c>
      <c r="D34" s="7" t="s">
        <v>2</v>
      </c>
      <c r="E34" s="7"/>
      <c r="F34" s="7"/>
      <c r="G34" s="270"/>
      <c r="H34" s="270"/>
      <c r="I34" s="7"/>
      <c r="J34" s="7"/>
      <c r="K34" s="7"/>
      <c r="L34" s="7"/>
      <c r="M34" s="7"/>
    </row>
    <row r="35" spans="1:13">
      <c r="A35" s="7"/>
      <c r="B35" s="7"/>
      <c r="C35" s="7"/>
      <c r="D35" s="7"/>
      <c r="E35" s="7"/>
      <c r="F35" s="7"/>
      <c r="G35" s="270"/>
      <c r="H35" s="270"/>
      <c r="I35" s="7"/>
      <c r="J35" s="7"/>
      <c r="K35" s="7"/>
      <c r="L35" s="7"/>
      <c r="M35" s="7"/>
    </row>
    <row r="36" spans="1:13">
      <c r="A36" s="7"/>
      <c r="B36" s="7"/>
      <c r="C36" s="7"/>
      <c r="D36" s="7"/>
      <c r="E36" s="7"/>
      <c r="F36" s="7"/>
      <c r="G36" s="270"/>
      <c r="H36" s="270"/>
      <c r="I36" s="7"/>
      <c r="J36" s="7"/>
      <c r="K36" s="7"/>
      <c r="L36" s="7"/>
      <c r="M36" s="7"/>
    </row>
    <row r="37" spans="1:13">
      <c r="A37" s="664" t="s">
        <v>1084</v>
      </c>
      <c r="B37" s="270"/>
      <c r="C37" s="270"/>
      <c r="D37" s="270"/>
      <c r="E37" s="270"/>
      <c r="F37" s="270"/>
      <c r="G37" s="270"/>
      <c r="H37" s="270"/>
      <c r="I37" s="7"/>
      <c r="J37" s="7"/>
      <c r="K37" s="7"/>
      <c r="L37" s="7"/>
      <c r="M37" s="7"/>
    </row>
    <row r="38" spans="1:13" ht="17.25">
      <c r="A38" s="308" t="s">
        <v>1056</v>
      </c>
      <c r="B38" s="661"/>
      <c r="C38" s="661"/>
      <c r="D38" s="661"/>
      <c r="E38" s="661" t="s">
        <v>1</v>
      </c>
      <c r="F38" s="668">
        <v>20</v>
      </c>
      <c r="G38" s="669" t="s">
        <v>1057</v>
      </c>
      <c r="K38" s="7"/>
      <c r="L38" s="7"/>
      <c r="M38" s="7"/>
    </row>
    <row r="39" spans="1:13">
      <c r="A39" s="308"/>
      <c r="B39" s="661"/>
      <c r="C39" s="661"/>
      <c r="D39" s="661"/>
      <c r="E39" s="36"/>
      <c r="F39" s="23" t="s">
        <v>1072</v>
      </c>
      <c r="G39" s="21"/>
      <c r="H39" s="371" t="s">
        <v>1069</v>
      </c>
      <c r="I39" s="371"/>
      <c r="J39" s="657"/>
      <c r="K39" s="7"/>
      <c r="L39" s="7"/>
      <c r="M39" s="7"/>
    </row>
    <row r="40" spans="1:13">
      <c r="A40" s="113"/>
      <c r="B40" s="651"/>
      <c r="C40" s="651"/>
      <c r="D40" s="651"/>
      <c r="E40" s="58"/>
      <c r="F40" s="28" t="s">
        <v>1073</v>
      </c>
      <c r="G40" s="22"/>
      <c r="H40" s="113" t="s">
        <v>1070</v>
      </c>
      <c r="I40" s="113"/>
      <c r="J40" s="652" t="s">
        <v>1071</v>
      </c>
      <c r="K40" s="7"/>
      <c r="L40" s="7"/>
      <c r="M40" s="7"/>
    </row>
    <row r="41" spans="1:13">
      <c r="A41" s="112" t="s">
        <v>1085</v>
      </c>
      <c r="B41" s="11"/>
      <c r="C41" s="11"/>
      <c r="D41" s="11"/>
      <c r="E41" s="34"/>
      <c r="F41" s="25"/>
      <c r="G41" s="27"/>
      <c r="H41" s="112"/>
      <c r="I41" s="112"/>
      <c r="J41" s="191"/>
      <c r="K41" s="7"/>
      <c r="L41" s="7"/>
      <c r="M41" s="7"/>
    </row>
    <row r="42" spans="1:13">
      <c r="A42" s="112" t="s">
        <v>1074</v>
      </c>
      <c r="B42" s="11"/>
      <c r="C42" s="11"/>
      <c r="D42" s="11"/>
      <c r="E42" s="89" t="s">
        <v>1081</v>
      </c>
      <c r="F42" s="672">
        <f>E19*G6</f>
        <v>0.27456000000000008</v>
      </c>
      <c r="G42" s="191"/>
      <c r="H42" s="672">
        <f>E19*F6*SIN(RADIANS(F38))</f>
        <v>9.3905050551495631E-2</v>
      </c>
      <c r="I42" s="112"/>
      <c r="J42" s="670">
        <f>E19*G6*COS(RADIANS(F38))</f>
        <v>0.25800200596297912</v>
      </c>
      <c r="K42" s="7"/>
      <c r="L42" s="7"/>
      <c r="M42" s="7"/>
    </row>
    <row r="43" spans="1:13">
      <c r="A43" s="112" t="s">
        <v>1075</v>
      </c>
      <c r="B43" s="11"/>
      <c r="C43" s="11"/>
      <c r="D43" s="11"/>
      <c r="E43" s="89" t="s">
        <v>1081</v>
      </c>
      <c r="F43" s="672">
        <f>E25*G6</f>
        <v>0.17149491733006736</v>
      </c>
      <c r="G43" s="191"/>
      <c r="H43" s="672">
        <f>E25*F6*SIN(RADIANS(F38))</f>
        <v>5.8654716204853345E-2</v>
      </c>
      <c r="I43" s="112"/>
      <c r="J43" s="670">
        <f>E25*G6*COS(RADIANS(F38))</f>
        <v>0.1611525083173537</v>
      </c>
      <c r="K43" s="7"/>
      <c r="L43" s="7"/>
      <c r="M43" s="7"/>
    </row>
    <row r="44" spans="1:13">
      <c r="A44" s="112"/>
      <c r="B44" s="11"/>
      <c r="C44" s="11"/>
      <c r="D44" s="11"/>
      <c r="E44" s="89"/>
      <c r="F44" s="112"/>
      <c r="G44" s="191"/>
      <c r="H44" s="112"/>
      <c r="I44" s="112"/>
      <c r="J44" s="191"/>
      <c r="K44" s="7"/>
      <c r="L44" s="7"/>
      <c r="M44" s="7"/>
    </row>
    <row r="45" spans="1:13">
      <c r="A45" s="112" t="s">
        <v>1080</v>
      </c>
      <c r="B45" s="11"/>
      <c r="C45" s="11"/>
      <c r="D45" s="11"/>
      <c r="E45" s="89" t="s">
        <v>1082</v>
      </c>
      <c r="F45" s="112">
        <f>(C19-C25)*E6</f>
        <v>3.6779999999999973</v>
      </c>
      <c r="G45" s="191"/>
      <c r="H45" s="112">
        <f>(C19-C25)*D6</f>
        <v>20.535499999999985</v>
      </c>
      <c r="I45" s="112"/>
      <c r="J45" s="191">
        <f>(C19-C25)*E6</f>
        <v>3.6779999999999973</v>
      </c>
      <c r="K45" s="7"/>
      <c r="L45" s="7"/>
      <c r="M45" s="7"/>
    </row>
    <row r="46" spans="1:13">
      <c r="A46" s="289" t="s">
        <v>1058</v>
      </c>
      <c r="B46" s="11"/>
      <c r="C46" s="11"/>
      <c r="D46" s="11"/>
      <c r="E46" s="89" t="s">
        <v>51</v>
      </c>
      <c r="F46" s="672">
        <f>(F42+F43)/2*F45</f>
        <v>0.82029499296999342</v>
      </c>
      <c r="G46" s="670"/>
      <c r="H46" s="672">
        <f>(H42+H43)/2*H45</f>
        <v>1.566445545112501</v>
      </c>
      <c r="I46" s="672"/>
      <c r="J46" s="670">
        <f>(J42+J43)/2*J45</f>
        <v>0.77082515176153144</v>
      </c>
      <c r="K46" s="7"/>
      <c r="L46" s="7"/>
      <c r="M46" s="7"/>
    </row>
    <row r="47" spans="1:13">
      <c r="A47" s="112" t="s">
        <v>1083</v>
      </c>
      <c r="B47" s="11"/>
      <c r="C47" s="11"/>
      <c r="D47" s="11"/>
      <c r="E47" s="89" t="s">
        <v>2</v>
      </c>
      <c r="F47" s="672">
        <f>(2*F42+F43)/(F42+F43)*($C$19-$C$25)/3+($C$25-$C$28)</f>
        <v>3.4505327302424886</v>
      </c>
      <c r="G47" s="191"/>
      <c r="H47" s="672">
        <f>(2*H42+H43)/(H42+H43)*($C$19-$C$25)/3+($C$25-$C$28)</f>
        <v>3.4505327302424886</v>
      </c>
      <c r="I47" s="112"/>
      <c r="J47" s="670">
        <f>(2*J42+J43)/(J42+J43)*($C$19-$C$25)/3+($C$25-$C$28)</f>
        <v>3.4505327302424886</v>
      </c>
      <c r="K47" s="7"/>
      <c r="L47" s="7"/>
      <c r="M47" s="7"/>
    </row>
    <row r="48" spans="1:13">
      <c r="A48" s="112"/>
      <c r="B48" s="11"/>
      <c r="C48" s="11"/>
      <c r="D48" s="11"/>
      <c r="E48" s="89"/>
      <c r="F48" s="112"/>
      <c r="G48" s="191"/>
      <c r="H48" s="112"/>
      <c r="I48" s="112"/>
      <c r="J48" s="191"/>
      <c r="K48" s="7"/>
      <c r="L48" s="7"/>
      <c r="M48" s="7"/>
    </row>
    <row r="49" spans="1:13">
      <c r="A49" s="112" t="s">
        <v>1086</v>
      </c>
      <c r="B49" s="11"/>
      <c r="C49" s="11"/>
      <c r="D49" s="11"/>
      <c r="E49" s="89"/>
      <c r="F49" s="112"/>
      <c r="G49" s="191"/>
      <c r="H49" s="112"/>
      <c r="I49" s="112"/>
      <c r="J49" s="191"/>
      <c r="K49" s="7"/>
      <c r="L49" s="7"/>
      <c r="M49" s="7"/>
    </row>
    <row r="50" spans="1:13">
      <c r="A50" s="112" t="s">
        <v>1075</v>
      </c>
      <c r="B50" s="11"/>
      <c r="C50" s="11"/>
      <c r="D50" s="11"/>
      <c r="E50" s="89" t="s">
        <v>1081</v>
      </c>
      <c r="F50" s="672">
        <f>E25*G7</f>
        <v>0.38976117575015312</v>
      </c>
      <c r="G50" s="191"/>
      <c r="H50" s="672">
        <f>E25*F7*SIN(RADIANS(F38))</f>
        <v>0.13330617319284851</v>
      </c>
      <c r="I50" s="112"/>
      <c r="J50" s="670">
        <f>E25*F7*COS(RADIANS(F38))</f>
        <v>0.36625570072125846</v>
      </c>
      <c r="K50" s="7"/>
      <c r="L50" s="7"/>
      <c r="M50" s="7"/>
    </row>
    <row r="51" spans="1:13">
      <c r="A51" s="112" t="s">
        <v>1087</v>
      </c>
      <c r="B51" s="11"/>
      <c r="C51" s="11"/>
      <c r="D51" s="11"/>
      <c r="E51" s="89" t="s">
        <v>1081</v>
      </c>
      <c r="F51" s="672">
        <f>E28*G7</f>
        <v>0.25219840783833447</v>
      </c>
      <c r="G51" s="191"/>
      <c r="H51" s="672">
        <f>E28*F7*SIN(RADIANS(F38))</f>
        <v>8.6256935595372605E-2</v>
      </c>
      <c r="I51" s="112"/>
      <c r="J51" s="670">
        <f>E28*G7*COS(RADIANS(F38))</f>
        <v>0.2369889828196379</v>
      </c>
      <c r="K51" s="7"/>
      <c r="L51" s="7"/>
      <c r="M51" s="7"/>
    </row>
    <row r="52" spans="1:13">
      <c r="A52" s="112"/>
      <c r="B52" s="11"/>
      <c r="C52" s="11"/>
      <c r="D52" s="11"/>
      <c r="E52" s="89"/>
      <c r="F52" s="112"/>
      <c r="G52" s="191"/>
      <c r="H52" s="112"/>
      <c r="I52" s="112"/>
      <c r="J52" s="191"/>
      <c r="K52" s="7"/>
      <c r="L52" s="7"/>
      <c r="M52" s="7"/>
    </row>
    <row r="53" spans="1:13">
      <c r="A53" s="112" t="s">
        <v>1080</v>
      </c>
      <c r="B53" s="11"/>
      <c r="C53" s="11"/>
      <c r="D53" s="11"/>
      <c r="E53" s="89" t="s">
        <v>1082</v>
      </c>
      <c r="F53" s="112">
        <f>(C25-C28)*E7</f>
        <v>9.1799999999999855</v>
      </c>
      <c r="G53" s="191"/>
      <c r="H53" s="112">
        <f>(C25-C28)*D7</f>
        <v>15.659999999999973</v>
      </c>
      <c r="I53" s="112"/>
      <c r="J53" s="191">
        <f>(C25-C28)*E7</f>
        <v>9.1799999999999855</v>
      </c>
      <c r="K53" s="7"/>
      <c r="L53" s="7"/>
      <c r="M53" s="7"/>
    </row>
    <row r="54" spans="1:13">
      <c r="A54" s="289" t="s">
        <v>1058</v>
      </c>
      <c r="B54" s="11"/>
      <c r="C54" s="11"/>
      <c r="D54" s="11"/>
      <c r="E54" s="89" t="s">
        <v>51</v>
      </c>
      <c r="F54" s="672">
        <f>(F50+F51)/2*F53</f>
        <v>2.9465944886711535</v>
      </c>
      <c r="G54" s="670"/>
      <c r="H54" s="672">
        <f>(H50+H51)/2*H53</f>
        <v>1.7191791418117683</v>
      </c>
      <c r="I54" s="672"/>
      <c r="J54" s="670">
        <f>(J50+J51)/2*J53</f>
        <v>2.7688930974527097</v>
      </c>
      <c r="K54" s="7"/>
      <c r="L54" s="7"/>
      <c r="M54" s="7"/>
    </row>
    <row r="55" spans="1:13">
      <c r="A55" s="112" t="s">
        <v>1083</v>
      </c>
      <c r="B55" s="11"/>
      <c r="C55" s="11"/>
      <c r="D55" s="11"/>
      <c r="E55" s="89" t="s">
        <v>2</v>
      </c>
      <c r="F55" s="672">
        <f>(2*F50+F51)/(F50+F51)*($C$25-$C$28)/3</f>
        <v>0.96428571428571275</v>
      </c>
      <c r="G55" s="191"/>
      <c r="H55" s="672">
        <f>(2*H50+H51)/(H50+H51)*($C$25-$C$28)/3</f>
        <v>0.96428571428571275</v>
      </c>
      <c r="I55" s="112"/>
      <c r="J55" s="670">
        <f>(2*J50+J51)/(J50+J51)*($C$25-$C$28)/3</f>
        <v>0.96428571428571275</v>
      </c>
      <c r="K55" s="7"/>
      <c r="L55" s="7"/>
      <c r="M55" s="7"/>
    </row>
    <row r="56" spans="1:13">
      <c r="A56" s="112"/>
      <c r="B56" s="11"/>
      <c r="C56" s="11"/>
      <c r="D56" s="11"/>
      <c r="E56" s="89"/>
      <c r="F56" s="112"/>
      <c r="G56" s="191"/>
      <c r="H56" s="112"/>
      <c r="I56" s="112"/>
      <c r="J56" s="191"/>
      <c r="K56" s="7"/>
      <c r="L56" s="7"/>
      <c r="M56" s="7"/>
    </row>
    <row r="57" spans="1:13">
      <c r="A57" s="371" t="s">
        <v>1088</v>
      </c>
      <c r="B57" s="227"/>
      <c r="C57" s="227"/>
      <c r="D57" s="227"/>
      <c r="E57" s="117" t="s">
        <v>51</v>
      </c>
      <c r="F57" s="673">
        <f>F46+F54</f>
        <v>3.7668894816411469</v>
      </c>
      <c r="G57" s="657"/>
      <c r="H57" s="673">
        <f>H46+H54</f>
        <v>3.2856246869242693</v>
      </c>
      <c r="I57" s="371"/>
      <c r="J57" s="671">
        <f>J46+J54</f>
        <v>3.5397182492142409</v>
      </c>
      <c r="K57" s="7"/>
      <c r="L57" s="7"/>
      <c r="M57" s="7"/>
    </row>
    <row r="58" spans="1:13">
      <c r="A58" s="371" t="s">
        <v>1089</v>
      </c>
      <c r="B58" s="227"/>
      <c r="C58" s="227"/>
      <c r="D58" s="227"/>
      <c r="E58" s="117" t="s">
        <v>77</v>
      </c>
      <c r="F58" s="673">
        <f>F46*F47+F54*F55</f>
        <v>5.6718136929156024</v>
      </c>
      <c r="G58" s="657"/>
      <c r="H58" s="673">
        <f>H46*H47+H54*H55</f>
        <v>7.0628515103002814</v>
      </c>
      <c r="I58" s="371"/>
      <c r="J58" s="671">
        <f>J46*J47+J54*J55</f>
        <v>5.3297614737052639</v>
      </c>
      <c r="K58" s="7"/>
      <c r="L58" s="7"/>
      <c r="M58" s="7"/>
    </row>
    <row r="59" spans="1:13">
      <c r="A59" s="7"/>
      <c r="B59" s="7"/>
      <c r="C59" s="7"/>
      <c r="D59" s="7"/>
      <c r="E59" s="7"/>
      <c r="F59" s="7"/>
      <c r="G59" s="7"/>
      <c r="H59" s="7"/>
      <c r="I59" s="7"/>
      <c r="J59" s="7"/>
      <c r="K59" s="7"/>
      <c r="L59" s="7"/>
      <c r="M59" s="7"/>
    </row>
    <row r="60" spans="1:13">
      <c r="A60" s="7"/>
      <c r="B60" s="7"/>
      <c r="C60" s="7"/>
      <c r="D60" s="7"/>
      <c r="E60" s="7"/>
      <c r="F60" s="7"/>
      <c r="G60" s="7"/>
      <c r="H60" s="7"/>
      <c r="I60" s="7"/>
      <c r="J60" s="7"/>
      <c r="K60" s="7"/>
      <c r="L60" s="7"/>
      <c r="M60" s="7"/>
    </row>
    <row r="61" spans="1:13">
      <c r="A61" s="7" t="s">
        <v>1092</v>
      </c>
      <c r="B61" s="7"/>
      <c r="C61" s="7"/>
      <c r="D61" s="7"/>
      <c r="E61" s="7"/>
      <c r="F61" s="7"/>
      <c r="G61" s="7"/>
      <c r="H61" s="7"/>
      <c r="I61" s="7"/>
      <c r="J61" s="7"/>
      <c r="K61" s="7"/>
      <c r="L61" s="7"/>
      <c r="M61" s="7"/>
    </row>
    <row r="62" spans="1:13">
      <c r="A62" s="308"/>
      <c r="B62" s="661"/>
      <c r="C62" s="661"/>
      <c r="D62" s="661"/>
      <c r="E62" s="36"/>
      <c r="F62" s="23" t="s">
        <v>1072</v>
      </c>
      <c r="G62" s="21"/>
      <c r="H62" s="371" t="s">
        <v>1069</v>
      </c>
      <c r="I62" s="371"/>
      <c r="J62" s="657"/>
      <c r="K62" s="7"/>
      <c r="L62" s="7"/>
      <c r="M62" s="7"/>
    </row>
    <row r="63" spans="1:13">
      <c r="A63" s="113"/>
      <c r="B63" s="651"/>
      <c r="C63" s="651"/>
      <c r="D63" s="651"/>
      <c r="E63" s="58"/>
      <c r="F63" s="28" t="s">
        <v>1073</v>
      </c>
      <c r="G63" s="22"/>
      <c r="H63" s="113" t="s">
        <v>1070</v>
      </c>
      <c r="I63" s="113"/>
      <c r="J63" s="652" t="s">
        <v>1071</v>
      </c>
      <c r="K63" s="7"/>
      <c r="L63" s="7"/>
      <c r="M63" s="7"/>
    </row>
    <row r="64" spans="1:13">
      <c r="A64" s="308" t="s">
        <v>1090</v>
      </c>
      <c r="B64" s="661"/>
      <c r="C64" s="661"/>
      <c r="D64" s="661"/>
      <c r="E64" s="36"/>
      <c r="F64" s="23"/>
      <c r="G64" s="21"/>
      <c r="H64" s="308"/>
      <c r="I64" s="308"/>
      <c r="J64" s="584"/>
      <c r="K64" s="7"/>
      <c r="L64" s="7"/>
      <c r="M64" s="7"/>
    </row>
    <row r="65" spans="1:13">
      <c r="A65" s="112" t="s">
        <v>1087</v>
      </c>
      <c r="B65" s="11"/>
      <c r="C65" s="11"/>
      <c r="D65" s="11"/>
      <c r="E65" s="89" t="s">
        <v>1081</v>
      </c>
      <c r="F65" s="672">
        <f>E28*G8</f>
        <v>0.25219840783833447</v>
      </c>
      <c r="G65" s="191"/>
      <c r="H65" s="672">
        <f>E28*F8*SIN(RADIANS(F38))</f>
        <v>8.6256935595372605E-2</v>
      </c>
      <c r="I65" s="112"/>
      <c r="J65" s="670">
        <f>E28*G8*COS(RADIANS(F38))</f>
        <v>0.2369889828196379</v>
      </c>
      <c r="K65" s="7"/>
      <c r="L65" s="7"/>
      <c r="M65" s="7"/>
    </row>
    <row r="66" spans="1:13">
      <c r="A66" s="112" t="s">
        <v>1091</v>
      </c>
      <c r="B66" s="11"/>
      <c r="C66" s="11"/>
      <c r="D66" s="11"/>
      <c r="E66" s="89" t="s">
        <v>1081</v>
      </c>
      <c r="F66" s="674">
        <v>0</v>
      </c>
      <c r="G66" s="385"/>
      <c r="H66" s="674">
        <v>0</v>
      </c>
      <c r="I66" s="433"/>
      <c r="J66" s="675">
        <v>0</v>
      </c>
      <c r="K66" s="7"/>
      <c r="L66" s="7"/>
      <c r="M66" s="7"/>
    </row>
    <row r="67" spans="1:13">
      <c r="A67" s="112"/>
      <c r="B67" s="11"/>
      <c r="C67" s="11"/>
      <c r="D67" s="11"/>
      <c r="E67" s="89"/>
      <c r="F67" s="112"/>
      <c r="G67" s="191"/>
      <c r="H67" s="112"/>
      <c r="I67" s="112"/>
      <c r="J67" s="191"/>
      <c r="K67" s="7"/>
      <c r="L67" s="7"/>
      <c r="M67" s="7"/>
    </row>
    <row r="68" spans="1:13">
      <c r="A68" s="112" t="s">
        <v>1080</v>
      </c>
      <c r="B68" s="11"/>
      <c r="C68" s="11"/>
      <c r="D68" s="11"/>
      <c r="E68" s="89" t="s">
        <v>1082</v>
      </c>
      <c r="F68" s="112">
        <f>(C28-C31)*E8</f>
        <v>15.839999999999986</v>
      </c>
      <c r="G68" s="191"/>
      <c r="H68" s="112">
        <f>(C28-C31)*D8</f>
        <v>27.71999999999997</v>
      </c>
      <c r="I68" s="112"/>
      <c r="J68" s="191">
        <f>(C28-C31)*E8</f>
        <v>15.839999999999986</v>
      </c>
      <c r="K68" s="7"/>
      <c r="L68" s="7"/>
      <c r="M68" s="7"/>
    </row>
    <row r="69" spans="1:13">
      <c r="A69" s="289" t="s">
        <v>1058</v>
      </c>
      <c r="B69" s="11"/>
      <c r="C69" s="11"/>
      <c r="D69" s="11"/>
      <c r="E69" s="89" t="s">
        <v>51</v>
      </c>
      <c r="F69" s="672">
        <f>(F65+F66)/2*F68</f>
        <v>1.9974113900796071</v>
      </c>
      <c r="G69" s="670"/>
      <c r="H69" s="672">
        <f>(H65+H66)/2*H68</f>
        <v>1.1955211273518631</v>
      </c>
      <c r="I69" s="672"/>
      <c r="J69" s="670">
        <f>(J65+J66)/2*J68</f>
        <v>1.8769527439315306</v>
      </c>
      <c r="K69" s="7"/>
      <c r="L69" s="7"/>
      <c r="M69" s="7"/>
    </row>
    <row r="70" spans="1:13">
      <c r="A70" s="112" t="s">
        <v>1083</v>
      </c>
      <c r="B70" s="11"/>
      <c r="C70" s="11"/>
      <c r="D70" s="11"/>
      <c r="E70" s="89" t="s">
        <v>2</v>
      </c>
      <c r="F70" s="672">
        <f>(2*F65+F66)/(F65+F66)*($C$28-$C$31)/3</f>
        <v>2.199999999999998</v>
      </c>
      <c r="G70" s="191"/>
      <c r="H70" s="672">
        <f>(2*H65+H66)/(H65+H66)*($C$28-$C$31)/3</f>
        <v>2.199999999999998</v>
      </c>
      <c r="I70" s="112"/>
      <c r="J70" s="670">
        <f>(2*J65+J66)/(J65+J66)*($C$28-$C$31)/3</f>
        <v>2.199999999999998</v>
      </c>
      <c r="K70" s="7"/>
      <c r="L70" s="496"/>
      <c r="M70" s="7"/>
    </row>
    <row r="71" spans="1:13">
      <c r="A71" s="113"/>
      <c r="B71" s="651"/>
      <c r="C71" s="651"/>
      <c r="D71" s="651"/>
      <c r="E71" s="599"/>
      <c r="F71" s="113"/>
      <c r="G71" s="652"/>
      <c r="H71" s="113"/>
      <c r="I71" s="113"/>
      <c r="J71" s="652"/>
      <c r="K71" s="7"/>
      <c r="L71" s="7"/>
      <c r="M71" s="7"/>
    </row>
    <row r="72" spans="1:13">
      <c r="A72" s="7"/>
      <c r="B72" s="7"/>
      <c r="C72" s="7"/>
      <c r="D72" s="7"/>
      <c r="E72" s="7"/>
      <c r="F72" s="7"/>
      <c r="G72" s="7"/>
      <c r="H72" s="7"/>
      <c r="I72" s="7"/>
      <c r="J72" s="7"/>
      <c r="K72" s="7"/>
      <c r="L72" s="7"/>
      <c r="M72" s="7"/>
    </row>
    <row r="73" spans="1:13">
      <c r="A73" s="664" t="s">
        <v>1468</v>
      </c>
      <c r="B73" s="270"/>
      <c r="C73" s="270"/>
      <c r="D73" s="270"/>
      <c r="E73" s="270"/>
      <c r="F73" s="270"/>
      <c r="G73" s="270"/>
      <c r="H73" s="270"/>
      <c r="I73" s="7"/>
      <c r="J73" s="7"/>
      <c r="K73" s="7"/>
      <c r="L73" s="7"/>
      <c r="M73" s="7"/>
    </row>
    <row r="74" spans="1:13" ht="17.25">
      <c r="A74" s="308" t="s">
        <v>1056</v>
      </c>
      <c r="B74" s="661"/>
      <c r="C74" s="661"/>
      <c r="D74" s="661"/>
      <c r="E74" s="661" t="s">
        <v>1</v>
      </c>
      <c r="F74" s="668">
        <v>20</v>
      </c>
      <c r="G74" s="669" t="s">
        <v>1057</v>
      </c>
      <c r="K74" s="7"/>
      <c r="L74" s="7"/>
      <c r="M74" s="7"/>
    </row>
    <row r="75" spans="1:13">
      <c r="A75" s="308"/>
      <c r="B75" s="661"/>
      <c r="C75" s="661"/>
      <c r="D75" s="661"/>
      <c r="E75" s="36"/>
      <c r="F75" s="23" t="s">
        <v>1072</v>
      </c>
      <c r="G75" s="21"/>
      <c r="H75" s="371" t="s">
        <v>1069</v>
      </c>
      <c r="I75" s="371"/>
      <c r="J75" s="657"/>
      <c r="K75" s="7"/>
      <c r="L75" s="7"/>
      <c r="M75" s="7"/>
    </row>
    <row r="76" spans="1:13">
      <c r="A76" s="113"/>
      <c r="B76" s="651"/>
      <c r="C76" s="651"/>
      <c r="D76" s="651"/>
      <c r="E76" s="58"/>
      <c r="F76" s="28" t="s">
        <v>1073</v>
      </c>
      <c r="G76" s="22"/>
      <c r="H76" s="113" t="s">
        <v>1070</v>
      </c>
      <c r="I76" s="113"/>
      <c r="J76" s="652" t="s">
        <v>1071</v>
      </c>
      <c r="K76" s="7"/>
      <c r="L76" s="7"/>
      <c r="M76" s="7"/>
    </row>
    <row r="77" spans="1:13">
      <c r="A77" s="112" t="s">
        <v>1085</v>
      </c>
      <c r="B77" s="11"/>
      <c r="C77" s="11"/>
      <c r="D77" s="11"/>
      <c r="E77" s="34"/>
      <c r="F77" s="25"/>
      <c r="G77" s="27"/>
      <c r="H77" s="112"/>
      <c r="I77" s="112"/>
      <c r="J77" s="191"/>
      <c r="K77" s="7"/>
      <c r="L77" s="7"/>
      <c r="M77" s="7"/>
    </row>
    <row r="78" spans="1:13">
      <c r="A78" s="112" t="s">
        <v>1074</v>
      </c>
      <c r="B78" s="11"/>
      <c r="C78" s="11"/>
      <c r="D78" s="11"/>
      <c r="E78" s="89" t="s">
        <v>1081</v>
      </c>
      <c r="F78" s="672">
        <f>E19*G6</f>
        <v>0.27456000000000008</v>
      </c>
      <c r="G78" s="191"/>
      <c r="H78" s="672">
        <f>E19*F6*SIN(RADIANS(F74))</f>
        <v>9.3905050551495631E-2</v>
      </c>
      <c r="I78" s="112"/>
      <c r="J78" s="670">
        <f>E19*G6*COS(RADIANS(F74))</f>
        <v>0.25800200596297912</v>
      </c>
      <c r="K78" s="7"/>
      <c r="L78" s="7"/>
      <c r="M78" s="7"/>
    </row>
    <row r="79" spans="1:13">
      <c r="A79" s="112" t="s">
        <v>1075</v>
      </c>
      <c r="B79" s="11"/>
      <c r="C79" s="11"/>
      <c r="D79" s="11"/>
      <c r="E79" s="89" t="s">
        <v>1081</v>
      </c>
      <c r="F79" s="672">
        <f>E25*G6</f>
        <v>0.17149491733006736</v>
      </c>
      <c r="G79" s="191"/>
      <c r="H79" s="672">
        <f>E25*F6*SIN(RADIANS(F74))</f>
        <v>5.8654716204853345E-2</v>
      </c>
      <c r="I79" s="112"/>
      <c r="J79" s="670">
        <f>E25*G6*COS(RADIANS(F74))</f>
        <v>0.1611525083173537</v>
      </c>
      <c r="K79" s="7"/>
      <c r="L79" s="7"/>
      <c r="M79" s="7"/>
    </row>
    <row r="80" spans="1:13">
      <c r="A80" s="112"/>
      <c r="B80" s="11"/>
      <c r="C80" s="11"/>
      <c r="D80" s="11"/>
      <c r="E80" s="89"/>
      <c r="F80" s="112"/>
      <c r="G80" s="191"/>
      <c r="H80" s="112"/>
      <c r="I80" s="112"/>
      <c r="J80" s="191"/>
      <c r="K80" s="7"/>
      <c r="L80" s="7"/>
      <c r="M80" s="7"/>
    </row>
    <row r="81" spans="1:13">
      <c r="A81" s="112" t="s">
        <v>1080</v>
      </c>
      <c r="B81" s="11"/>
      <c r="C81" s="11"/>
      <c r="D81" s="11"/>
      <c r="E81" s="89" t="s">
        <v>1082</v>
      </c>
      <c r="F81" s="112">
        <f>(C19-C25)*E6</f>
        <v>3.6779999999999973</v>
      </c>
      <c r="G81" s="191"/>
      <c r="H81" s="112">
        <f>(C19-C25)*D6</f>
        <v>20.535499999999985</v>
      </c>
      <c r="I81" s="112"/>
      <c r="J81" s="191">
        <f>(C19-C25)*E6</f>
        <v>3.6779999999999973</v>
      </c>
      <c r="K81" s="7"/>
      <c r="L81" s="7"/>
      <c r="M81" s="7"/>
    </row>
    <row r="82" spans="1:13">
      <c r="A82" s="289" t="s">
        <v>1058</v>
      </c>
      <c r="B82" s="11"/>
      <c r="C82" s="11"/>
      <c r="D82" s="11"/>
      <c r="E82" s="89" t="s">
        <v>51</v>
      </c>
      <c r="F82" s="672">
        <f>(F78+F79)/2*F81</f>
        <v>0.82029499296999342</v>
      </c>
      <c r="G82" s="670"/>
      <c r="H82" s="672">
        <f>(H78+H79)/2*H81</f>
        <v>1.566445545112501</v>
      </c>
      <c r="I82" s="672"/>
      <c r="J82" s="670">
        <f>(J78+J79)/2*J81</f>
        <v>0.77082515176153144</v>
      </c>
      <c r="K82" s="7"/>
      <c r="L82" s="7"/>
      <c r="M82" s="7"/>
    </row>
    <row r="83" spans="1:13">
      <c r="A83" s="112" t="s">
        <v>1469</v>
      </c>
      <c r="B83" s="11"/>
      <c r="C83" s="11"/>
      <c r="D83" s="11"/>
      <c r="E83" s="89" t="s">
        <v>2</v>
      </c>
      <c r="F83" s="672">
        <f>(2*F78+F79)/(F78+F79)*($C$19-$C$25)/3+($C$25-$C$28)</f>
        <v>3.4505327302424886</v>
      </c>
      <c r="G83" s="191"/>
      <c r="H83" s="672">
        <f>(2*H78+H79)/(H78+H79)*($C$19-$C$25)/3+($C$25-$C$28)</f>
        <v>3.4505327302424886</v>
      </c>
      <c r="I83" s="112"/>
      <c r="J83" s="670">
        <f>(2*J78+J79)/(J78+J79)*($C$19-$C$25)/3+($C$25-$C$28)</f>
        <v>3.4505327302424886</v>
      </c>
      <c r="K83" s="7"/>
      <c r="L83" s="7"/>
      <c r="M83" s="7"/>
    </row>
    <row r="84" spans="1:13">
      <c r="A84" s="112"/>
      <c r="B84" s="11"/>
      <c r="C84" s="11"/>
      <c r="D84" s="11"/>
      <c r="E84" s="89"/>
      <c r="F84" s="112"/>
      <c r="G84" s="191"/>
      <c r="H84" s="112"/>
      <c r="I84" s="112"/>
      <c r="J84" s="191"/>
      <c r="K84" s="7"/>
      <c r="L84" s="7"/>
      <c r="M84" s="7"/>
    </row>
    <row r="85" spans="1:13">
      <c r="A85" s="112"/>
      <c r="B85" s="11"/>
      <c r="C85" s="11"/>
      <c r="D85" s="11"/>
      <c r="E85" s="89"/>
      <c r="F85" s="112"/>
      <c r="G85" s="191"/>
      <c r="H85" s="112"/>
      <c r="I85" s="112"/>
      <c r="J85" s="191"/>
      <c r="K85" s="7"/>
      <c r="L85" s="7"/>
      <c r="M85" s="7"/>
    </row>
    <row r="86" spans="1:13">
      <c r="A86" s="371" t="s">
        <v>1088</v>
      </c>
      <c r="B86" s="227"/>
      <c r="C86" s="227"/>
      <c r="D86" s="227"/>
      <c r="E86" s="117" t="s">
        <v>51</v>
      </c>
      <c r="F86" s="673">
        <f>F82</f>
        <v>0.82029499296999342</v>
      </c>
      <c r="G86" s="657"/>
      <c r="H86" s="673">
        <f>H82</f>
        <v>1.566445545112501</v>
      </c>
      <c r="I86" s="673"/>
      <c r="J86" s="671">
        <f>J82</f>
        <v>0.77082515176153144</v>
      </c>
      <c r="K86" s="7"/>
      <c r="L86" s="7"/>
      <c r="M86" s="7"/>
    </row>
    <row r="87" spans="1:13">
      <c r="A87" s="371" t="s">
        <v>1089</v>
      </c>
      <c r="B87" s="227"/>
      <c r="C87" s="227"/>
      <c r="D87" s="227"/>
      <c r="E87" s="117" t="s">
        <v>77</v>
      </c>
      <c r="F87" s="673">
        <f>F82*F83</f>
        <v>2.8304547216969942</v>
      </c>
      <c r="G87" s="657"/>
      <c r="H87" s="673">
        <f>H82*H83</f>
        <v>5.4050716235532219</v>
      </c>
      <c r="I87" s="673"/>
      <c r="J87" s="671">
        <f>J82*J83</f>
        <v>2.6597574154472978</v>
      </c>
      <c r="K87" s="7"/>
      <c r="L87" s="7"/>
      <c r="M87" s="7"/>
    </row>
    <row r="88" spans="1:13">
      <c r="A88" s="7"/>
      <c r="B88" s="7"/>
      <c r="C88" s="7"/>
      <c r="D88" s="7"/>
      <c r="E88" s="7"/>
      <c r="F88" s="7"/>
      <c r="G88" s="7"/>
      <c r="H88" s="7"/>
      <c r="I88" s="7"/>
      <c r="J88" s="7"/>
      <c r="K88" s="7"/>
      <c r="L88" s="7"/>
      <c r="M88" s="7"/>
    </row>
    <row r="89" spans="1:13">
      <c r="A89" s="7"/>
      <c r="B89" s="7"/>
      <c r="C89" s="7"/>
      <c r="D89" s="7"/>
      <c r="E89" s="7"/>
      <c r="F89" s="7"/>
      <c r="G89" s="7"/>
      <c r="H89" s="7"/>
      <c r="I89" s="7"/>
      <c r="J89" s="7"/>
      <c r="K89" s="7"/>
      <c r="L89" s="7"/>
      <c r="M89" s="7"/>
    </row>
    <row r="90" spans="1:13">
      <c r="A90" s="7"/>
      <c r="B90" s="7"/>
      <c r="C90" s="7"/>
      <c r="D90" s="7"/>
      <c r="E90" s="7"/>
      <c r="F90" s="7"/>
      <c r="G90" s="7"/>
      <c r="H90" s="7"/>
      <c r="I90" s="7"/>
      <c r="J90" s="7"/>
      <c r="K90" s="7"/>
      <c r="L90" s="7"/>
      <c r="M90" s="7"/>
    </row>
    <row r="91" spans="1:13">
      <c r="A91" s="7"/>
      <c r="B91" s="7"/>
      <c r="C91" s="7"/>
      <c r="D91" s="7"/>
      <c r="E91" s="7"/>
      <c r="F91" s="7"/>
      <c r="G91" s="7"/>
      <c r="H91" s="7"/>
      <c r="I91" s="7"/>
      <c r="J91" s="7"/>
      <c r="K91" s="7"/>
      <c r="L91" s="7"/>
      <c r="M91" s="7"/>
    </row>
  </sheetData>
  <mergeCells count="2">
    <mergeCell ref="F4:G4"/>
    <mergeCell ref="D4:E4"/>
  </mergeCells>
  <dataValidations count="1">
    <dataValidation type="list" allowBlank="1" showInputMessage="1" showErrorMessage="1" sqref="C6:C8">
      <formula1>"Circ,Rect,DD"</formula1>
    </dataValidation>
  </dataValidations>
  <pageMargins left="0.70866141732283472" right="0.70866141732283472" top="0.74803149606299213" bottom="0.74803149606299213" header="0.31496062992125984" footer="0.31496062992125984"/>
  <pageSetup paperSize="9" scale="94" orientation="portrait" blackAndWhite="1" r:id="rId1"/>
  <rowBreaks count="1" manualBreakCount="1">
    <brk id="36" max="16383" man="1"/>
  </rowBreaks>
  <drawing r:id="rId2"/>
</worksheet>
</file>

<file path=xl/worksheets/sheet15.xml><?xml version="1.0" encoding="utf-8"?>
<worksheet xmlns="http://schemas.openxmlformats.org/spreadsheetml/2006/main" xmlns:r="http://schemas.openxmlformats.org/officeDocument/2006/relationships">
  <sheetPr codeName="Sheet39"/>
  <dimension ref="A1:T118"/>
  <sheetViews>
    <sheetView view="pageBreakPreview" topLeftCell="A91" zoomScaleSheetLayoutView="100" workbookViewId="0">
      <selection activeCell="M33" sqref="M33"/>
    </sheetView>
  </sheetViews>
  <sheetFormatPr defaultColWidth="9.140625" defaultRowHeight="15"/>
  <cols>
    <col min="1" max="4" width="9.140625" style="1"/>
    <col min="5" max="5" width="9.42578125" style="1" customWidth="1"/>
    <col min="6" max="6" width="8.85546875" style="1" customWidth="1"/>
    <col min="7" max="14" width="9.140625" style="1"/>
    <col min="15" max="15" width="7.7109375" style="1" customWidth="1"/>
    <col min="16" max="16384" width="9.140625" style="1"/>
  </cols>
  <sheetData>
    <row r="1" spans="1:20">
      <c r="A1" s="9" t="s">
        <v>1093</v>
      </c>
    </row>
    <row r="3" spans="1:20">
      <c r="A3" s="7"/>
      <c r="B3" s="7"/>
      <c r="C3" s="7"/>
      <c r="D3" s="7"/>
      <c r="E3" s="1632" t="s">
        <v>1076</v>
      </c>
      <c r="F3" s="1633"/>
      <c r="G3" s="1634" t="s">
        <v>1094</v>
      </c>
      <c r="H3" s="1634" t="s">
        <v>1095</v>
      </c>
      <c r="I3" s="1634" t="s">
        <v>1096</v>
      </c>
      <c r="J3" s="1634" t="s">
        <v>1098</v>
      </c>
    </row>
    <row r="4" spans="1:20">
      <c r="A4" s="7"/>
      <c r="B4" s="7"/>
      <c r="C4" s="7"/>
      <c r="D4" s="7"/>
      <c r="E4" s="117" t="s">
        <v>26</v>
      </c>
      <c r="F4" s="117" t="s">
        <v>51</v>
      </c>
      <c r="G4" s="1634"/>
      <c r="H4" s="1634"/>
      <c r="I4" s="1634"/>
      <c r="J4" s="1634"/>
    </row>
    <row r="5" spans="1:20">
      <c r="A5" s="7"/>
      <c r="B5" s="7" t="s">
        <v>1034</v>
      </c>
      <c r="C5" s="496">
        <f>Hydro!C19</f>
        <v>96</v>
      </c>
      <c r="E5" s="1144" t="s">
        <v>2</v>
      </c>
      <c r="F5" s="1144" t="s">
        <v>2</v>
      </c>
      <c r="G5" s="1144" t="s">
        <v>2</v>
      </c>
      <c r="H5" s="1144" t="s">
        <v>2</v>
      </c>
      <c r="I5" s="1144" t="s">
        <v>1097</v>
      </c>
      <c r="J5" s="1144" t="s">
        <v>34</v>
      </c>
      <c r="K5" s="7"/>
      <c r="M5" s="663"/>
      <c r="N5" s="7"/>
      <c r="Q5" s="677" t="s">
        <v>1101</v>
      </c>
      <c r="R5" s="678" t="s">
        <v>1102</v>
      </c>
    </row>
    <row r="6" spans="1:20">
      <c r="A6" s="7"/>
      <c r="B6" s="7"/>
      <c r="C6" s="7"/>
      <c r="K6" s="7"/>
      <c r="M6" s="660"/>
      <c r="N6" s="7"/>
      <c r="Q6" s="679">
        <v>1</v>
      </c>
      <c r="R6" s="680">
        <v>0.39</v>
      </c>
    </row>
    <row r="7" spans="1:20">
      <c r="A7" s="7"/>
      <c r="B7" s="7"/>
      <c r="C7" s="7"/>
      <c r="K7" s="7"/>
      <c r="M7" s="660"/>
      <c r="N7" s="7"/>
      <c r="Q7" s="679">
        <v>2</v>
      </c>
      <c r="R7" s="680">
        <v>0.57499999999999996</v>
      </c>
      <c r="S7" s="1">
        <f>R7-R6</f>
        <v>0.18499999999999994</v>
      </c>
    </row>
    <row r="8" spans="1:20">
      <c r="A8" s="7"/>
      <c r="B8" s="7"/>
      <c r="C8" s="7"/>
      <c r="E8" s="1">
        <f>Hydro!D6</f>
        <v>6.7</v>
      </c>
      <c r="F8" s="1">
        <f>Hydro!E6</f>
        <v>1.2</v>
      </c>
      <c r="G8" s="1">
        <f>MAX(E8,F8)</f>
        <v>6.7</v>
      </c>
      <c r="H8" s="254">
        <f>C5-C11</f>
        <v>3.0649999999999977</v>
      </c>
      <c r="I8" s="254">
        <f>PI()*G8^2/4*H8</f>
        <v>108.06124469580352</v>
      </c>
      <c r="J8" s="254">
        <f>I8*1</f>
        <v>108.06124469580352</v>
      </c>
      <c r="K8" s="7"/>
      <c r="M8" s="660"/>
      <c r="N8" s="7"/>
      <c r="Q8" s="679">
        <v>3</v>
      </c>
      <c r="R8" s="680">
        <v>0.67500000000000004</v>
      </c>
      <c r="S8" s="1">
        <f>R8-R7</f>
        <v>0.10000000000000009</v>
      </c>
    </row>
    <row r="9" spans="1:20">
      <c r="A9" s="7"/>
      <c r="B9" s="7"/>
      <c r="C9" s="7"/>
      <c r="K9" s="7"/>
      <c r="M9" s="660"/>
      <c r="N9" s="7"/>
      <c r="Q9" s="681">
        <v>4</v>
      </c>
      <c r="R9" s="682">
        <v>0.73</v>
      </c>
      <c r="S9" s="1">
        <f>R9-R8</f>
        <v>5.4999999999999938E-2</v>
      </c>
    </row>
    <row r="10" spans="1:20">
      <c r="A10" s="7"/>
      <c r="B10" s="7"/>
      <c r="C10" s="7"/>
      <c r="K10" s="7"/>
      <c r="M10" s="660"/>
      <c r="N10" s="7"/>
      <c r="Q10" s="681">
        <v>6</v>
      </c>
      <c r="R10" s="682">
        <f>R9+0.025</f>
        <v>0.755</v>
      </c>
    </row>
    <row r="11" spans="1:20">
      <c r="A11" s="7"/>
      <c r="B11" s="659" t="s">
        <v>1052</v>
      </c>
      <c r="C11" s="496">
        <f>Hydro!C25</f>
        <v>92.935000000000002</v>
      </c>
      <c r="K11" s="7"/>
      <c r="M11" s="660"/>
      <c r="N11" s="7"/>
    </row>
    <row r="12" spans="1:20">
      <c r="A12" s="7"/>
      <c r="B12" s="7"/>
      <c r="C12" s="496"/>
      <c r="E12" s="1">
        <f>Hydro!D7</f>
        <v>8.6999999999999993</v>
      </c>
      <c r="F12" s="1">
        <f>Hydro!E7</f>
        <v>5.0999999999999996</v>
      </c>
      <c r="G12" s="1">
        <f>MAX(E12,F12)</f>
        <v>8.6999999999999993</v>
      </c>
      <c r="H12" s="254">
        <f>C11-C14</f>
        <v>1.7999999999999972</v>
      </c>
      <c r="I12" s="254">
        <f>PI()*G12^2/4*H12</f>
        <v>107.00421657759496</v>
      </c>
      <c r="J12" s="254">
        <f>I12*1</f>
        <v>107.00421657759496</v>
      </c>
      <c r="K12" s="7"/>
      <c r="M12" s="660"/>
      <c r="N12" s="7"/>
    </row>
    <row r="13" spans="1:20">
      <c r="A13" s="7"/>
      <c r="B13" s="7"/>
      <c r="C13" s="496"/>
      <c r="K13" s="7"/>
      <c r="M13" s="14"/>
    </row>
    <row r="14" spans="1:20">
      <c r="A14" s="7"/>
      <c r="B14" s="659" t="s">
        <v>1053</v>
      </c>
      <c r="C14" s="496">
        <f>Hydro!C28</f>
        <v>91.135000000000005</v>
      </c>
      <c r="K14" s="7"/>
      <c r="M14" s="660"/>
      <c r="N14" s="7"/>
      <c r="Q14" s="10" t="s">
        <v>1104</v>
      </c>
      <c r="R14" s="1" t="s">
        <v>1105</v>
      </c>
      <c r="S14" s="1" t="s">
        <v>1106</v>
      </c>
      <c r="T14" s="1" t="s">
        <v>1107</v>
      </c>
    </row>
    <row r="15" spans="1:20">
      <c r="A15" s="7"/>
      <c r="B15" s="7"/>
      <c r="C15" s="496"/>
      <c r="K15" s="7"/>
      <c r="M15" s="7"/>
      <c r="N15" s="7"/>
      <c r="Q15" s="1">
        <v>0.1</v>
      </c>
      <c r="R15" s="1">
        <v>0.41</v>
      </c>
      <c r="S15" s="1">
        <v>2.5999999999999999E-2</v>
      </c>
      <c r="T15" s="1">
        <v>0.9345</v>
      </c>
    </row>
    <row r="16" spans="1:20">
      <c r="A16" s="7"/>
      <c r="B16" s="7"/>
      <c r="C16" s="496"/>
      <c r="E16" s="1">
        <f>Hydro!D8</f>
        <v>8.3999999999999986</v>
      </c>
      <c r="F16" s="1">
        <f>Hydro!E8</f>
        <v>4.8</v>
      </c>
      <c r="G16" s="1">
        <f>MAX(E16,F16)</f>
        <v>8.3999999999999986</v>
      </c>
      <c r="H16" s="254">
        <f>C14-C17</f>
        <v>3.2999999999999972</v>
      </c>
      <c r="I16" s="254">
        <f>PI()*G16^2/4*H16</f>
        <v>182.87839155076881</v>
      </c>
      <c r="J16" s="254">
        <f>I16*1</f>
        <v>182.87839155076881</v>
      </c>
      <c r="K16" s="7"/>
      <c r="M16" s="7"/>
      <c r="N16" s="7"/>
      <c r="Q16" s="1">
        <v>0.2</v>
      </c>
      <c r="R16" s="1">
        <v>0.67300000000000004</v>
      </c>
      <c r="S16" s="1">
        <v>9.2999999999999999E-2</v>
      </c>
      <c r="T16" s="1">
        <v>0.87119999999999997</v>
      </c>
    </row>
    <row r="17" spans="1:20">
      <c r="A17" s="7"/>
      <c r="B17" s="659" t="s">
        <v>1054</v>
      </c>
      <c r="C17" s="496">
        <f>Hydro!C31</f>
        <v>87.835000000000008</v>
      </c>
      <c r="K17" s="7"/>
      <c r="M17" s="7"/>
      <c r="N17" s="7"/>
      <c r="Q17" s="1">
        <v>0.3</v>
      </c>
      <c r="R17" s="1">
        <v>0.83199999999999996</v>
      </c>
      <c r="S17" s="1">
        <v>0.184</v>
      </c>
      <c r="T17" s="1">
        <v>0.81030000000000002</v>
      </c>
    </row>
    <row r="18" spans="1:20">
      <c r="A18" s="7"/>
      <c r="B18" s="7"/>
      <c r="C18" s="496"/>
      <c r="K18" s="7"/>
      <c r="M18" s="7"/>
      <c r="N18" s="7"/>
      <c r="Q18" s="1">
        <v>0.4</v>
      </c>
      <c r="R18" s="1">
        <v>0.92200000000000004</v>
      </c>
      <c r="S18" s="1">
        <v>0.28899999999999998</v>
      </c>
      <c r="T18" s="1">
        <v>0.75149999999999995</v>
      </c>
    </row>
    <row r="19" spans="1:20">
      <c r="A19" s="7"/>
      <c r="B19" s="7"/>
      <c r="C19" s="496"/>
      <c r="E19" s="371" t="s">
        <v>32</v>
      </c>
      <c r="F19" s="227"/>
      <c r="G19" s="227"/>
      <c r="H19" s="227"/>
      <c r="I19" s="683">
        <f>SUM(I7:I18)</f>
        <v>397.94385282416727</v>
      </c>
      <c r="J19" s="683">
        <f>SUM(J7:J18)</f>
        <v>397.94385282416727</v>
      </c>
      <c r="K19" s="7"/>
      <c r="Q19" s="1">
        <v>0.5</v>
      </c>
      <c r="R19" s="1">
        <v>0.97</v>
      </c>
      <c r="S19" s="1">
        <v>0.40300000000000002</v>
      </c>
      <c r="T19" s="1">
        <v>0.69450000000000001</v>
      </c>
    </row>
    <row r="20" spans="1:20">
      <c r="A20" s="7"/>
      <c r="B20" s="659" t="s">
        <v>1055</v>
      </c>
      <c r="C20" s="496">
        <f>Hydro!C34</f>
        <v>71.135000000000005</v>
      </c>
      <c r="D20" s="7" t="s">
        <v>2</v>
      </c>
      <c r="E20" s="7"/>
      <c r="F20" s="7"/>
      <c r="G20" s="7"/>
      <c r="H20" s="7"/>
      <c r="I20" s="7"/>
      <c r="J20" s="7"/>
      <c r="Q20" s="1">
        <v>0.6</v>
      </c>
      <c r="R20" s="1">
        <v>0.99</v>
      </c>
      <c r="S20" s="1">
        <v>0.52100000000000002</v>
      </c>
      <c r="T20" s="1">
        <v>0.63900000000000001</v>
      </c>
    </row>
    <row r="21" spans="1:20">
      <c r="A21" s="7"/>
      <c r="B21" s="7"/>
      <c r="C21" s="7"/>
      <c r="D21" s="7"/>
      <c r="E21" s="7"/>
      <c r="F21" s="7"/>
      <c r="G21" s="7"/>
      <c r="H21" s="7"/>
      <c r="I21" s="7"/>
      <c r="J21" s="7"/>
      <c r="Q21" s="1">
        <v>0.8</v>
      </c>
      <c r="R21" s="1">
        <v>0.999</v>
      </c>
      <c r="S21" s="1">
        <v>0.76</v>
      </c>
      <c r="T21" s="1">
        <v>0.53200000000000003</v>
      </c>
    </row>
    <row r="22" spans="1:20">
      <c r="Q22" s="1">
        <v>1</v>
      </c>
      <c r="R22" s="1">
        <v>1</v>
      </c>
      <c r="S22" s="1">
        <v>1</v>
      </c>
      <c r="T22" s="1">
        <v>0.42859999999999998</v>
      </c>
    </row>
    <row r="23" spans="1:20">
      <c r="B23" s="1" t="s">
        <v>1099</v>
      </c>
      <c r="E23" s="1" t="s">
        <v>1</v>
      </c>
      <c r="F23" s="254">
        <f>C5-C17</f>
        <v>8.164999999999992</v>
      </c>
      <c r="G23" s="1" t="s">
        <v>2</v>
      </c>
    </row>
    <row r="24" spans="1:20">
      <c r="B24" s="1" t="s">
        <v>1100</v>
      </c>
      <c r="E24" s="1" t="s">
        <v>1</v>
      </c>
      <c r="F24" s="14">
        <f>SQRT((I19/F23)/PI())</f>
        <v>3.9387450402819133</v>
      </c>
      <c r="G24" s="1" t="s">
        <v>2</v>
      </c>
    </row>
    <row r="25" spans="1:20">
      <c r="B25" s="1" t="s">
        <v>1101</v>
      </c>
      <c r="E25" s="1" t="s">
        <v>1</v>
      </c>
      <c r="F25" s="14">
        <f>F23/F24</f>
        <v>2.0729953110688237</v>
      </c>
    </row>
    <row r="26" spans="1:20">
      <c r="B26" s="1" t="s">
        <v>1102</v>
      </c>
      <c r="E26" s="1" t="s">
        <v>1</v>
      </c>
      <c r="F26" s="397">
        <f>data_polation(F25,Q6:R10,2)</f>
        <v>0.58229953110688237</v>
      </c>
    </row>
    <row r="28" spans="1:20">
      <c r="B28" s="1" t="s">
        <v>1108</v>
      </c>
      <c r="E28" s="1" t="s">
        <v>1</v>
      </c>
      <c r="F28" s="1" t="s">
        <v>1109</v>
      </c>
    </row>
    <row r="30" spans="1:20">
      <c r="B30" s="1" t="s">
        <v>1474</v>
      </c>
    </row>
    <row r="31" spans="1:20">
      <c r="B31" s="685" t="s">
        <v>200</v>
      </c>
      <c r="C31" s="24"/>
      <c r="D31" s="24"/>
      <c r="E31" s="24"/>
      <c r="F31" s="24"/>
      <c r="G31" s="24"/>
      <c r="H31" s="24"/>
      <c r="I31" s="21"/>
    </row>
    <row r="32" spans="1:20">
      <c r="B32" s="66" t="s">
        <v>1110</v>
      </c>
      <c r="C32" s="77"/>
      <c r="D32" s="26"/>
      <c r="E32" s="77" t="s">
        <v>1</v>
      </c>
      <c r="F32" s="13">
        <f>SEIS!I51</f>
        <v>0.16200000000000001</v>
      </c>
      <c r="G32" s="26"/>
      <c r="H32" s="26"/>
      <c r="I32" s="27"/>
    </row>
    <row r="33" spans="2:9">
      <c r="B33" s="25" t="s">
        <v>70</v>
      </c>
      <c r="C33" s="26"/>
      <c r="D33" s="26"/>
      <c r="E33" s="26" t="s">
        <v>1</v>
      </c>
      <c r="F33" s="154">
        <f>F26*F32*J19</f>
        <v>37.539048062833366</v>
      </c>
      <c r="G33" s="26" t="s">
        <v>34</v>
      </c>
      <c r="H33" s="26"/>
      <c r="I33" s="27"/>
    </row>
    <row r="34" spans="2:9">
      <c r="B34" s="25" t="s">
        <v>1118</v>
      </c>
      <c r="C34" s="26"/>
      <c r="D34" s="26"/>
      <c r="E34" s="26" t="s">
        <v>1</v>
      </c>
      <c r="F34" s="154">
        <f>T22*F23</f>
        <v>3.4995189999999963</v>
      </c>
      <c r="G34" s="26" t="s">
        <v>2</v>
      </c>
      <c r="H34" s="26"/>
      <c r="I34" s="27"/>
    </row>
    <row r="35" spans="2:9">
      <c r="B35" s="25"/>
      <c r="C35" s="26"/>
      <c r="D35" s="26"/>
      <c r="E35" s="26"/>
      <c r="F35" s="26"/>
      <c r="G35" s="26"/>
      <c r="H35" s="26"/>
      <c r="I35" s="27"/>
    </row>
    <row r="36" spans="2:9">
      <c r="B36" s="25" t="s">
        <v>1111</v>
      </c>
      <c r="C36" s="26"/>
      <c r="D36" s="26"/>
      <c r="E36" s="26"/>
      <c r="F36" s="26"/>
      <c r="G36" s="26"/>
      <c r="H36" s="26"/>
      <c r="I36" s="27"/>
    </row>
    <row r="37" spans="2:9">
      <c r="B37" s="25" t="s">
        <v>1112</v>
      </c>
      <c r="C37" s="26" t="s">
        <v>1103</v>
      </c>
      <c r="D37" s="26" t="s">
        <v>1</v>
      </c>
      <c r="E37" s="172">
        <f>(C5-C14)/F23</f>
        <v>0.59583588487446415</v>
      </c>
      <c r="F37" s="26"/>
      <c r="G37" s="26"/>
      <c r="H37" s="26"/>
      <c r="I37" s="27"/>
    </row>
    <row r="38" spans="2:9">
      <c r="B38" s="25"/>
      <c r="C38" s="26"/>
      <c r="D38" s="26"/>
      <c r="E38" s="26"/>
      <c r="F38" s="26"/>
      <c r="G38" s="26"/>
      <c r="H38" s="26"/>
      <c r="I38" s="27"/>
    </row>
    <row r="39" spans="2:9">
      <c r="B39" s="25" t="s">
        <v>1113</v>
      </c>
      <c r="C39" s="26"/>
      <c r="D39" s="26"/>
      <c r="E39" s="26" t="s">
        <v>1</v>
      </c>
      <c r="F39" s="26" t="s">
        <v>1114</v>
      </c>
      <c r="G39" s="26"/>
      <c r="H39" s="26"/>
      <c r="I39" s="27"/>
    </row>
    <row r="40" spans="2:9">
      <c r="B40" s="25" t="s">
        <v>1106</v>
      </c>
      <c r="C40" s="26"/>
      <c r="D40" s="26"/>
      <c r="E40" s="26" t="s">
        <v>1</v>
      </c>
      <c r="F40" s="154">
        <f>data_polation(E37,Q15:T22,3)</f>
        <v>0.51608634415186772</v>
      </c>
      <c r="G40" s="26"/>
      <c r="H40" s="26"/>
      <c r="I40" s="27"/>
    </row>
    <row r="41" spans="2:9">
      <c r="B41" s="25" t="s">
        <v>1115</v>
      </c>
      <c r="C41" s="26"/>
      <c r="D41" s="26"/>
      <c r="E41" s="26" t="s">
        <v>1</v>
      </c>
      <c r="F41" s="154">
        <f>F40*F33</f>
        <v>19.373390077688924</v>
      </c>
      <c r="G41" s="26"/>
      <c r="H41" s="26"/>
      <c r="I41" s="27"/>
    </row>
    <row r="42" spans="2:9">
      <c r="B42" s="25" t="s">
        <v>1116</v>
      </c>
      <c r="C42" s="26"/>
      <c r="D42" s="26"/>
      <c r="E42" s="26" t="s">
        <v>1</v>
      </c>
      <c r="F42" s="26" t="s">
        <v>1117</v>
      </c>
      <c r="G42" s="26"/>
      <c r="H42" s="26"/>
      <c r="I42" s="27"/>
    </row>
    <row r="43" spans="2:9">
      <c r="B43" s="25" t="s">
        <v>1107</v>
      </c>
      <c r="C43" s="26"/>
      <c r="D43" s="26"/>
      <c r="E43" s="26" t="s">
        <v>1</v>
      </c>
      <c r="F43" s="684">
        <f>data_polation(E37,Q15:T22,4)</f>
        <v>0.6413110838946724</v>
      </c>
      <c r="G43" s="26"/>
      <c r="H43" s="26"/>
      <c r="I43" s="27"/>
    </row>
    <row r="44" spans="2:9">
      <c r="B44" s="25" t="s">
        <v>1116</v>
      </c>
      <c r="C44" s="26"/>
      <c r="D44" s="26"/>
      <c r="E44" s="26" t="s">
        <v>1</v>
      </c>
      <c r="F44" s="26">
        <f>F23*F43</f>
        <v>5.2363049999999953</v>
      </c>
      <c r="G44" s="26" t="s">
        <v>2</v>
      </c>
      <c r="H44" s="26"/>
      <c r="I44" s="27"/>
    </row>
    <row r="45" spans="2:9">
      <c r="B45" s="25" t="s">
        <v>1083</v>
      </c>
      <c r="C45" s="26"/>
      <c r="D45" s="26"/>
      <c r="E45" s="26" t="s">
        <v>1</v>
      </c>
      <c r="F45" s="172">
        <f>F44-(C14-C17)</f>
        <v>1.9363049999999982</v>
      </c>
      <c r="G45" s="26" t="s">
        <v>2</v>
      </c>
      <c r="H45" s="26"/>
      <c r="I45" s="27"/>
    </row>
    <row r="46" spans="2:9">
      <c r="B46" s="25" t="s">
        <v>1120</v>
      </c>
      <c r="C46" s="26"/>
      <c r="D46" s="26"/>
      <c r="E46" s="26" t="s">
        <v>1</v>
      </c>
      <c r="F46" s="26">
        <f>F41*F45</f>
        <v>37.512792074379419</v>
      </c>
      <c r="G46" s="26" t="s">
        <v>1059</v>
      </c>
      <c r="H46" s="26"/>
      <c r="I46" s="27"/>
    </row>
    <row r="47" spans="2:9">
      <c r="B47" s="25"/>
      <c r="C47" s="26"/>
      <c r="D47" s="26"/>
      <c r="E47" s="26"/>
      <c r="F47" s="26"/>
      <c r="G47" s="26"/>
      <c r="H47" s="26"/>
      <c r="I47" s="27"/>
    </row>
    <row r="48" spans="2:9">
      <c r="B48" s="25"/>
      <c r="C48" s="26"/>
      <c r="D48" s="26"/>
      <c r="E48" s="26"/>
      <c r="F48" s="26"/>
      <c r="G48" s="26"/>
      <c r="H48" s="26"/>
      <c r="I48" s="27"/>
    </row>
    <row r="49" spans="2:9">
      <c r="B49" s="66" t="s">
        <v>1119</v>
      </c>
      <c r="C49" s="77"/>
      <c r="D49" s="77"/>
      <c r="E49" s="77"/>
      <c r="F49" s="77" t="s">
        <v>1</v>
      </c>
      <c r="G49" s="13">
        <f>F33-F41</f>
        <v>18.165657985144442</v>
      </c>
      <c r="H49" s="77" t="s">
        <v>34</v>
      </c>
      <c r="I49" s="27"/>
    </row>
    <row r="50" spans="2:9">
      <c r="B50" s="25"/>
      <c r="C50" s="26"/>
      <c r="D50" s="26"/>
      <c r="E50" s="26"/>
      <c r="F50" s="26"/>
      <c r="G50" s="26"/>
      <c r="H50" s="26"/>
      <c r="I50" s="27"/>
    </row>
    <row r="51" spans="2:9">
      <c r="B51" s="28"/>
      <c r="C51" s="15"/>
      <c r="D51" s="15"/>
      <c r="E51" s="15"/>
      <c r="F51" s="15"/>
      <c r="G51" s="15"/>
      <c r="H51" s="15"/>
      <c r="I51" s="22"/>
    </row>
    <row r="54" spans="2:9">
      <c r="B54" s="685" t="s">
        <v>1121</v>
      </c>
      <c r="C54" s="24"/>
      <c r="D54" s="24"/>
      <c r="E54" s="24"/>
      <c r="F54" s="24"/>
      <c r="G54" s="24"/>
      <c r="H54" s="24"/>
      <c r="I54" s="21"/>
    </row>
    <row r="55" spans="2:9">
      <c r="B55" s="66" t="s">
        <v>1110</v>
      </c>
      <c r="C55" s="77"/>
      <c r="D55" s="26"/>
      <c r="E55" s="77" t="s">
        <v>1</v>
      </c>
      <c r="F55" s="13">
        <f>SEIS!I52</f>
        <v>0.16200000000000001</v>
      </c>
      <c r="G55" s="26"/>
      <c r="H55" s="26"/>
      <c r="I55" s="27"/>
    </row>
    <row r="56" spans="2:9">
      <c r="B56" s="25" t="s">
        <v>70</v>
      </c>
      <c r="C56" s="26"/>
      <c r="D56" s="26"/>
      <c r="E56" s="26" t="s">
        <v>1</v>
      </c>
      <c r="F56" s="154">
        <f>F26*F55*J19</f>
        <v>37.539048062833366</v>
      </c>
      <c r="G56" s="26" t="s">
        <v>34</v>
      </c>
      <c r="H56" s="26"/>
      <c r="I56" s="27"/>
    </row>
    <row r="57" spans="2:9">
      <c r="B57" s="25" t="s">
        <v>1118</v>
      </c>
      <c r="C57" s="26"/>
      <c r="D57" s="26"/>
      <c r="E57" s="26" t="s">
        <v>1</v>
      </c>
      <c r="F57" s="154">
        <f>T22*F23</f>
        <v>3.4995189999999963</v>
      </c>
      <c r="G57" s="26" t="s">
        <v>2</v>
      </c>
      <c r="H57" s="26"/>
      <c r="I57" s="27"/>
    </row>
    <row r="58" spans="2:9">
      <c r="B58" s="25"/>
      <c r="C58" s="26"/>
      <c r="D58" s="26"/>
      <c r="E58" s="26"/>
      <c r="F58" s="26"/>
      <c r="G58" s="26"/>
      <c r="H58" s="26"/>
      <c r="I58" s="27"/>
    </row>
    <row r="59" spans="2:9">
      <c r="B59" s="25" t="s">
        <v>1111</v>
      </c>
      <c r="C59" s="26"/>
      <c r="D59" s="26"/>
      <c r="E59" s="26"/>
      <c r="F59" s="26"/>
      <c r="G59" s="26"/>
      <c r="H59" s="26"/>
      <c r="I59" s="27"/>
    </row>
    <row r="60" spans="2:9">
      <c r="B60" s="25" t="s">
        <v>1112</v>
      </c>
      <c r="C60" s="26" t="s">
        <v>1103</v>
      </c>
      <c r="D60" s="26" t="s">
        <v>1</v>
      </c>
      <c r="E60" s="172">
        <f>(C5-C14)/F23</f>
        <v>0.59583588487446415</v>
      </c>
      <c r="F60" s="26"/>
      <c r="G60" s="26"/>
      <c r="H60" s="26"/>
      <c r="I60" s="27"/>
    </row>
    <row r="61" spans="2:9">
      <c r="B61" s="25"/>
      <c r="C61" s="26"/>
      <c r="D61" s="26"/>
      <c r="E61" s="26"/>
      <c r="F61" s="26"/>
      <c r="G61" s="26"/>
      <c r="H61" s="26"/>
      <c r="I61" s="27"/>
    </row>
    <row r="62" spans="2:9">
      <c r="B62" s="25" t="s">
        <v>1113</v>
      </c>
      <c r="C62" s="26"/>
      <c r="D62" s="26"/>
      <c r="E62" s="26" t="s">
        <v>1</v>
      </c>
      <c r="F62" s="26" t="s">
        <v>1114</v>
      </c>
      <c r="G62" s="26"/>
      <c r="H62" s="26"/>
      <c r="I62" s="27"/>
    </row>
    <row r="63" spans="2:9">
      <c r="B63" s="25" t="s">
        <v>1106</v>
      </c>
      <c r="C63" s="26"/>
      <c r="D63" s="26"/>
      <c r="E63" s="26" t="s">
        <v>1</v>
      </c>
      <c r="F63" s="154">
        <f>data_polation(E60,Q15:T22,3)</f>
        <v>0.51608634415186772</v>
      </c>
      <c r="G63" s="26"/>
      <c r="H63" s="26"/>
      <c r="I63" s="27"/>
    </row>
    <row r="64" spans="2:9">
      <c r="B64" s="25" t="s">
        <v>1115</v>
      </c>
      <c r="C64" s="26"/>
      <c r="D64" s="26"/>
      <c r="E64" s="26" t="s">
        <v>1</v>
      </c>
      <c r="F64" s="154">
        <f>F63*F56</f>
        <v>19.373390077688924</v>
      </c>
      <c r="G64" s="26"/>
      <c r="H64" s="26"/>
      <c r="I64" s="27"/>
    </row>
    <row r="65" spans="2:9">
      <c r="B65" s="25" t="s">
        <v>1116</v>
      </c>
      <c r="C65" s="26"/>
      <c r="D65" s="26"/>
      <c r="E65" s="26" t="s">
        <v>1</v>
      </c>
      <c r="F65" s="26" t="s">
        <v>1117</v>
      </c>
      <c r="G65" s="26"/>
      <c r="H65" s="26"/>
      <c r="I65" s="27"/>
    </row>
    <row r="66" spans="2:9">
      <c r="B66" s="25" t="s">
        <v>1107</v>
      </c>
      <c r="C66" s="26"/>
      <c r="D66" s="26"/>
      <c r="E66" s="26" t="s">
        <v>1</v>
      </c>
      <c r="F66" s="684">
        <f>data_polation(E60,Q15:T22,4)</f>
        <v>0.6413110838946724</v>
      </c>
      <c r="G66" s="26"/>
      <c r="H66" s="26"/>
      <c r="I66" s="27"/>
    </row>
    <row r="67" spans="2:9">
      <c r="B67" s="25" t="s">
        <v>1116</v>
      </c>
      <c r="C67" s="26"/>
      <c r="D67" s="26"/>
      <c r="E67" s="26" t="s">
        <v>1</v>
      </c>
      <c r="F67" s="26">
        <f>F23*F66</f>
        <v>5.2363049999999953</v>
      </c>
      <c r="G67" s="26" t="s">
        <v>2</v>
      </c>
      <c r="H67" s="26"/>
      <c r="I67" s="27"/>
    </row>
    <row r="68" spans="2:9">
      <c r="B68" s="25" t="s">
        <v>1083</v>
      </c>
      <c r="C68" s="26"/>
      <c r="D68" s="26"/>
      <c r="E68" s="26" t="s">
        <v>1</v>
      </c>
      <c r="F68" s="172">
        <f>F67-(C14-C17)</f>
        <v>1.9363049999999982</v>
      </c>
      <c r="G68" s="26" t="s">
        <v>2</v>
      </c>
      <c r="H68" s="26"/>
      <c r="I68" s="27"/>
    </row>
    <row r="69" spans="2:9">
      <c r="B69" s="25" t="s">
        <v>1120</v>
      </c>
      <c r="C69" s="26"/>
      <c r="D69" s="26"/>
      <c r="E69" s="26" t="s">
        <v>1</v>
      </c>
      <c r="F69" s="26">
        <f>F64*F68</f>
        <v>37.512792074379419</v>
      </c>
      <c r="G69" s="26" t="s">
        <v>1059</v>
      </c>
      <c r="H69" s="26"/>
      <c r="I69" s="27"/>
    </row>
    <row r="70" spans="2:9">
      <c r="B70" s="25"/>
      <c r="C70" s="26"/>
      <c r="D70" s="26"/>
      <c r="E70" s="26"/>
      <c r="F70" s="26"/>
      <c r="G70" s="26"/>
      <c r="H70" s="26"/>
      <c r="I70" s="27"/>
    </row>
    <row r="71" spans="2:9">
      <c r="B71" s="66" t="s">
        <v>1119</v>
      </c>
      <c r="C71" s="77"/>
      <c r="D71" s="77"/>
      <c r="E71" s="77"/>
      <c r="F71" s="77" t="s">
        <v>1</v>
      </c>
      <c r="G71" s="13">
        <f>F56-F64</f>
        <v>18.165657985144442</v>
      </c>
      <c r="H71" s="77" t="s">
        <v>34</v>
      </c>
      <c r="I71" s="27"/>
    </row>
    <row r="72" spans="2:9">
      <c r="B72" s="25"/>
      <c r="C72" s="26"/>
      <c r="D72" s="26"/>
      <c r="E72" s="26"/>
      <c r="F72" s="26"/>
      <c r="G72" s="26"/>
      <c r="H72" s="26"/>
      <c r="I72" s="27"/>
    </row>
    <row r="73" spans="2:9">
      <c r="B73" s="28"/>
      <c r="C73" s="15"/>
      <c r="D73" s="15"/>
      <c r="E73" s="15"/>
      <c r="F73" s="15"/>
      <c r="G73" s="15"/>
      <c r="H73" s="15"/>
      <c r="I73" s="22"/>
    </row>
    <row r="76" spans="2:9">
      <c r="B76" s="1" t="s">
        <v>1475</v>
      </c>
    </row>
    <row r="77" spans="2:9">
      <c r="B77" s="685" t="s">
        <v>200</v>
      </c>
      <c r="C77" s="24"/>
      <c r="D77" s="24"/>
      <c r="E77" s="24"/>
      <c r="F77" s="24"/>
      <c r="G77" s="24"/>
      <c r="H77" s="24"/>
      <c r="I77" s="21"/>
    </row>
    <row r="78" spans="2:9">
      <c r="B78" s="66" t="s">
        <v>1110</v>
      </c>
      <c r="C78" s="77"/>
      <c r="D78" s="26"/>
      <c r="E78" s="77" t="s">
        <v>1</v>
      </c>
      <c r="F78" s="785">
        <f>SEIS!I51</f>
        <v>0.16200000000000001</v>
      </c>
      <c r="G78" s="26"/>
      <c r="H78" s="26"/>
      <c r="I78" s="27"/>
    </row>
    <row r="79" spans="2:9">
      <c r="B79" s="25" t="s">
        <v>70</v>
      </c>
      <c r="C79" s="26"/>
      <c r="D79" s="26"/>
      <c r="E79" s="26" t="s">
        <v>1</v>
      </c>
      <c r="F79" s="154">
        <f>F26*F78*J19</f>
        <v>37.539048062833366</v>
      </c>
      <c r="G79" s="26" t="s">
        <v>34</v>
      </c>
      <c r="H79" s="26"/>
      <c r="I79" s="27"/>
    </row>
    <row r="80" spans="2:9">
      <c r="B80" s="25" t="s">
        <v>1116</v>
      </c>
      <c r="C80" s="26"/>
      <c r="D80" s="26"/>
      <c r="E80" s="26" t="s">
        <v>1</v>
      </c>
      <c r="F80" s="154">
        <f>T22*F23</f>
        <v>3.4995189999999963</v>
      </c>
      <c r="G80" s="26" t="s">
        <v>2</v>
      </c>
      <c r="H80" s="26"/>
      <c r="I80" s="27"/>
    </row>
    <row r="81" spans="2:9">
      <c r="B81" s="25"/>
      <c r="C81" s="26"/>
      <c r="D81" s="26"/>
      <c r="E81" s="26"/>
      <c r="F81" s="26"/>
      <c r="G81" s="26"/>
      <c r="H81" s="26"/>
      <c r="I81" s="27"/>
    </row>
    <row r="82" spans="2:9">
      <c r="B82" s="25" t="s">
        <v>1476</v>
      </c>
      <c r="C82" s="26"/>
      <c r="D82" s="26"/>
      <c r="E82" s="26" t="s">
        <v>1</v>
      </c>
      <c r="F82" s="172">
        <f>C5-C11</f>
        <v>3.0649999999999977</v>
      </c>
      <c r="G82" s="26" t="s">
        <v>2</v>
      </c>
      <c r="H82" s="26"/>
      <c r="I82" s="27"/>
    </row>
    <row r="83" spans="2:9">
      <c r="B83" s="25"/>
      <c r="C83" s="26"/>
      <c r="D83" s="26"/>
      <c r="E83" s="26"/>
      <c r="F83" s="26"/>
      <c r="G83" s="26"/>
      <c r="H83" s="26"/>
      <c r="I83" s="27"/>
    </row>
    <row r="84" spans="2:9">
      <c r="B84" s="25" t="s">
        <v>1477</v>
      </c>
      <c r="C84" s="26"/>
      <c r="D84" s="26"/>
      <c r="E84" s="26"/>
      <c r="F84" s="26"/>
      <c r="G84" s="26"/>
      <c r="H84" s="26"/>
      <c r="I84" s="27"/>
    </row>
    <row r="85" spans="2:9">
      <c r="B85" s="25" t="s">
        <v>1112</v>
      </c>
      <c r="C85" s="26" t="s">
        <v>1103</v>
      </c>
      <c r="D85" s="26" t="s">
        <v>1</v>
      </c>
      <c r="E85" s="172">
        <f>F82/F23</f>
        <v>0.37538273116962656</v>
      </c>
      <c r="F85" s="26"/>
      <c r="G85" s="26"/>
      <c r="H85" s="26"/>
      <c r="I85" s="27"/>
    </row>
    <row r="86" spans="2:9">
      <c r="B86" s="25"/>
      <c r="C86" s="26"/>
      <c r="D86" s="26"/>
      <c r="E86" s="26"/>
      <c r="F86" s="26"/>
      <c r="G86" s="26"/>
      <c r="H86" s="26"/>
      <c r="I86" s="27"/>
    </row>
    <row r="87" spans="2:9">
      <c r="B87" s="25" t="s">
        <v>1113</v>
      </c>
      <c r="C87" s="26"/>
      <c r="D87" s="26"/>
      <c r="E87" s="26" t="s">
        <v>1</v>
      </c>
      <c r="F87" s="26" t="s">
        <v>1114</v>
      </c>
      <c r="G87" s="26"/>
      <c r="H87" s="26"/>
      <c r="I87" s="27"/>
    </row>
    <row r="88" spans="2:9">
      <c r="B88" s="25" t="s">
        <v>1106</v>
      </c>
      <c r="C88" s="26"/>
      <c r="D88" s="26"/>
      <c r="E88" s="26" t="s">
        <v>1</v>
      </c>
      <c r="F88" s="154">
        <f>data_polation(E85,Q15:T22,3)</f>
        <v>0.26315186772810784</v>
      </c>
      <c r="G88" s="26"/>
      <c r="H88" s="26"/>
      <c r="I88" s="27"/>
    </row>
    <row r="89" spans="2:9">
      <c r="B89" s="25" t="s">
        <v>1478</v>
      </c>
      <c r="C89" s="26"/>
      <c r="D89" s="26"/>
      <c r="E89" s="26" t="s">
        <v>1</v>
      </c>
      <c r="F89" s="154">
        <f>F88*F79</f>
        <v>9.8784706104698081</v>
      </c>
      <c r="G89" s="26"/>
      <c r="I89" s="27"/>
    </row>
    <row r="90" spans="2:9">
      <c r="B90" s="25" t="s">
        <v>1116</v>
      </c>
      <c r="C90" s="26"/>
      <c r="D90" s="26"/>
      <c r="E90" s="26" t="s">
        <v>1</v>
      </c>
      <c r="F90" s="26" t="s">
        <v>1117</v>
      </c>
      <c r="G90" s="26"/>
      <c r="I90" s="27"/>
    </row>
    <row r="91" spans="2:9">
      <c r="B91" s="25" t="s">
        <v>1107</v>
      </c>
      <c r="C91" s="26"/>
      <c r="D91" s="26"/>
      <c r="E91" s="26" t="s">
        <v>1</v>
      </c>
      <c r="F91" s="154">
        <f>data_polation(E85,Q15:T22,4)</f>
        <v>0.76597495407225957</v>
      </c>
      <c r="G91" s="26"/>
      <c r="I91" s="27"/>
    </row>
    <row r="92" spans="2:9">
      <c r="B92" s="25" t="s">
        <v>1116</v>
      </c>
      <c r="C92" s="26"/>
      <c r="D92" s="26"/>
      <c r="E92" s="26" t="s">
        <v>1</v>
      </c>
      <c r="F92" s="154">
        <f>F23*F91</f>
        <v>6.2541854999999931</v>
      </c>
      <c r="G92" s="26" t="s">
        <v>2</v>
      </c>
      <c r="I92" s="27"/>
    </row>
    <row r="93" spans="2:9">
      <c r="B93" s="25" t="s">
        <v>1479</v>
      </c>
      <c r="C93" s="26"/>
      <c r="D93" s="26"/>
      <c r="E93" s="26" t="s">
        <v>1</v>
      </c>
      <c r="F93" s="154">
        <f>F92-(C11-C17)</f>
        <v>1.1541854999999988</v>
      </c>
      <c r="G93" s="26" t="s">
        <v>2</v>
      </c>
      <c r="I93" s="27"/>
    </row>
    <row r="94" spans="2:9">
      <c r="B94" s="25" t="s">
        <v>1480</v>
      </c>
      <c r="C94" s="26"/>
      <c r="D94" s="26"/>
      <c r="E94" s="26" t="s">
        <v>1</v>
      </c>
      <c r="F94" s="154">
        <f>F89*F93</f>
        <v>11.401587540780389</v>
      </c>
      <c r="G94" s="26" t="s">
        <v>1059</v>
      </c>
      <c r="H94" s="26"/>
      <c r="I94" s="27"/>
    </row>
    <row r="95" spans="2:9">
      <c r="B95" s="25"/>
      <c r="C95" s="26"/>
      <c r="D95" s="26"/>
      <c r="E95" s="26"/>
      <c r="F95" s="26"/>
      <c r="G95" s="26"/>
      <c r="H95" s="26"/>
      <c r="I95" s="27"/>
    </row>
    <row r="96" spans="2:9">
      <c r="B96" s="28"/>
      <c r="C96" s="15"/>
      <c r="D96" s="15"/>
      <c r="E96" s="15"/>
      <c r="F96" s="15"/>
      <c r="G96" s="15"/>
      <c r="H96" s="15"/>
      <c r="I96" s="22"/>
    </row>
    <row r="99" spans="2:9">
      <c r="B99" s="685" t="s">
        <v>1121</v>
      </c>
      <c r="C99" s="24"/>
      <c r="D99" s="24"/>
      <c r="E99" s="24"/>
      <c r="F99" s="24"/>
      <c r="G99" s="24"/>
      <c r="H99" s="24"/>
      <c r="I99" s="21"/>
    </row>
    <row r="100" spans="2:9">
      <c r="B100" s="66" t="s">
        <v>1110</v>
      </c>
      <c r="C100" s="77"/>
      <c r="D100" s="26"/>
      <c r="E100" s="77" t="s">
        <v>1</v>
      </c>
      <c r="F100" s="13">
        <f>SEIS!I52</f>
        <v>0.16200000000000001</v>
      </c>
      <c r="G100" s="26"/>
      <c r="H100" s="26"/>
      <c r="I100" s="27"/>
    </row>
    <row r="101" spans="2:9">
      <c r="B101" s="25" t="s">
        <v>70</v>
      </c>
      <c r="C101" s="26"/>
      <c r="D101" s="26"/>
      <c r="E101" s="26" t="s">
        <v>1</v>
      </c>
      <c r="F101" s="154">
        <f>F26*F100*J19</f>
        <v>37.539048062833366</v>
      </c>
      <c r="G101" s="26" t="s">
        <v>34</v>
      </c>
      <c r="H101" s="26"/>
      <c r="I101" s="27"/>
    </row>
    <row r="102" spans="2:9">
      <c r="B102" s="25" t="s">
        <v>1118</v>
      </c>
      <c r="C102" s="26"/>
      <c r="D102" s="26"/>
      <c r="E102" s="26" t="s">
        <v>1</v>
      </c>
      <c r="F102" s="154">
        <f>T22*F23</f>
        <v>3.4995189999999963</v>
      </c>
      <c r="G102" s="26" t="s">
        <v>2</v>
      </c>
      <c r="H102" s="26"/>
      <c r="I102" s="27"/>
    </row>
    <row r="103" spans="2:9">
      <c r="B103" s="25"/>
      <c r="C103" s="26"/>
      <c r="D103" s="26"/>
      <c r="E103" s="26"/>
      <c r="F103" s="26"/>
      <c r="G103" s="26"/>
      <c r="H103" s="26"/>
      <c r="I103" s="27"/>
    </row>
    <row r="104" spans="2:9">
      <c r="B104" s="25" t="s">
        <v>1476</v>
      </c>
      <c r="C104" s="26"/>
      <c r="D104" s="26"/>
      <c r="E104" s="26" t="s">
        <v>1</v>
      </c>
      <c r="F104" s="172">
        <f>F82</f>
        <v>3.0649999999999977</v>
      </c>
      <c r="G104" s="26" t="s">
        <v>2</v>
      </c>
      <c r="H104" s="26"/>
      <c r="I104" s="27"/>
    </row>
    <row r="105" spans="2:9">
      <c r="B105" s="25"/>
      <c r="C105" s="26"/>
      <c r="D105" s="26"/>
      <c r="E105" s="26"/>
      <c r="F105" s="26"/>
      <c r="G105" s="26"/>
      <c r="H105" s="26"/>
      <c r="I105" s="27"/>
    </row>
    <row r="106" spans="2:9">
      <c r="B106" s="25" t="s">
        <v>1477</v>
      </c>
      <c r="C106" s="26"/>
      <c r="D106" s="26"/>
      <c r="E106" s="26"/>
      <c r="H106" s="26"/>
      <c r="I106" s="27"/>
    </row>
    <row r="107" spans="2:9">
      <c r="B107" s="25" t="s">
        <v>1112</v>
      </c>
      <c r="C107" s="26" t="s">
        <v>1103</v>
      </c>
      <c r="D107" s="26" t="s">
        <v>1</v>
      </c>
      <c r="E107" s="172">
        <f>F104/F23</f>
        <v>0.37538273116962656</v>
      </c>
      <c r="F107" s="26"/>
      <c r="G107" s="26"/>
      <c r="H107" s="26"/>
      <c r="I107" s="27"/>
    </row>
    <row r="108" spans="2:9">
      <c r="B108" s="25"/>
      <c r="C108" s="26"/>
      <c r="D108" s="26"/>
      <c r="E108" s="26"/>
      <c r="F108" s="26"/>
      <c r="G108" s="26"/>
      <c r="H108" s="26"/>
      <c r="I108" s="27"/>
    </row>
    <row r="109" spans="2:9">
      <c r="B109" s="25" t="s">
        <v>1113</v>
      </c>
      <c r="C109" s="26"/>
      <c r="D109" s="26"/>
      <c r="E109" s="26" t="s">
        <v>1</v>
      </c>
      <c r="F109" s="26" t="s">
        <v>1114</v>
      </c>
      <c r="G109" s="26"/>
      <c r="H109" s="26"/>
      <c r="I109" s="27"/>
    </row>
    <row r="110" spans="2:9">
      <c r="B110" s="25" t="s">
        <v>1106</v>
      </c>
      <c r="C110" s="26"/>
      <c r="D110" s="26"/>
      <c r="E110" s="26" t="s">
        <v>1</v>
      </c>
      <c r="F110" s="154">
        <f>data_polation(E107,Q15:T22,3)</f>
        <v>0.26315186772810784</v>
      </c>
      <c r="G110" s="26"/>
      <c r="H110" s="26"/>
      <c r="I110" s="27"/>
    </row>
    <row r="111" spans="2:9">
      <c r="B111" s="25" t="s">
        <v>1478</v>
      </c>
      <c r="C111" s="26"/>
      <c r="D111" s="26"/>
      <c r="E111" s="26" t="s">
        <v>1</v>
      </c>
      <c r="F111" s="154">
        <f>F110*F101</f>
        <v>9.8784706104698081</v>
      </c>
      <c r="G111" s="26"/>
      <c r="H111" s="26"/>
      <c r="I111" s="27"/>
    </row>
    <row r="112" spans="2:9">
      <c r="B112" s="25" t="s">
        <v>1116</v>
      </c>
      <c r="C112" s="26"/>
      <c r="D112" s="26"/>
      <c r="E112" s="26" t="s">
        <v>1</v>
      </c>
      <c r="F112" s="26" t="s">
        <v>1117</v>
      </c>
      <c r="G112" s="26"/>
      <c r="H112" s="26"/>
      <c r="I112" s="27"/>
    </row>
    <row r="113" spans="2:9">
      <c r="B113" s="25" t="s">
        <v>1107</v>
      </c>
      <c r="C113" s="26"/>
      <c r="D113" s="26"/>
      <c r="E113" s="26" t="s">
        <v>1</v>
      </c>
      <c r="F113" s="684">
        <f>data_polation(E107,Q15:T22,4)</f>
        <v>0.76597495407225957</v>
      </c>
      <c r="G113" s="26"/>
      <c r="H113" s="26"/>
      <c r="I113" s="27"/>
    </row>
    <row r="114" spans="2:9">
      <c r="B114" s="25" t="s">
        <v>1116</v>
      </c>
      <c r="C114" s="26"/>
      <c r="D114" s="26"/>
      <c r="E114" s="26" t="s">
        <v>1</v>
      </c>
      <c r="F114" s="26">
        <f>F23*F113</f>
        <v>6.2541854999999931</v>
      </c>
      <c r="G114" s="26" t="s">
        <v>2</v>
      </c>
      <c r="H114" s="26"/>
      <c r="I114" s="27"/>
    </row>
    <row r="115" spans="2:9">
      <c r="B115" s="25" t="s">
        <v>1083</v>
      </c>
      <c r="C115" s="26"/>
      <c r="D115" s="26"/>
      <c r="E115" s="26" t="s">
        <v>1</v>
      </c>
      <c r="F115" s="172">
        <f>F114-(C11-C17)</f>
        <v>1.1541854999999988</v>
      </c>
      <c r="G115" s="26" t="s">
        <v>2</v>
      </c>
      <c r="H115" s="26"/>
      <c r="I115" s="27"/>
    </row>
    <row r="116" spans="2:9">
      <c r="B116" s="25" t="s">
        <v>1480</v>
      </c>
      <c r="C116" s="26"/>
      <c r="D116" s="26"/>
      <c r="E116" s="26" t="s">
        <v>1</v>
      </c>
      <c r="F116" s="26">
        <f>F111*F115</f>
        <v>11.401587540780389</v>
      </c>
      <c r="G116" s="26" t="s">
        <v>1059</v>
      </c>
      <c r="H116" s="26"/>
      <c r="I116" s="27"/>
    </row>
    <row r="117" spans="2:9">
      <c r="B117" s="25"/>
      <c r="C117" s="26"/>
      <c r="D117" s="26"/>
      <c r="E117" s="26"/>
      <c r="F117" s="26"/>
      <c r="G117" s="26"/>
      <c r="H117" s="26"/>
      <c r="I117" s="27"/>
    </row>
    <row r="118" spans="2:9">
      <c r="B118" s="28"/>
      <c r="C118" s="15"/>
      <c r="D118" s="15"/>
      <c r="E118" s="15"/>
      <c r="F118" s="15"/>
      <c r="G118" s="15"/>
      <c r="H118" s="15"/>
      <c r="I118" s="22"/>
    </row>
  </sheetData>
  <mergeCells count="5">
    <mergeCell ref="G3:G4"/>
    <mergeCell ref="E3:F3"/>
    <mergeCell ref="H3:H4"/>
    <mergeCell ref="I3:I4"/>
    <mergeCell ref="J3:J4"/>
  </mergeCells>
  <pageMargins left="0.70866141732283505" right="0.70866141732283505" top="0.74803149606299202" bottom="0.74803149606299202" header="0.31496062992126" footer="0.31496062992126"/>
  <pageSetup paperSize="9" scale="86" orientation="portrait" blackAndWhite="1" r:id="rId1"/>
  <rowBreaks count="2" manualBreakCount="2">
    <brk id="52" max="10" man="1"/>
    <brk id="98" max="10" man="1"/>
  </rowBreaks>
  <drawing r:id="rId2"/>
</worksheet>
</file>

<file path=xl/worksheets/sheet16.xml><?xml version="1.0" encoding="utf-8"?>
<worksheet xmlns="http://schemas.openxmlformats.org/spreadsheetml/2006/main" xmlns:r="http://schemas.openxmlformats.org/officeDocument/2006/relationships">
  <sheetPr codeName="Sheet9"/>
  <dimension ref="A1:R105"/>
  <sheetViews>
    <sheetView view="pageBreakPreview" zoomScaleSheetLayoutView="100" workbookViewId="0">
      <selection activeCell="M14" sqref="M14"/>
    </sheetView>
  </sheetViews>
  <sheetFormatPr defaultColWidth="7.7109375" defaultRowHeight="15"/>
  <cols>
    <col min="1" max="6" width="7.7109375" style="1"/>
    <col min="7" max="7" width="7.85546875" style="1" bestFit="1" customWidth="1"/>
    <col min="8" max="8" width="7.85546875" style="1" customWidth="1"/>
    <col min="9" max="9" width="8.42578125" style="1" bestFit="1" customWidth="1"/>
    <col min="10" max="16384" width="7.7109375" style="1"/>
  </cols>
  <sheetData>
    <row r="1" spans="1:10">
      <c r="A1" s="9" t="s">
        <v>213</v>
      </c>
    </row>
    <row r="2" spans="1:10">
      <c r="A2" s="9"/>
    </row>
    <row r="3" spans="1:10">
      <c r="A3" s="9"/>
    </row>
    <row r="4" spans="1:10">
      <c r="A4" s="9"/>
    </row>
    <row r="5" spans="1:10">
      <c r="A5" s="9"/>
    </row>
    <row r="6" spans="1:10">
      <c r="A6" s="9"/>
    </row>
    <row r="7" spans="1:10">
      <c r="A7" s="9"/>
    </row>
    <row r="8" spans="1:10">
      <c r="A8" s="9"/>
    </row>
    <row r="9" spans="1:10">
      <c r="A9" s="9"/>
    </row>
    <row r="10" spans="1:10" ht="18" customHeight="1">
      <c r="A10" s="23"/>
      <c r="B10" s="24"/>
      <c r="C10" s="24"/>
      <c r="D10" s="24"/>
      <c r="E10" s="21"/>
      <c r="F10" s="1599" t="s">
        <v>72</v>
      </c>
      <c r="G10" s="1635"/>
      <c r="H10" s="1635"/>
      <c r="I10" s="1635"/>
      <c r="J10" s="1600"/>
    </row>
    <row r="11" spans="1:10" ht="18">
      <c r="A11" s="25" t="s">
        <v>73</v>
      </c>
      <c r="B11" s="26" t="s">
        <v>74</v>
      </c>
      <c r="C11" s="26"/>
      <c r="D11" s="26"/>
      <c r="E11" s="27"/>
      <c r="F11" s="465" t="s">
        <v>23</v>
      </c>
      <c r="G11" s="465" t="s">
        <v>201</v>
      </c>
      <c r="H11" s="465" t="s">
        <v>202</v>
      </c>
      <c r="I11" s="465" t="s">
        <v>199</v>
      </c>
      <c r="J11" s="465" t="s">
        <v>198</v>
      </c>
    </row>
    <row r="12" spans="1:10">
      <c r="A12" s="28"/>
      <c r="B12" s="15"/>
      <c r="C12" s="15"/>
      <c r="D12" s="15"/>
      <c r="E12" s="22"/>
      <c r="F12" s="33" t="s">
        <v>34</v>
      </c>
      <c r="G12" s="33" t="s">
        <v>34</v>
      </c>
      <c r="H12" s="33" t="s">
        <v>34</v>
      </c>
      <c r="I12" s="33" t="s">
        <v>77</v>
      </c>
      <c r="J12" s="33" t="s">
        <v>77</v>
      </c>
    </row>
    <row r="13" spans="1:10">
      <c r="A13" s="23"/>
      <c r="B13" s="24"/>
      <c r="C13" s="24"/>
      <c r="D13" s="24"/>
      <c r="E13" s="21"/>
      <c r="F13" s="36"/>
      <c r="G13" s="21"/>
      <c r="H13" s="36"/>
      <c r="I13" s="36"/>
      <c r="J13" s="36"/>
    </row>
    <row r="14" spans="1:10">
      <c r="A14" s="25" t="s">
        <v>88</v>
      </c>
      <c r="B14" s="26" t="s">
        <v>75</v>
      </c>
      <c r="C14" s="26"/>
      <c r="D14" s="26"/>
      <c r="E14" s="27"/>
      <c r="F14" s="195">
        <f>GEN!H242</f>
        <v>365.08803866482532</v>
      </c>
      <c r="G14" s="210"/>
      <c r="H14" s="34"/>
      <c r="I14" s="195">
        <f>GEN!H244</f>
        <v>0</v>
      </c>
      <c r="J14" s="195">
        <f>GEN!H247</f>
        <v>0</v>
      </c>
    </row>
    <row r="15" spans="1:10">
      <c r="A15" s="25"/>
      <c r="B15" s="26"/>
      <c r="C15" s="26"/>
      <c r="D15" s="26"/>
      <c r="E15" s="27"/>
      <c r="F15" s="196"/>
      <c r="G15" s="210"/>
      <c r="H15" s="34"/>
      <c r="I15" s="196"/>
      <c r="J15" s="34"/>
    </row>
    <row r="16" spans="1:10">
      <c r="A16" s="25" t="s">
        <v>90</v>
      </c>
      <c r="B16" s="26" t="s">
        <v>249</v>
      </c>
      <c r="C16" s="26"/>
      <c r="D16" s="26"/>
      <c r="E16" s="27"/>
      <c r="F16" s="195">
        <f>GEN!H261</f>
        <v>36.639026644707663</v>
      </c>
      <c r="G16" s="210"/>
      <c r="H16" s="34"/>
      <c r="I16" s="195">
        <f>GEN!H263</f>
        <v>0</v>
      </c>
      <c r="J16" s="195">
        <f>GEN!H266</f>
        <v>0</v>
      </c>
    </row>
    <row r="17" spans="1:10">
      <c r="A17" s="25"/>
      <c r="B17" s="26"/>
      <c r="C17" s="26"/>
      <c r="D17" s="26"/>
      <c r="E17" s="27"/>
      <c r="F17" s="34"/>
      <c r="G17" s="27"/>
      <c r="H17" s="34"/>
      <c r="I17" s="34"/>
      <c r="J17" s="34"/>
    </row>
    <row r="18" spans="1:10">
      <c r="A18" s="25" t="s">
        <v>966</v>
      </c>
      <c r="B18" s="26"/>
      <c r="C18" s="26"/>
      <c r="D18" s="26"/>
      <c r="E18" s="27"/>
      <c r="F18" s="34"/>
      <c r="G18" s="27"/>
      <c r="H18" s="34"/>
      <c r="I18" s="34"/>
      <c r="J18" s="34"/>
    </row>
    <row r="19" spans="1:10">
      <c r="A19" s="25" t="s">
        <v>250</v>
      </c>
      <c r="B19" s="26" t="s">
        <v>967</v>
      </c>
      <c r="C19" s="26"/>
      <c r="D19" s="26"/>
      <c r="E19" s="27"/>
      <c r="F19" s="195">
        <f>SUP!H19</f>
        <v>230</v>
      </c>
      <c r="G19" s="27"/>
      <c r="H19" s="34"/>
      <c r="I19" s="195">
        <f>SUP!H20</f>
        <v>-115</v>
      </c>
      <c r="J19" s="195">
        <f>SUP!H21</f>
        <v>0</v>
      </c>
    </row>
    <row r="20" spans="1:10">
      <c r="A20" s="25" t="s">
        <v>251</v>
      </c>
      <c r="B20" s="26" t="s">
        <v>968</v>
      </c>
      <c r="C20" s="26"/>
      <c r="D20" s="26"/>
      <c r="E20" s="27"/>
      <c r="F20" s="195">
        <f>SI!H28</f>
        <v>20.660000000000004</v>
      </c>
      <c r="G20" s="27"/>
      <c r="H20" s="34"/>
      <c r="I20" s="195">
        <f>SI!H29</f>
        <v>-10.330000000000002</v>
      </c>
      <c r="J20" s="195">
        <f>SI!H30</f>
        <v>0</v>
      </c>
    </row>
    <row r="21" spans="1:10">
      <c r="A21" s="25" t="s">
        <v>97</v>
      </c>
      <c r="B21" s="26" t="s">
        <v>969</v>
      </c>
      <c r="C21" s="26"/>
      <c r="D21" s="26"/>
      <c r="E21" s="27"/>
      <c r="F21" s="195">
        <f>SI!H50</f>
        <v>42</v>
      </c>
      <c r="G21" s="27"/>
      <c r="H21" s="34"/>
      <c r="I21" s="195">
        <f>SI!H51</f>
        <v>-14.858499999999999</v>
      </c>
      <c r="J21" s="195">
        <f>SI!H52</f>
        <v>0</v>
      </c>
    </row>
    <row r="22" spans="1:10">
      <c r="A22" s="25" t="s">
        <v>973</v>
      </c>
      <c r="B22" s="26"/>
      <c r="C22" s="26"/>
      <c r="D22" s="26"/>
      <c r="E22" s="27"/>
      <c r="F22" s="34"/>
      <c r="G22" s="27"/>
      <c r="H22" s="34"/>
      <c r="I22" s="34"/>
      <c r="J22" s="34"/>
    </row>
    <row r="23" spans="1:10">
      <c r="A23" s="25" t="s">
        <v>250</v>
      </c>
      <c r="B23" s="26" t="s">
        <v>970</v>
      </c>
      <c r="C23" s="26"/>
      <c r="D23" s="26"/>
      <c r="E23" s="27"/>
      <c r="F23" s="196">
        <f>SUP!J19</f>
        <v>230</v>
      </c>
      <c r="G23" s="27"/>
      <c r="H23" s="34"/>
      <c r="I23" s="196">
        <f>SUP!J20</f>
        <v>115</v>
      </c>
      <c r="J23" s="196">
        <f>SUP!J21</f>
        <v>0</v>
      </c>
    </row>
    <row r="24" spans="1:10">
      <c r="A24" s="25" t="s">
        <v>251</v>
      </c>
      <c r="B24" s="26" t="s">
        <v>971</v>
      </c>
      <c r="C24" s="26"/>
      <c r="D24" s="26"/>
      <c r="E24" s="27"/>
      <c r="F24" s="196">
        <f>SI!J28</f>
        <v>20.660000000000004</v>
      </c>
      <c r="G24" s="27"/>
      <c r="H24" s="34"/>
      <c r="I24" s="196">
        <f>SI!J29</f>
        <v>10.330000000000002</v>
      </c>
      <c r="J24" s="196">
        <f>SI!J30</f>
        <v>0</v>
      </c>
    </row>
    <row r="25" spans="1:10">
      <c r="A25" s="25" t="s">
        <v>97</v>
      </c>
      <c r="B25" s="26" t="s">
        <v>972</v>
      </c>
      <c r="C25" s="26"/>
      <c r="D25" s="26"/>
      <c r="E25" s="27"/>
      <c r="F25" s="196">
        <f>SI!J50</f>
        <v>42</v>
      </c>
      <c r="G25" s="27"/>
      <c r="H25" s="34"/>
      <c r="I25" s="196">
        <f>SI!J51</f>
        <v>14.858499999999999</v>
      </c>
      <c r="J25" s="196">
        <f>SI!J52</f>
        <v>0</v>
      </c>
    </row>
    <row r="26" spans="1:10">
      <c r="A26" s="25"/>
      <c r="B26" s="26"/>
      <c r="C26" s="26"/>
      <c r="D26" s="26"/>
      <c r="E26" s="27"/>
      <c r="F26" s="34"/>
      <c r="G26" s="27"/>
      <c r="H26" s="34"/>
      <c r="I26" s="34"/>
      <c r="J26" s="34"/>
    </row>
    <row r="27" spans="1:10">
      <c r="A27" s="25" t="s">
        <v>974</v>
      </c>
      <c r="B27" s="26"/>
      <c r="C27" s="26"/>
      <c r="D27" s="26"/>
      <c r="E27" s="27"/>
      <c r="F27" s="34"/>
      <c r="G27" s="27"/>
      <c r="H27" s="34"/>
      <c r="I27" s="34"/>
      <c r="J27" s="34"/>
    </row>
    <row r="28" spans="1:10">
      <c r="A28" s="25" t="s">
        <v>975</v>
      </c>
      <c r="B28" s="26"/>
      <c r="C28" s="26"/>
      <c r="D28" s="26"/>
      <c r="E28" s="27"/>
      <c r="F28" s="34"/>
      <c r="G28" s="27"/>
      <c r="H28" s="34"/>
      <c r="I28" s="34"/>
      <c r="J28" s="34"/>
    </row>
    <row r="29" spans="1:10">
      <c r="A29" s="25" t="s">
        <v>976</v>
      </c>
      <c r="B29" s="26" t="s">
        <v>978</v>
      </c>
      <c r="C29" s="26"/>
      <c r="D29" s="26"/>
      <c r="E29" s="27"/>
      <c r="F29" s="196">
        <f>LL!H60</f>
        <v>65.160399999999996</v>
      </c>
      <c r="G29" s="27"/>
      <c r="H29" s="34"/>
      <c r="I29" s="196">
        <f>LL!H62</f>
        <v>-32.580199999999998</v>
      </c>
      <c r="J29" s="196">
        <f>LL!H64</f>
        <v>-10.105732306306301</v>
      </c>
    </row>
    <row r="30" spans="1:10">
      <c r="A30" s="25" t="s">
        <v>977</v>
      </c>
      <c r="B30" s="26" t="s">
        <v>979</v>
      </c>
      <c r="C30" s="26"/>
      <c r="D30" s="26"/>
      <c r="E30" s="27"/>
      <c r="F30" s="196">
        <f>LL!J60</f>
        <v>75.185314285714313</v>
      </c>
      <c r="G30" s="27"/>
      <c r="H30" s="34"/>
      <c r="I30" s="196">
        <f>LL!J62</f>
        <v>37.592657142857156</v>
      </c>
      <c r="J30" s="196">
        <f>LL!J64</f>
        <v>-11.660497166023164</v>
      </c>
    </row>
    <row r="31" spans="1:10">
      <c r="A31" s="25"/>
      <c r="B31" s="26"/>
      <c r="C31" s="26"/>
      <c r="D31" s="26"/>
      <c r="E31" s="27"/>
      <c r="F31" s="34"/>
      <c r="G31" s="27"/>
      <c r="H31" s="34"/>
      <c r="I31" s="34"/>
      <c r="J31" s="34"/>
    </row>
    <row r="32" spans="1:10">
      <c r="A32" s="25" t="s">
        <v>980</v>
      </c>
      <c r="B32" s="26"/>
      <c r="C32" s="26"/>
      <c r="D32" s="26"/>
      <c r="E32" s="27"/>
      <c r="F32" s="34"/>
      <c r="G32" s="27"/>
      <c r="H32" s="34"/>
      <c r="I32" s="34"/>
      <c r="J32" s="34"/>
    </row>
    <row r="33" spans="1:18">
      <c r="A33" s="25" t="s">
        <v>976</v>
      </c>
      <c r="B33" s="26" t="s">
        <v>981</v>
      </c>
      <c r="C33" s="26"/>
      <c r="D33" s="26"/>
      <c r="E33" s="27"/>
      <c r="F33" s="196">
        <f>LL!H70</f>
        <v>0</v>
      </c>
      <c r="G33" s="27"/>
      <c r="H33" s="34"/>
      <c r="I33" s="196">
        <f>LL!H72</f>
        <v>0</v>
      </c>
      <c r="J33" s="196">
        <f>LL!H74</f>
        <v>0</v>
      </c>
      <c r="M33" s="254"/>
      <c r="N33" s="254"/>
      <c r="O33" s="254"/>
    </row>
    <row r="34" spans="1:18">
      <c r="A34" s="25" t="s">
        <v>977</v>
      </c>
      <c r="B34" s="26" t="s">
        <v>982</v>
      </c>
      <c r="C34" s="26"/>
      <c r="D34" s="26"/>
      <c r="E34" s="27"/>
      <c r="F34" s="196">
        <f>LL!J70</f>
        <v>127.89948571428575</v>
      </c>
      <c r="G34" s="27"/>
      <c r="H34" s="34"/>
      <c r="I34" s="196">
        <f>LL!J72</f>
        <v>63.949742857142873</v>
      </c>
      <c r="J34" s="196">
        <f>LL!J74</f>
        <v>-19.835942761904757</v>
      </c>
      <c r="M34" s="254"/>
      <c r="N34" s="254"/>
      <c r="O34" s="254"/>
    </row>
    <row r="35" spans="1:18">
      <c r="A35" s="25"/>
      <c r="B35" s="26"/>
      <c r="C35" s="26"/>
      <c r="D35" s="26"/>
      <c r="E35" s="27"/>
      <c r="F35" s="34"/>
      <c r="G35" s="27"/>
      <c r="H35" s="34"/>
      <c r="I35" s="34"/>
      <c r="J35" s="34"/>
      <c r="M35" s="254"/>
      <c r="N35" s="254"/>
      <c r="O35" s="254"/>
    </row>
    <row r="36" spans="1:18">
      <c r="A36" s="25"/>
      <c r="B36" s="26"/>
      <c r="C36" s="26"/>
      <c r="D36" s="26"/>
      <c r="E36" s="27"/>
      <c r="F36" s="34"/>
      <c r="G36" s="27"/>
      <c r="H36" s="34"/>
      <c r="I36" s="34"/>
      <c r="J36" s="34"/>
      <c r="M36" s="254"/>
      <c r="N36" s="254"/>
      <c r="O36" s="254"/>
    </row>
    <row r="37" spans="1:18">
      <c r="A37" s="25" t="s">
        <v>983</v>
      </c>
      <c r="B37" s="26"/>
      <c r="C37" s="26"/>
      <c r="D37" s="26"/>
      <c r="E37" s="27"/>
      <c r="F37" s="34"/>
      <c r="G37" s="27"/>
      <c r="H37" s="34"/>
      <c r="I37" s="34"/>
      <c r="J37" s="34"/>
    </row>
    <row r="38" spans="1:18">
      <c r="A38" s="25" t="s">
        <v>984</v>
      </c>
      <c r="B38" s="163" t="s">
        <v>1036</v>
      </c>
      <c r="C38" s="26"/>
      <c r="D38" s="26"/>
      <c r="E38" s="27"/>
      <c r="F38" s="34"/>
      <c r="G38" s="150">
        <f>LLH!F71</f>
        <v>32.051277714285717</v>
      </c>
      <c r="H38" s="34"/>
      <c r="I38" s="150">
        <f>LLH!J71</f>
        <v>265.38457947428577</v>
      </c>
      <c r="J38" s="34"/>
      <c r="M38" s="163"/>
    </row>
    <row r="39" spans="1:18">
      <c r="A39" s="25" t="s">
        <v>985</v>
      </c>
      <c r="B39" s="163" t="s">
        <v>1037</v>
      </c>
      <c r="C39" s="26"/>
      <c r="D39" s="26"/>
      <c r="E39" s="27"/>
      <c r="F39" s="34"/>
      <c r="G39" s="150">
        <f>LLH!F73</f>
        <v>29.998225714285713</v>
      </c>
      <c r="H39" s="34"/>
      <c r="I39" s="150">
        <f>LLH!J73</f>
        <v>248.38530891428573</v>
      </c>
      <c r="J39" s="34"/>
      <c r="M39" s="163"/>
    </row>
    <row r="40" spans="1:18">
      <c r="A40" s="25" t="s">
        <v>986</v>
      </c>
      <c r="B40" s="163" t="s">
        <v>1038</v>
      </c>
      <c r="C40" s="26"/>
      <c r="D40" s="26"/>
      <c r="E40" s="27"/>
      <c r="F40" s="34"/>
      <c r="G40" s="150">
        <f>LLH!F75</f>
        <v>5.8532000000000011</v>
      </c>
      <c r="H40" s="34"/>
      <c r="I40" s="150">
        <f>LLH!J75</f>
        <v>48.464496000000018</v>
      </c>
      <c r="J40" s="34"/>
      <c r="M40" s="163"/>
    </row>
    <row r="41" spans="1:18">
      <c r="A41" s="25" t="s">
        <v>987</v>
      </c>
      <c r="B41" s="163" t="s">
        <v>1039</v>
      </c>
      <c r="C41" s="26"/>
      <c r="D41" s="26"/>
      <c r="E41" s="27"/>
      <c r="F41" s="34"/>
      <c r="G41" s="150">
        <f>LLH!F77</f>
        <v>14.632999999999999</v>
      </c>
      <c r="H41" s="34"/>
      <c r="I41" s="150">
        <f>LLH!J77</f>
        <v>121.16124000000001</v>
      </c>
      <c r="J41" s="34"/>
      <c r="M41" s="163"/>
    </row>
    <row r="42" spans="1:18">
      <c r="A42" s="25"/>
      <c r="B42" s="163"/>
      <c r="C42" s="26"/>
      <c r="D42" s="26"/>
      <c r="E42" s="27"/>
      <c r="F42" s="34"/>
      <c r="G42" s="27"/>
      <c r="H42" s="34"/>
      <c r="I42" s="34"/>
      <c r="J42" s="34"/>
      <c r="M42" s="163"/>
      <c r="Q42" s="150"/>
      <c r="R42" s="150"/>
    </row>
    <row r="43" spans="1:18">
      <c r="A43" s="686" t="s">
        <v>1128</v>
      </c>
      <c r="B43" s="687"/>
      <c r="C43" s="688"/>
      <c r="D43" s="688"/>
      <c r="E43" s="689"/>
      <c r="F43" s="690">
        <f>GEN!H275</f>
        <v>-103.56143333397094</v>
      </c>
      <c r="G43" s="689"/>
      <c r="H43" s="690"/>
      <c r="I43" s="690"/>
      <c r="J43" s="690"/>
      <c r="M43" s="163"/>
      <c r="Q43" s="150"/>
      <c r="R43" s="150"/>
    </row>
    <row r="44" spans="1:18">
      <c r="A44" s="686"/>
      <c r="B44" s="687"/>
      <c r="C44" s="688"/>
      <c r="D44" s="688"/>
      <c r="E44" s="689"/>
      <c r="F44" s="690"/>
      <c r="G44" s="689"/>
      <c r="H44" s="690"/>
      <c r="I44" s="690"/>
      <c r="J44" s="690"/>
      <c r="M44" s="163"/>
      <c r="Q44" s="150"/>
      <c r="R44" s="150"/>
    </row>
    <row r="45" spans="1:18">
      <c r="A45" s="686" t="s">
        <v>1129</v>
      </c>
      <c r="B45" s="687"/>
      <c r="C45" s="688"/>
      <c r="D45" s="688"/>
      <c r="E45" s="689"/>
      <c r="F45" s="690"/>
      <c r="G45" s="689"/>
      <c r="H45" s="690"/>
      <c r="I45" s="690"/>
      <c r="J45" s="690"/>
      <c r="M45" s="163"/>
      <c r="Q45" s="150"/>
      <c r="R45" s="150"/>
    </row>
    <row r="46" spans="1:18">
      <c r="A46" s="686" t="s">
        <v>1130</v>
      </c>
      <c r="B46" s="687"/>
      <c r="C46" s="688"/>
      <c r="D46" s="688"/>
      <c r="E46" s="689"/>
      <c r="F46" s="690"/>
      <c r="G46" s="691"/>
      <c r="H46" s="692">
        <f>Hydro!F57</f>
        <v>3.7668894816411469</v>
      </c>
      <c r="I46" s="692"/>
      <c r="J46" s="692">
        <f>Hydro!F58</f>
        <v>5.6718136929156024</v>
      </c>
      <c r="M46" s="163"/>
      <c r="Q46" s="150"/>
      <c r="R46" s="150"/>
    </row>
    <row r="47" spans="1:18">
      <c r="A47" s="686" t="s">
        <v>1131</v>
      </c>
      <c r="B47" s="687"/>
      <c r="C47" s="688"/>
      <c r="D47" s="688"/>
      <c r="E47" s="689"/>
      <c r="F47" s="690"/>
      <c r="G47" s="691">
        <f>Hydro!H57</f>
        <v>3.2856246869242693</v>
      </c>
      <c r="H47" s="692">
        <f>Hydro!J57</f>
        <v>3.5397182492142409</v>
      </c>
      <c r="I47" s="692">
        <f>Hydro!H58</f>
        <v>7.0628515103002814</v>
      </c>
      <c r="J47" s="692">
        <f>Hydro!J58</f>
        <v>5.3297614737052639</v>
      </c>
      <c r="M47" s="163"/>
      <c r="Q47" s="150"/>
      <c r="R47" s="150"/>
    </row>
    <row r="48" spans="1:18">
      <c r="A48" s="25"/>
      <c r="B48" s="163"/>
      <c r="C48" s="26"/>
      <c r="D48" s="26"/>
      <c r="E48" s="27"/>
      <c r="F48" s="34"/>
      <c r="G48" s="27"/>
      <c r="H48" s="34"/>
      <c r="I48" s="34"/>
      <c r="J48" s="34"/>
      <c r="M48" s="163"/>
      <c r="Q48" s="150"/>
      <c r="R48" s="150"/>
    </row>
    <row r="49" spans="1:10" ht="14.25" customHeight="1">
      <c r="A49" s="69" t="s">
        <v>200</v>
      </c>
      <c r="B49" s="26"/>
      <c r="C49" s="26"/>
      <c r="D49" s="26"/>
      <c r="E49" s="27"/>
      <c r="F49" s="197"/>
      <c r="G49" s="211"/>
      <c r="H49" s="34"/>
      <c r="I49" s="197"/>
      <c r="J49" s="89"/>
    </row>
    <row r="50" spans="1:10" ht="14.25" customHeight="1">
      <c r="A50" s="25" t="s">
        <v>992</v>
      </c>
      <c r="B50" s="26"/>
      <c r="C50" s="26"/>
      <c r="D50" s="26"/>
      <c r="E50" s="27"/>
      <c r="F50" s="197"/>
      <c r="G50" s="211"/>
      <c r="H50" s="34"/>
      <c r="I50" s="211"/>
      <c r="J50" s="89"/>
    </row>
    <row r="51" spans="1:10" ht="14.25" customHeight="1">
      <c r="A51" s="25" t="s">
        <v>990</v>
      </c>
      <c r="B51" s="26" t="s">
        <v>988</v>
      </c>
      <c r="C51" s="26"/>
      <c r="D51" s="26"/>
      <c r="E51" s="27"/>
      <c r="F51" s="197"/>
      <c r="G51" s="254">
        <f>SUP_SEIS!E61</f>
        <v>0</v>
      </c>
      <c r="H51" s="34"/>
      <c r="I51" s="254">
        <f>SUP_SEIS!H61</f>
        <v>0</v>
      </c>
      <c r="J51" s="89"/>
    </row>
    <row r="52" spans="1:10" ht="14.25" customHeight="1">
      <c r="A52" s="25" t="s">
        <v>991</v>
      </c>
      <c r="B52" s="26" t="s">
        <v>989</v>
      </c>
      <c r="C52" s="26"/>
      <c r="D52" s="26"/>
      <c r="E52" s="27"/>
      <c r="F52" s="197"/>
      <c r="G52" s="254">
        <f>SUP_SEIS!E71</f>
        <v>94.821839999999995</v>
      </c>
      <c r="H52" s="34"/>
      <c r="I52" s="254">
        <f>SUP_SEIS!H71</f>
        <v>785.12483520000001</v>
      </c>
      <c r="J52" s="89"/>
    </row>
    <row r="53" spans="1:10" ht="14.25" customHeight="1">
      <c r="A53" s="25"/>
      <c r="B53" s="26"/>
      <c r="C53" s="26"/>
      <c r="D53" s="26"/>
      <c r="E53" s="27"/>
      <c r="F53" s="197"/>
      <c r="G53" s="211"/>
      <c r="H53" s="34"/>
      <c r="I53" s="211"/>
      <c r="J53" s="89"/>
    </row>
    <row r="54" spans="1:10" ht="14.25" customHeight="1">
      <c r="A54" s="25" t="s">
        <v>1012</v>
      </c>
      <c r="B54" s="26"/>
      <c r="C54" s="26"/>
      <c r="D54" s="26"/>
      <c r="E54" s="27"/>
      <c r="F54" s="197"/>
      <c r="G54" s="211"/>
      <c r="H54" s="34"/>
      <c r="I54" s="211"/>
      <c r="J54" s="89"/>
    </row>
    <row r="55" spans="1:10" ht="14.25" customHeight="1">
      <c r="A55" s="25" t="s">
        <v>993</v>
      </c>
      <c r="B55" s="26" t="s">
        <v>995</v>
      </c>
      <c r="C55" s="26"/>
      <c r="D55" s="26"/>
      <c r="E55" s="27"/>
      <c r="F55" s="197"/>
      <c r="G55" s="254">
        <f>LL_SEIS!E66</f>
        <v>0</v>
      </c>
      <c r="H55" s="34"/>
      <c r="I55" s="254">
        <f>LL_SEIS!H66</f>
        <v>0</v>
      </c>
      <c r="J55" s="89"/>
    </row>
    <row r="56" spans="1:10" ht="14.25" customHeight="1">
      <c r="A56" s="25" t="s">
        <v>994</v>
      </c>
      <c r="B56" s="26" t="s">
        <v>996</v>
      </c>
      <c r="C56" s="26"/>
      <c r="D56" s="26"/>
      <c r="E56" s="27"/>
      <c r="F56" s="197"/>
      <c r="G56" s="254">
        <f>LL_SEIS!L66</f>
        <v>4.5540000000000003</v>
      </c>
      <c r="H56" s="34"/>
      <c r="I56" s="254">
        <f>LL_SEIS!O66</f>
        <v>37.70712000000001</v>
      </c>
      <c r="J56" s="89"/>
    </row>
    <row r="57" spans="1:10" ht="14.25" customHeight="1">
      <c r="A57" s="25"/>
      <c r="B57" s="26"/>
      <c r="C57" s="26"/>
      <c r="D57" s="26"/>
      <c r="E57" s="27"/>
      <c r="F57" s="197"/>
      <c r="G57" s="211"/>
      <c r="H57" s="34"/>
      <c r="I57" s="211"/>
      <c r="J57" s="89"/>
    </row>
    <row r="58" spans="1:10">
      <c r="A58" s="25" t="s">
        <v>217</v>
      </c>
      <c r="B58" s="26" t="s">
        <v>211</v>
      </c>
      <c r="C58" s="26"/>
      <c r="D58" s="26"/>
      <c r="E58" s="27"/>
      <c r="F58" s="197"/>
      <c r="G58" s="199">
        <f>SUB_SEIS!E45</f>
        <v>26.798532263701709</v>
      </c>
      <c r="H58" s="199"/>
      <c r="I58" s="195">
        <f>SUB_SEIS!G45</f>
        <v>147.28381289471153</v>
      </c>
      <c r="J58" s="195"/>
    </row>
    <row r="59" spans="1:10">
      <c r="A59" s="69"/>
      <c r="B59" s="26"/>
      <c r="C59" s="26"/>
      <c r="D59" s="26"/>
      <c r="E59" s="27"/>
      <c r="F59" s="197"/>
      <c r="G59" s="211"/>
      <c r="H59" s="34"/>
      <c r="I59" s="197"/>
      <c r="J59" s="89"/>
    </row>
    <row r="60" spans="1:10">
      <c r="A60" s="693" t="s">
        <v>1133</v>
      </c>
      <c r="B60" s="688"/>
      <c r="C60" s="688"/>
      <c r="D60" s="688"/>
      <c r="E60" s="689"/>
      <c r="F60" s="620"/>
      <c r="G60" s="621"/>
      <c r="H60" s="690"/>
      <c r="I60" s="620"/>
      <c r="J60" s="269"/>
    </row>
    <row r="61" spans="1:10">
      <c r="A61" s="686" t="s">
        <v>1472</v>
      </c>
      <c r="B61" s="688" t="s">
        <v>1045</v>
      </c>
      <c r="C61" s="688"/>
      <c r="D61" s="688"/>
      <c r="E61" s="689"/>
      <c r="F61" s="620"/>
      <c r="G61" s="621">
        <f>SUB_SEIS!E55</f>
        <v>32.345729999999996</v>
      </c>
      <c r="H61" s="690"/>
      <c r="I61" s="620">
        <f>SUB_SEIS!G55</f>
        <v>29.111156999999999</v>
      </c>
      <c r="J61" s="269"/>
    </row>
    <row r="62" spans="1:10">
      <c r="A62" s="69"/>
      <c r="B62" s="26"/>
      <c r="C62" s="26"/>
      <c r="D62" s="26"/>
      <c r="E62" s="27"/>
      <c r="F62" s="197"/>
      <c r="G62" s="211"/>
      <c r="H62" s="34"/>
      <c r="I62" s="197"/>
      <c r="J62" s="89"/>
    </row>
    <row r="63" spans="1:10">
      <c r="A63" s="686" t="s">
        <v>1139</v>
      </c>
      <c r="B63" s="688" t="s">
        <v>1140</v>
      </c>
      <c r="C63" s="688"/>
      <c r="D63" s="688"/>
      <c r="E63" s="689"/>
      <c r="F63" s="620"/>
      <c r="G63" s="621">
        <f>'Hydro dynamic'!F41</f>
        <v>19.373390077688924</v>
      </c>
      <c r="H63" s="690"/>
      <c r="I63" s="620">
        <f>'Hydro dynamic'!F46</f>
        <v>37.512792074379419</v>
      </c>
      <c r="J63" s="269"/>
    </row>
    <row r="64" spans="1:10">
      <c r="A64" s="69"/>
      <c r="B64" s="26"/>
      <c r="C64" s="26"/>
      <c r="D64" s="26"/>
      <c r="E64" s="27"/>
      <c r="F64" s="197"/>
      <c r="G64" s="211"/>
      <c r="H64" s="34"/>
      <c r="I64" s="197"/>
      <c r="J64" s="89"/>
    </row>
    <row r="65" spans="1:11">
      <c r="A65" s="69" t="s">
        <v>1817</v>
      </c>
      <c r="B65" s="26"/>
      <c r="C65" s="26"/>
      <c r="D65" s="26"/>
      <c r="E65" s="27"/>
      <c r="F65" s="197"/>
      <c r="G65" s="211"/>
      <c r="H65" s="34"/>
      <c r="I65" s="197"/>
      <c r="J65" s="89"/>
    </row>
    <row r="66" spans="1:11">
      <c r="A66" s="25" t="s">
        <v>992</v>
      </c>
      <c r="B66" s="26"/>
      <c r="C66" s="26"/>
      <c r="D66" s="26"/>
      <c r="E66" s="27"/>
      <c r="F66" s="197"/>
      <c r="G66" s="211"/>
      <c r="H66" s="34"/>
      <c r="I66" s="197"/>
      <c r="J66" s="89"/>
    </row>
    <row r="67" spans="1:11">
      <c r="A67" s="25" t="s">
        <v>997</v>
      </c>
      <c r="B67" s="26" t="s">
        <v>988</v>
      </c>
      <c r="C67" s="26"/>
      <c r="D67" s="26"/>
      <c r="E67" s="27"/>
      <c r="F67" s="197"/>
      <c r="G67" s="211"/>
      <c r="H67" s="254">
        <f>SUP_SEIS!F63</f>
        <v>47.410919999999997</v>
      </c>
      <c r="I67" s="197"/>
      <c r="J67" s="197">
        <f>SUP_SEIS!I63</f>
        <v>433.10062959257624</v>
      </c>
    </row>
    <row r="68" spans="1:11">
      <c r="A68" s="25" t="s">
        <v>998</v>
      </c>
      <c r="B68" s="26" t="s">
        <v>989</v>
      </c>
      <c r="C68" s="26"/>
      <c r="D68" s="26"/>
      <c r="E68" s="27"/>
      <c r="F68" s="197"/>
      <c r="G68" s="211"/>
      <c r="H68" s="254">
        <f>SUP_SEIS!F73</f>
        <v>47.410919999999997</v>
      </c>
      <c r="I68" s="197"/>
      <c r="J68" s="197">
        <f>SUP_SEIS!I73</f>
        <v>433.10062959257624</v>
      </c>
    </row>
    <row r="69" spans="1:11">
      <c r="A69" s="69"/>
      <c r="B69" s="26"/>
      <c r="C69" s="26"/>
      <c r="D69" s="26"/>
      <c r="E69" s="27"/>
      <c r="F69" s="197"/>
      <c r="G69" s="211"/>
      <c r="H69" s="34"/>
      <c r="I69" s="197"/>
      <c r="J69" s="89"/>
    </row>
    <row r="70" spans="1:11">
      <c r="A70" s="25" t="s">
        <v>999</v>
      </c>
      <c r="B70" s="26"/>
      <c r="C70" s="26"/>
      <c r="D70" s="26"/>
      <c r="E70" s="27"/>
      <c r="F70" s="197"/>
      <c r="G70" s="211"/>
      <c r="H70" s="34"/>
      <c r="I70" s="197"/>
      <c r="J70" s="89"/>
    </row>
    <row r="71" spans="1:11">
      <c r="A71" s="25" t="s">
        <v>1002</v>
      </c>
      <c r="B71" s="26"/>
      <c r="C71" s="26"/>
      <c r="D71" s="26"/>
      <c r="E71" s="27"/>
      <c r="F71" s="197"/>
      <c r="G71" s="211"/>
      <c r="H71" s="34"/>
      <c r="I71" s="197"/>
      <c r="J71" s="89"/>
    </row>
    <row r="72" spans="1:11">
      <c r="A72" s="25" t="s">
        <v>1004</v>
      </c>
      <c r="B72" s="26" t="s">
        <v>1000</v>
      </c>
      <c r="C72" s="26"/>
      <c r="D72" s="26"/>
      <c r="E72" s="27"/>
      <c r="F72" s="197"/>
      <c r="G72" s="211"/>
      <c r="H72" s="254">
        <f>LL_SEIS!F68</f>
        <v>10.555984799999999</v>
      </c>
      <c r="I72" s="197"/>
      <c r="J72" s="196">
        <f>LL_SEIS!I68</f>
        <v>115.74637333199999</v>
      </c>
    </row>
    <row r="73" spans="1:11">
      <c r="A73" s="25" t="s">
        <v>1005</v>
      </c>
      <c r="B73" s="26" t="s">
        <v>1001</v>
      </c>
      <c r="C73" s="26"/>
      <c r="D73" s="26"/>
      <c r="E73" s="27"/>
      <c r="F73" s="197"/>
      <c r="G73" s="211"/>
      <c r="H73" s="254">
        <f>LL_SEIS!M68</f>
        <v>12.18002091428572</v>
      </c>
      <c r="I73" s="197"/>
      <c r="J73" s="196">
        <f>LL_SEIS!P68</f>
        <v>133.55392932514292</v>
      </c>
    </row>
    <row r="74" spans="1:11">
      <c r="A74" s="25" t="s">
        <v>1003</v>
      </c>
      <c r="B74" s="26"/>
      <c r="C74" s="26"/>
      <c r="D74" s="26"/>
      <c r="E74" s="27"/>
      <c r="F74" s="197"/>
      <c r="G74" s="211"/>
      <c r="H74" s="34"/>
      <c r="I74" s="197"/>
      <c r="J74" s="89"/>
    </row>
    <row r="75" spans="1:11">
      <c r="A75" s="25" t="s">
        <v>1004</v>
      </c>
      <c r="B75" s="26" t="s">
        <v>1000</v>
      </c>
      <c r="C75" s="26"/>
      <c r="D75" s="26"/>
      <c r="E75" s="27"/>
      <c r="F75" s="197"/>
      <c r="G75" s="211"/>
      <c r="H75" s="254">
        <f>LL_SEIS!F80</f>
        <v>0</v>
      </c>
      <c r="I75" s="197"/>
      <c r="J75" s="196">
        <f>LL_SEIS!I80</f>
        <v>0</v>
      </c>
    </row>
    <row r="76" spans="1:11">
      <c r="A76" s="25" t="s">
        <v>1005</v>
      </c>
      <c r="B76" s="26" t="s">
        <v>1001</v>
      </c>
      <c r="C76" s="26"/>
      <c r="D76" s="26"/>
      <c r="E76" s="27"/>
      <c r="F76" s="197"/>
      <c r="G76" s="211"/>
      <c r="H76" s="254">
        <f>LL_SEIS!M80</f>
        <v>20.719716685714292</v>
      </c>
      <c r="I76" s="197"/>
      <c r="J76" s="196">
        <f>LL_SEIS!P80</f>
        <v>227.1916934588572</v>
      </c>
    </row>
    <row r="77" spans="1:11">
      <c r="A77" s="69"/>
      <c r="B77" s="26"/>
      <c r="C77" s="26"/>
      <c r="D77" s="26"/>
      <c r="E77" s="27"/>
      <c r="F77" s="197"/>
      <c r="G77" s="211"/>
      <c r="H77" s="34"/>
      <c r="I77" s="197"/>
      <c r="J77" s="89"/>
    </row>
    <row r="78" spans="1:11">
      <c r="A78" s="25" t="s">
        <v>1006</v>
      </c>
      <c r="B78" s="26" t="s">
        <v>211</v>
      </c>
      <c r="C78" s="26"/>
      <c r="D78" s="26"/>
      <c r="E78" s="27"/>
      <c r="F78" s="197"/>
      <c r="G78" s="195"/>
      <c r="H78" s="195">
        <f>SUB_SEIS!F47</f>
        <v>26.798532263701709</v>
      </c>
      <c r="I78" s="195"/>
      <c r="J78" s="195">
        <f>SUB_SEIS!H47</f>
        <v>147.28381289471153</v>
      </c>
    </row>
    <row r="79" spans="1:11">
      <c r="A79" s="25"/>
      <c r="B79" s="26"/>
      <c r="C79" s="26"/>
      <c r="D79" s="26"/>
      <c r="E79" s="27"/>
      <c r="F79" s="34"/>
      <c r="G79" s="27"/>
      <c r="H79" s="34"/>
      <c r="I79" s="34"/>
      <c r="J79" s="34"/>
    </row>
    <row r="80" spans="1:11">
      <c r="A80" s="693" t="s">
        <v>1134</v>
      </c>
      <c r="B80" s="688"/>
      <c r="C80" s="688"/>
      <c r="D80" s="688"/>
      <c r="E80" s="689"/>
      <c r="F80" s="620"/>
      <c r="G80" s="621"/>
      <c r="H80" s="690"/>
      <c r="I80" s="620"/>
      <c r="J80" s="269"/>
      <c r="K80" s="694"/>
    </row>
    <row r="81" spans="1:11">
      <c r="A81" s="686" t="s">
        <v>1138</v>
      </c>
      <c r="B81" s="688" t="s">
        <v>1045</v>
      </c>
      <c r="C81" s="688"/>
      <c r="D81" s="688"/>
      <c r="E81" s="689"/>
      <c r="F81" s="620"/>
      <c r="G81" s="711"/>
      <c r="H81" s="696">
        <f>SUB_SEIS!F57</f>
        <v>32.345729999999996</v>
      </c>
      <c r="I81" s="696"/>
      <c r="J81" s="696">
        <f>SUB_SEIS!H57</f>
        <v>29.111156999999999</v>
      </c>
      <c r="K81" s="694"/>
    </row>
    <row r="82" spans="1:11">
      <c r="A82" s="25"/>
      <c r="B82" s="26"/>
      <c r="C82" s="26"/>
      <c r="D82" s="26"/>
      <c r="E82" s="27"/>
      <c r="F82" s="34"/>
      <c r="G82" s="27"/>
      <c r="H82" s="34"/>
      <c r="I82" s="34"/>
      <c r="J82" s="34"/>
    </row>
    <row r="83" spans="1:11">
      <c r="A83" s="686" t="s">
        <v>1138</v>
      </c>
      <c r="B83" s="688" t="s">
        <v>1141</v>
      </c>
      <c r="C83" s="26"/>
      <c r="D83" s="26"/>
      <c r="E83" s="27"/>
      <c r="F83" s="34"/>
      <c r="G83" s="27"/>
      <c r="H83" s="690">
        <f>'Hydro dynamic'!F64</f>
        <v>19.373390077688924</v>
      </c>
      <c r="I83" s="690"/>
      <c r="J83" s="690">
        <f>'Hydro dynamic'!F69</f>
        <v>37.512792074379419</v>
      </c>
    </row>
    <row r="84" spans="1:11">
      <c r="A84" s="25"/>
      <c r="B84" s="26"/>
      <c r="C84" s="26"/>
      <c r="D84" s="26"/>
      <c r="E84" s="27"/>
      <c r="F84" s="34"/>
      <c r="G84" s="27"/>
      <c r="H84" s="34"/>
      <c r="I84" s="34"/>
      <c r="J84" s="34"/>
    </row>
    <row r="85" spans="1:11">
      <c r="A85" s="69" t="s">
        <v>204</v>
      </c>
      <c r="B85" s="26"/>
      <c r="C85" s="26"/>
      <c r="D85" s="26"/>
      <c r="E85" s="27"/>
      <c r="F85" s="197"/>
      <c r="G85" s="211"/>
      <c r="H85" s="34"/>
      <c r="I85" s="197"/>
      <c r="J85" s="89"/>
    </row>
    <row r="86" spans="1:11">
      <c r="A86" s="25" t="s">
        <v>992</v>
      </c>
      <c r="B86" s="26"/>
      <c r="C86" s="26"/>
      <c r="D86" s="26"/>
      <c r="E86" s="27"/>
      <c r="F86" s="197"/>
      <c r="G86" s="211"/>
      <c r="H86" s="34"/>
      <c r="I86" s="197"/>
      <c r="J86" s="89"/>
    </row>
    <row r="87" spans="1:11">
      <c r="A87" s="25" t="s">
        <v>1007</v>
      </c>
      <c r="B87" s="26" t="s">
        <v>988</v>
      </c>
      <c r="C87" s="26"/>
      <c r="D87" s="26"/>
      <c r="E87" s="27"/>
      <c r="F87" s="196">
        <f>SUP_SEIS!D65</f>
        <v>31.607279999999999</v>
      </c>
      <c r="G87" s="211"/>
      <c r="H87" s="34"/>
      <c r="I87" s="196">
        <f>SUP_SEIS!H65</f>
        <v>-15.140358000000003</v>
      </c>
      <c r="J87" s="196">
        <f>SUP_SEIS!I65</f>
        <v>0</v>
      </c>
    </row>
    <row r="88" spans="1:11">
      <c r="A88" s="25" t="s">
        <v>1008</v>
      </c>
      <c r="B88" s="26" t="s">
        <v>989</v>
      </c>
      <c r="C88" s="26"/>
      <c r="D88" s="26"/>
      <c r="E88" s="27"/>
      <c r="F88" s="196">
        <f>SUP_SEIS!D75</f>
        <v>31.607279999999999</v>
      </c>
      <c r="G88" s="211"/>
      <c r="H88" s="34"/>
      <c r="I88" s="196">
        <f>SUP_SEIS!H75</f>
        <v>15.140358000000003</v>
      </c>
      <c r="J88" s="196">
        <f>SUP_SEIS!I75</f>
        <v>0</v>
      </c>
    </row>
    <row r="89" spans="1:11">
      <c r="A89" s="69"/>
      <c r="B89" s="26"/>
      <c r="C89" s="26"/>
      <c r="D89" s="26"/>
      <c r="E89" s="27"/>
      <c r="F89" s="197"/>
      <c r="G89" s="211"/>
      <c r="H89" s="34"/>
      <c r="I89" s="197"/>
      <c r="J89" s="89"/>
    </row>
    <row r="90" spans="1:11">
      <c r="A90" s="25" t="s">
        <v>999</v>
      </c>
      <c r="B90" s="26"/>
      <c r="C90" s="26"/>
      <c r="D90" s="26"/>
      <c r="E90" s="27"/>
      <c r="F90" s="197"/>
      <c r="G90" s="211"/>
      <c r="H90" s="34"/>
      <c r="I90" s="197"/>
      <c r="J90" s="89"/>
    </row>
    <row r="91" spans="1:11">
      <c r="A91" s="25" t="s">
        <v>1002</v>
      </c>
      <c r="B91" s="26"/>
      <c r="C91" s="26"/>
      <c r="D91" s="26"/>
      <c r="E91" s="27"/>
      <c r="F91" s="197"/>
      <c r="G91" s="211"/>
      <c r="H91" s="34"/>
      <c r="I91" s="197"/>
      <c r="J91" s="89"/>
    </row>
    <row r="92" spans="1:11">
      <c r="A92" s="25" t="s">
        <v>1009</v>
      </c>
      <c r="B92" s="26" t="s">
        <v>1000</v>
      </c>
      <c r="C92" s="26"/>
      <c r="D92" s="26"/>
      <c r="E92" s="27"/>
      <c r="F92" s="37">
        <f>LL_SEIS!D70</f>
        <v>7.0373232000000003</v>
      </c>
      <c r="G92" s="211"/>
      <c r="H92" s="34"/>
      <c r="I92" s="196">
        <f>LL_SEIS!H70</f>
        <v>-3.5186616000000002</v>
      </c>
      <c r="J92" s="37">
        <f>LL_SEIS!I70</f>
        <v>-1.0914190890810807</v>
      </c>
    </row>
    <row r="93" spans="1:11">
      <c r="A93" s="25" t="s">
        <v>1010</v>
      </c>
      <c r="B93" s="26" t="s">
        <v>1001</v>
      </c>
      <c r="C93" s="26"/>
      <c r="D93" s="26"/>
      <c r="E93" s="27"/>
      <c r="F93" s="37">
        <f>LL_SEIS!K70</f>
        <v>8.1200139428571472</v>
      </c>
      <c r="G93" s="211"/>
      <c r="H93" s="34"/>
      <c r="I93" s="196">
        <f>LL_SEIS!O70</f>
        <v>4.0600069714285736</v>
      </c>
      <c r="J93" s="37">
        <f>LL_SEIS!P70</f>
        <v>-1.259333693930502</v>
      </c>
    </row>
    <row r="94" spans="1:11">
      <c r="A94" s="25" t="s">
        <v>1003</v>
      </c>
      <c r="B94" s="26"/>
      <c r="C94" s="26"/>
      <c r="D94" s="26"/>
      <c r="E94" s="27"/>
      <c r="F94" s="197"/>
      <c r="G94" s="211"/>
      <c r="H94" s="34"/>
      <c r="I94" s="197"/>
      <c r="J94" s="89"/>
    </row>
    <row r="95" spans="1:11">
      <c r="A95" s="25" t="s">
        <v>1009</v>
      </c>
      <c r="B95" s="26" t="s">
        <v>1000</v>
      </c>
      <c r="C95" s="26"/>
      <c r="D95" s="26"/>
      <c r="E95" s="27"/>
      <c r="F95" s="37">
        <f>LL_SEIS!D82</f>
        <v>0</v>
      </c>
      <c r="G95" s="211"/>
      <c r="H95" s="34"/>
      <c r="I95" s="196">
        <f>LL_SEIS!H82</f>
        <v>0</v>
      </c>
      <c r="J95" s="37">
        <f>LL_SEIS!I82</f>
        <v>0</v>
      </c>
    </row>
    <row r="96" spans="1:11">
      <c r="A96" s="25" t="s">
        <v>1010</v>
      </c>
      <c r="B96" s="26" t="s">
        <v>1001</v>
      </c>
      <c r="C96" s="26"/>
      <c r="D96" s="26"/>
      <c r="E96" s="27"/>
      <c r="F96" s="37">
        <f>LL_SEIS!K82</f>
        <v>13.813144457142862</v>
      </c>
      <c r="G96" s="211"/>
      <c r="H96" s="34"/>
      <c r="I96" s="196">
        <f>LL_SEIS!O82</f>
        <v>6.9065722285714308</v>
      </c>
      <c r="J96" s="37">
        <f>LL_SEIS!P82</f>
        <v>-2.142281818285714</v>
      </c>
    </row>
    <row r="97" spans="1:10">
      <c r="A97" s="69"/>
      <c r="B97" s="26"/>
      <c r="C97" s="26"/>
      <c r="D97" s="26"/>
      <c r="E97" s="27"/>
      <c r="F97" s="197"/>
      <c r="G97" s="211"/>
      <c r="H97" s="34"/>
      <c r="I97" s="197"/>
      <c r="J97" s="89"/>
    </row>
    <row r="98" spans="1:10">
      <c r="A98" s="25" t="s">
        <v>1011</v>
      </c>
      <c r="B98" s="26" t="s">
        <v>211</v>
      </c>
      <c r="C98" s="26"/>
      <c r="D98" s="26"/>
      <c r="E98" s="27"/>
      <c r="F98" s="195">
        <f>SUB_SEIS!D49</f>
        <v>17.865688175801139</v>
      </c>
      <c r="G98" s="211"/>
      <c r="H98" s="197"/>
      <c r="I98" s="195">
        <f>SUB_SEIS!G49</f>
        <v>0</v>
      </c>
      <c r="J98" s="195">
        <f>SUB_SEIS!H49</f>
        <v>0</v>
      </c>
    </row>
    <row r="99" spans="1:10">
      <c r="A99" s="25"/>
      <c r="B99" s="26"/>
      <c r="C99" s="26"/>
      <c r="D99" s="26"/>
      <c r="E99" s="27"/>
      <c r="F99" s="195"/>
      <c r="G99" s="211"/>
      <c r="H99" s="197"/>
      <c r="I99" s="195"/>
      <c r="J99" s="195"/>
    </row>
    <row r="100" spans="1:10">
      <c r="A100" s="693" t="s">
        <v>1136</v>
      </c>
      <c r="B100" s="688"/>
      <c r="C100" s="688"/>
      <c r="D100" s="688"/>
      <c r="E100" s="689"/>
      <c r="F100" s="620"/>
      <c r="G100" s="621"/>
      <c r="H100" s="690"/>
      <c r="I100" s="620"/>
      <c r="J100" s="269"/>
    </row>
    <row r="101" spans="1:10">
      <c r="A101" s="686" t="s">
        <v>1473</v>
      </c>
      <c r="B101" s="688" t="s">
        <v>1045</v>
      </c>
      <c r="C101" s="688"/>
      <c r="D101" s="688"/>
      <c r="E101" s="689"/>
      <c r="F101" s="696">
        <f>SUB_SEIS!D59</f>
        <v>21.56382</v>
      </c>
      <c r="G101" s="621"/>
      <c r="H101" s="620"/>
      <c r="I101" s="696">
        <f>SUB_SEIS!G59</f>
        <v>0</v>
      </c>
      <c r="J101" s="696">
        <f>SUB_SEIS!H59</f>
        <v>0</v>
      </c>
    </row>
    <row r="102" spans="1:10">
      <c r="A102" s="112"/>
      <c r="B102" s="11"/>
      <c r="C102" s="11"/>
      <c r="D102" s="11"/>
      <c r="E102" s="191"/>
      <c r="F102" s="197"/>
      <c r="G102" s="211"/>
      <c r="H102" s="34"/>
      <c r="I102" s="197"/>
      <c r="J102" s="89"/>
    </row>
    <row r="103" spans="1:10">
      <c r="A103" s="28"/>
      <c r="B103" s="15"/>
      <c r="C103" s="15"/>
      <c r="D103" s="15"/>
      <c r="E103" s="22"/>
      <c r="F103" s="212"/>
      <c r="G103" s="213"/>
      <c r="H103" s="198"/>
      <c r="I103" s="198"/>
      <c r="J103" s="58"/>
    </row>
    <row r="104" spans="1:10">
      <c r="A104" s="46"/>
      <c r="B104" s="46"/>
      <c r="C104" s="46"/>
      <c r="D104" s="46"/>
      <c r="E104" s="46"/>
      <c r="F104" s="46"/>
      <c r="G104" s="46"/>
      <c r="H104" s="46"/>
      <c r="I104" s="46"/>
      <c r="J104" s="46"/>
    </row>
    <row r="105" spans="1:10">
      <c r="A105" s="46"/>
      <c r="B105" s="46"/>
      <c r="C105" s="46"/>
      <c r="D105" s="46"/>
      <c r="E105" s="46"/>
      <c r="F105" s="46"/>
      <c r="G105" s="46"/>
      <c r="H105" s="46"/>
      <c r="I105" s="46"/>
      <c r="J105" s="46"/>
    </row>
  </sheetData>
  <sheetProtection selectLockedCells="1"/>
  <mergeCells count="1">
    <mergeCell ref="F10:J10"/>
  </mergeCells>
  <pageMargins left="0.70866141732283472" right="0.70866141732283472" top="0.74803149606299213" bottom="0.74803149606299213" header="0.31496062992125984" footer="0.31496062992125984"/>
  <pageSetup paperSize="9" scale="79" orientation="portrait" r:id="rId1"/>
</worksheet>
</file>

<file path=xl/worksheets/sheet17.xml><?xml version="1.0" encoding="utf-8"?>
<worksheet xmlns="http://schemas.openxmlformats.org/spreadsheetml/2006/main" xmlns:r="http://schemas.openxmlformats.org/officeDocument/2006/relationships">
  <sheetPr codeName="Sheet33">
    <tabColor theme="4" tint="0.59999389629810485"/>
  </sheetPr>
  <dimension ref="A1:BO113"/>
  <sheetViews>
    <sheetView view="pageBreakPreview" topLeftCell="A49" zoomScaleSheetLayoutView="100" workbookViewId="0">
      <selection activeCell="M33" sqref="M33"/>
    </sheetView>
  </sheetViews>
  <sheetFormatPr defaultColWidth="7.7109375" defaultRowHeight="15"/>
  <cols>
    <col min="1" max="2" width="7.7109375" style="1"/>
    <col min="3" max="3" width="7.7109375" style="1" customWidth="1"/>
    <col min="4" max="4" width="9.5703125" style="1" bestFit="1" customWidth="1"/>
    <col min="5" max="6" width="7.7109375" style="1"/>
    <col min="7" max="7" width="9.5703125" style="1" bestFit="1" customWidth="1"/>
    <col min="8" max="8" width="7.85546875" style="1" customWidth="1"/>
    <col min="9" max="9" width="7.7109375" style="1" customWidth="1"/>
    <col min="10" max="10" width="9.5703125" style="1" bestFit="1" customWidth="1"/>
    <col min="11" max="11" width="7.7109375" style="116"/>
    <col min="12" max="12" width="7.7109375" style="270"/>
    <col min="13" max="64" width="7.7109375" style="87"/>
    <col min="65" max="16384" width="7.7109375" style="1"/>
  </cols>
  <sheetData>
    <row r="1" spans="1:67">
      <c r="A1" s="9" t="s">
        <v>213</v>
      </c>
    </row>
    <row r="2" spans="1:67">
      <c r="A2" s="9" t="s">
        <v>744</v>
      </c>
      <c r="L2" s="116"/>
      <c r="M2" s="380"/>
      <c r="N2" s="380"/>
      <c r="O2" s="380"/>
      <c r="P2" s="380"/>
      <c r="Q2" s="380"/>
      <c r="R2" s="380"/>
      <c r="S2" s="380"/>
      <c r="T2" s="380"/>
      <c r="U2" s="380"/>
      <c r="V2" s="380"/>
      <c r="W2" s="380"/>
      <c r="X2" s="380"/>
      <c r="Y2" s="380"/>
      <c r="Z2" s="380"/>
      <c r="AA2" s="380"/>
      <c r="AB2" s="380"/>
      <c r="AC2" s="380"/>
      <c r="AD2" s="380"/>
      <c r="AE2" s="380"/>
      <c r="AF2" s="380"/>
      <c r="AG2" s="380"/>
      <c r="AH2" s="380"/>
      <c r="AI2" s="380"/>
      <c r="AJ2" s="380"/>
      <c r="AK2" s="380"/>
      <c r="AL2" s="380"/>
      <c r="AM2" s="380"/>
      <c r="AN2" s="380"/>
      <c r="AO2" s="380"/>
      <c r="AP2" s="380"/>
      <c r="AQ2" s="380"/>
      <c r="AR2" s="380"/>
      <c r="AS2" s="380"/>
      <c r="AT2" s="380"/>
      <c r="AU2" s="380"/>
      <c r="AV2" s="380"/>
      <c r="AW2" s="380"/>
      <c r="AX2" s="380"/>
      <c r="AY2" s="380"/>
      <c r="AZ2" s="380"/>
      <c r="BA2" s="380"/>
      <c r="BB2" s="380"/>
      <c r="BC2" s="380"/>
      <c r="BD2" s="380"/>
      <c r="BE2" s="380"/>
      <c r="BF2" s="380"/>
      <c r="BG2" s="380"/>
      <c r="BH2" s="380"/>
      <c r="BI2" s="380"/>
      <c r="BJ2" s="380"/>
      <c r="BK2" s="380"/>
      <c r="BL2" s="380"/>
      <c r="BM2" s="116"/>
      <c r="BN2" s="116"/>
      <c r="BO2" s="116"/>
    </row>
    <row r="3" spans="1:67">
      <c r="A3" s="9" t="s">
        <v>218</v>
      </c>
      <c r="BK3" s="380"/>
      <c r="BL3" s="380"/>
      <c r="BM3" s="116"/>
      <c r="BN3" s="116"/>
      <c r="BO3" s="116"/>
    </row>
    <row r="4" spans="1:67">
      <c r="A4" s="84"/>
      <c r="C4" s="84"/>
      <c r="E4" s="84"/>
      <c r="G4" s="84"/>
      <c r="I4" s="84"/>
    </row>
    <row r="5" spans="1:67">
      <c r="A5" s="811" t="s">
        <v>232</v>
      </c>
      <c r="B5" s="31"/>
      <c r="C5" s="215">
        <f>ROW(A10)</f>
        <v>10</v>
      </c>
    </row>
    <row r="6" spans="1:67">
      <c r="A6" s="225" t="s">
        <v>231</v>
      </c>
      <c r="B6" s="15"/>
      <c r="C6" s="216">
        <f>ROW(A104)</f>
        <v>104</v>
      </c>
      <c r="K6" s="1"/>
      <c r="L6" s="293"/>
      <c r="M6" s="149"/>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149"/>
      <c r="AZ6" s="149"/>
      <c r="BA6" s="149"/>
      <c r="BB6" s="149"/>
      <c r="BC6" s="149"/>
      <c r="BD6" s="149"/>
      <c r="BE6" s="149"/>
      <c r="BF6" s="149"/>
      <c r="BG6" s="149"/>
      <c r="BH6" s="149"/>
      <c r="BI6" s="149"/>
      <c r="BJ6" s="149"/>
    </row>
    <row r="7" spans="1:67">
      <c r="A7" s="225" t="s">
        <v>220</v>
      </c>
      <c r="B7" s="1020" t="s">
        <v>1</v>
      </c>
      <c r="C7" s="216">
        <f>COUNTA(M10:BI10)+COUNTBLANK(M10:BI10)</f>
        <v>49</v>
      </c>
    </row>
    <row r="8" spans="1:67">
      <c r="A8" s="225" t="s">
        <v>592</v>
      </c>
      <c r="B8" s="1020"/>
      <c r="C8" s="216">
        <f>ROW('3.4_LC_sum'!A45)+1</f>
        <v>46</v>
      </c>
      <c r="M8" s="381"/>
    </row>
    <row r="9" spans="1:67">
      <c r="A9" s="84"/>
      <c r="M9" s="382" t="s">
        <v>252</v>
      </c>
      <c r="N9" s="383"/>
      <c r="O9" s="383"/>
      <c r="P9" s="383"/>
      <c r="Q9" s="383"/>
      <c r="R9" s="383"/>
      <c r="S9" s="383"/>
      <c r="T9" s="383"/>
      <c r="U9" s="383"/>
      <c r="V9" s="383"/>
      <c r="W9" s="383"/>
      <c r="X9" s="383"/>
      <c r="Y9" s="383"/>
      <c r="Z9" s="383"/>
      <c r="AA9" s="383"/>
      <c r="AB9" s="383"/>
      <c r="AC9" s="383"/>
      <c r="AD9" s="383"/>
      <c r="AE9" s="383"/>
      <c r="AF9" s="383"/>
      <c r="AG9" s="383"/>
      <c r="AH9" s="383"/>
      <c r="AI9" s="383"/>
      <c r="AJ9" s="383"/>
      <c r="AK9" s="383"/>
      <c r="AL9" s="383"/>
      <c r="AM9" s="383"/>
      <c r="AN9" s="383"/>
      <c r="AO9" s="383"/>
      <c r="AP9" s="383"/>
      <c r="AQ9" s="383"/>
      <c r="AR9" s="383"/>
      <c r="AS9" s="383"/>
      <c r="AT9" s="383"/>
      <c r="AU9" s="383"/>
      <c r="AV9" s="383"/>
      <c r="AW9" s="383"/>
      <c r="AX9" s="383"/>
      <c r="AY9" s="383"/>
      <c r="AZ9" s="383"/>
      <c r="BA9" s="383"/>
      <c r="BB9" s="383"/>
      <c r="BC9" s="383"/>
      <c r="BD9" s="383"/>
      <c r="BE9" s="383"/>
      <c r="BF9" s="383"/>
      <c r="BG9" s="383"/>
      <c r="BH9" s="383"/>
      <c r="BI9" s="383"/>
    </row>
    <row r="10" spans="1:67">
      <c r="A10" s="1318" t="str">
        <f>M10</f>
        <v>LC-1</v>
      </c>
      <c r="B10" s="24" t="str">
        <f>VLOOKUP(A10,LC_DEF_2!A3:B42,2,FALSE)</f>
        <v>NS LWL Span dislodge case</v>
      </c>
      <c r="C10" s="24"/>
      <c r="D10" s="24"/>
      <c r="E10" s="21"/>
      <c r="F10" s="1635" t="s">
        <v>742</v>
      </c>
      <c r="G10" s="1635"/>
      <c r="H10" s="1635"/>
      <c r="I10" s="1635"/>
      <c r="J10" s="1600"/>
      <c r="K10" s="73"/>
      <c r="L10" s="272"/>
      <c r="M10" s="413" t="s">
        <v>122</v>
      </c>
      <c r="N10" s="413" t="s">
        <v>123</v>
      </c>
      <c r="O10" s="413" t="s">
        <v>126</v>
      </c>
      <c r="P10" s="413" t="s">
        <v>214</v>
      </c>
      <c r="Q10" s="413"/>
      <c r="R10" s="413" t="s">
        <v>215</v>
      </c>
      <c r="S10" s="413" t="s">
        <v>216</v>
      </c>
      <c r="T10" s="413" t="s">
        <v>222</v>
      </c>
      <c r="U10" s="413" t="s">
        <v>223</v>
      </c>
      <c r="V10" s="413"/>
      <c r="W10" s="413" t="s">
        <v>224</v>
      </c>
      <c r="X10" s="413" t="s">
        <v>225</v>
      </c>
      <c r="Y10" s="413" t="s">
        <v>230</v>
      </c>
      <c r="Z10" s="413" t="s">
        <v>238</v>
      </c>
      <c r="AA10" s="413"/>
      <c r="AB10" s="413" t="s">
        <v>239</v>
      </c>
      <c r="AC10" s="413" t="s">
        <v>240</v>
      </c>
      <c r="AD10" s="413" t="s">
        <v>241</v>
      </c>
      <c r="AE10" s="413" t="s">
        <v>242</v>
      </c>
      <c r="AF10" s="413"/>
      <c r="AG10" s="413" t="s">
        <v>243</v>
      </c>
      <c r="AH10" s="413" t="s">
        <v>244</v>
      </c>
      <c r="AI10" s="413" t="s">
        <v>668</v>
      </c>
      <c r="AJ10" s="413" t="s">
        <v>669</v>
      </c>
      <c r="AK10" s="413"/>
      <c r="AL10" s="980" t="s">
        <v>682</v>
      </c>
      <c r="AM10" s="980" t="s">
        <v>683</v>
      </c>
      <c r="AN10" s="980" t="s">
        <v>245</v>
      </c>
      <c r="AO10" s="980" t="s">
        <v>684</v>
      </c>
      <c r="AP10" s="697"/>
      <c r="AQ10" s="980" t="s">
        <v>1162</v>
      </c>
      <c r="AR10" s="697" t="s">
        <v>1163</v>
      </c>
      <c r="AS10" s="697" t="s">
        <v>1164</v>
      </c>
      <c r="AT10" s="697" t="s">
        <v>1165</v>
      </c>
      <c r="AU10" s="697"/>
      <c r="AV10" s="980" t="s">
        <v>1166</v>
      </c>
      <c r="AW10" s="980" t="s">
        <v>1167</v>
      </c>
      <c r="AX10" s="980" t="s">
        <v>1168</v>
      </c>
      <c r="AY10" s="980" t="s">
        <v>1169</v>
      </c>
      <c r="AZ10" s="980"/>
      <c r="BA10" s="980" t="s">
        <v>1170</v>
      </c>
      <c r="BB10" s="980" t="s">
        <v>1171</v>
      </c>
      <c r="BC10" s="980" t="s">
        <v>1172</v>
      </c>
      <c r="BD10" s="980" t="s">
        <v>1173</v>
      </c>
      <c r="BE10" s="697"/>
      <c r="BF10" s="980" t="s">
        <v>1174</v>
      </c>
      <c r="BG10" s="980" t="s">
        <v>1175</v>
      </c>
      <c r="BH10" s="980" t="s">
        <v>1176</v>
      </c>
      <c r="BI10" s="980" t="s">
        <v>1177</v>
      </c>
    </row>
    <row r="11" spans="1:67" ht="18">
      <c r="A11" s="25" t="s">
        <v>73</v>
      </c>
      <c r="B11" s="26" t="s">
        <v>74</v>
      </c>
      <c r="C11" s="26"/>
      <c r="D11" s="26"/>
      <c r="E11" s="27"/>
      <c r="F11" s="32" t="s">
        <v>23</v>
      </c>
      <c r="G11" s="33" t="s">
        <v>87</v>
      </c>
      <c r="H11" s="33" t="s">
        <v>212</v>
      </c>
      <c r="I11" s="33" t="s">
        <v>80</v>
      </c>
      <c r="J11" s="33" t="s">
        <v>81</v>
      </c>
      <c r="K11" s="273"/>
      <c r="L11" s="274"/>
      <c r="M11" s="376"/>
      <c r="N11" s="376"/>
      <c r="O11" s="385"/>
      <c r="P11" s="385"/>
      <c r="Q11" s="385"/>
      <c r="R11" s="385"/>
      <c r="S11" s="385"/>
      <c r="T11" s="385"/>
      <c r="U11" s="385"/>
      <c r="V11" s="385"/>
      <c r="W11" s="385"/>
      <c r="X11" s="385"/>
      <c r="Y11" s="385"/>
      <c r="Z11" s="385"/>
      <c r="AA11" s="385"/>
      <c r="AB11" s="385"/>
      <c r="AC11" s="385"/>
      <c r="AD11" s="385"/>
      <c r="AE11" s="385"/>
      <c r="AF11" s="385"/>
      <c r="AG11" s="385"/>
      <c r="AH11" s="385"/>
      <c r="AI11" s="385"/>
      <c r="AJ11" s="385"/>
      <c r="AK11" s="385"/>
      <c r="AL11" s="376"/>
      <c r="AM11" s="376"/>
      <c r="AN11" s="376"/>
      <c r="AO11" s="376"/>
      <c r="AP11" s="385"/>
      <c r="AQ11" s="700"/>
      <c r="AR11" s="704"/>
      <c r="AS11" s="704"/>
      <c r="AT11" s="704"/>
      <c r="AU11" s="385"/>
      <c r="AV11" s="376"/>
      <c r="AW11" s="376"/>
      <c r="AX11" s="376"/>
      <c r="AY11" s="376"/>
      <c r="AZ11" s="376"/>
      <c r="BA11" s="376"/>
      <c r="BB11" s="376"/>
      <c r="BC11" s="376"/>
      <c r="BD11" s="376"/>
      <c r="BE11" s="385"/>
      <c r="BF11" s="376"/>
      <c r="BG11" s="376"/>
      <c r="BH11" s="376"/>
      <c r="BI11" s="376"/>
    </row>
    <row r="12" spans="1:67">
      <c r="A12" s="28"/>
      <c r="B12" s="15"/>
      <c r="C12" s="15"/>
      <c r="D12" s="15"/>
      <c r="E12" s="22"/>
      <c r="F12" s="21" t="s">
        <v>34</v>
      </c>
      <c r="G12" s="36" t="s">
        <v>34</v>
      </c>
      <c r="H12" s="36" t="s">
        <v>34</v>
      </c>
      <c r="I12" s="36" t="s">
        <v>77</v>
      </c>
      <c r="J12" s="36" t="s">
        <v>77</v>
      </c>
      <c r="K12" s="74"/>
      <c r="L12" s="277"/>
      <c r="M12" s="376"/>
      <c r="N12" s="376"/>
      <c r="O12" s="385"/>
      <c r="P12" s="385"/>
      <c r="Q12" s="385"/>
      <c r="R12" s="385"/>
      <c r="S12" s="385"/>
      <c r="T12" s="385"/>
      <c r="U12" s="385"/>
      <c r="V12" s="385"/>
      <c r="W12" s="385"/>
      <c r="X12" s="385"/>
      <c r="Y12" s="385"/>
      <c r="Z12" s="385"/>
      <c r="AA12" s="385"/>
      <c r="AB12" s="385"/>
      <c r="AC12" s="385"/>
      <c r="AD12" s="385"/>
      <c r="AE12" s="385"/>
      <c r="AF12" s="385"/>
      <c r="AG12" s="385"/>
      <c r="AH12" s="385"/>
      <c r="AI12" s="385"/>
      <c r="AJ12" s="385"/>
      <c r="AK12" s="385"/>
      <c r="AL12" s="376"/>
      <c r="AM12" s="376"/>
      <c r="AN12" s="376"/>
      <c r="AO12" s="376"/>
      <c r="AP12" s="385"/>
      <c r="AQ12" s="700"/>
      <c r="AR12" s="704"/>
      <c r="AS12" s="704"/>
      <c r="AT12" s="704"/>
      <c r="AU12" s="385"/>
      <c r="AV12" s="376"/>
      <c r="AW12" s="376"/>
      <c r="AX12" s="376"/>
      <c r="AY12" s="376"/>
      <c r="AZ12" s="376"/>
      <c r="BA12" s="376"/>
      <c r="BB12" s="376"/>
      <c r="BC12" s="376"/>
      <c r="BD12" s="376"/>
      <c r="BE12" s="385"/>
      <c r="BF12" s="376"/>
      <c r="BG12" s="376"/>
      <c r="BH12" s="376"/>
      <c r="BI12" s="376"/>
    </row>
    <row r="13" spans="1:67">
      <c r="A13" s="265"/>
      <c r="B13" s="266"/>
      <c r="C13" s="266"/>
      <c r="D13" s="266"/>
      <c r="E13" s="1317"/>
      <c r="F13" s="264"/>
      <c r="G13" s="263"/>
      <c r="H13" s="264"/>
      <c r="I13" s="264"/>
      <c r="J13" s="264"/>
      <c r="K13" s="275"/>
      <c r="L13" s="276"/>
      <c r="M13" s="377"/>
      <c r="N13" s="377"/>
      <c r="O13" s="377"/>
      <c r="P13" s="377"/>
      <c r="Q13" s="377"/>
      <c r="R13" s="377"/>
      <c r="S13" s="377"/>
      <c r="T13" s="377"/>
      <c r="U13" s="377"/>
      <c r="V13" s="377"/>
      <c r="W13" s="377"/>
      <c r="X13" s="377"/>
      <c r="Y13" s="377"/>
      <c r="Z13" s="377"/>
      <c r="AA13" s="377"/>
      <c r="AB13" s="377"/>
      <c r="AC13" s="377"/>
      <c r="AD13" s="377"/>
      <c r="AE13" s="377"/>
      <c r="AF13" s="377"/>
      <c r="AG13" s="377"/>
      <c r="AH13" s="377"/>
      <c r="AI13" s="377"/>
      <c r="AJ13" s="377"/>
      <c r="AK13" s="377"/>
      <c r="AL13" s="698"/>
      <c r="AM13" s="698"/>
      <c r="AN13" s="698"/>
      <c r="AO13" s="698"/>
      <c r="AP13" s="377"/>
      <c r="AQ13" s="698"/>
      <c r="AR13" s="698"/>
      <c r="AS13" s="698"/>
      <c r="AT13" s="698"/>
      <c r="AU13" s="377"/>
      <c r="AV13" s="377"/>
      <c r="AW13" s="377"/>
      <c r="AX13" s="377"/>
      <c r="AY13" s="377"/>
      <c r="AZ13" s="377"/>
      <c r="BA13" s="377"/>
      <c r="BB13" s="377"/>
      <c r="BC13" s="377"/>
      <c r="BD13" s="377"/>
      <c r="BE13" s="377"/>
      <c r="BF13" s="377"/>
      <c r="BG13" s="377"/>
      <c r="BH13" s="377"/>
      <c r="BI13" s="377"/>
    </row>
    <row r="14" spans="1:67">
      <c r="A14" s="25" t="s">
        <v>88</v>
      </c>
      <c r="B14" s="26" t="s">
        <v>75</v>
      </c>
      <c r="C14" s="26"/>
      <c r="D14" s="26"/>
      <c r="E14" s="27"/>
      <c r="F14" s="195">
        <f>SF!F14</f>
        <v>365.08803866482532</v>
      </c>
      <c r="G14" s="210"/>
      <c r="H14" s="34"/>
      <c r="I14" s="195">
        <f>SF!I14</f>
        <v>0</v>
      </c>
      <c r="J14" s="195">
        <f>SF!J14</f>
        <v>0</v>
      </c>
      <c r="K14" s="275"/>
      <c r="L14" s="276"/>
      <c r="M14" s="268">
        <v>1</v>
      </c>
      <c r="N14" s="268">
        <v>1</v>
      </c>
      <c r="O14" s="268">
        <v>1</v>
      </c>
      <c r="P14" s="268">
        <v>1</v>
      </c>
      <c r="Q14" s="268"/>
      <c r="R14" s="268">
        <v>1</v>
      </c>
      <c r="S14" s="268">
        <v>1</v>
      </c>
      <c r="T14" s="268">
        <v>1</v>
      </c>
      <c r="U14" s="268">
        <v>1</v>
      </c>
      <c r="V14" s="268"/>
      <c r="W14" s="268">
        <v>1</v>
      </c>
      <c r="X14" s="268">
        <v>1</v>
      </c>
      <c r="Y14" s="268">
        <v>1</v>
      </c>
      <c r="Z14" s="268">
        <v>1</v>
      </c>
      <c r="AA14" s="268"/>
      <c r="AB14" s="268">
        <v>1</v>
      </c>
      <c r="AC14" s="268">
        <v>1</v>
      </c>
      <c r="AD14" s="268">
        <v>1</v>
      </c>
      <c r="AE14" s="268">
        <v>1</v>
      </c>
      <c r="AF14" s="268"/>
      <c r="AG14" s="268">
        <v>1</v>
      </c>
      <c r="AH14" s="268">
        <v>1</v>
      </c>
      <c r="AI14" s="268">
        <v>1</v>
      </c>
      <c r="AJ14" s="268">
        <v>1</v>
      </c>
      <c r="AK14" s="268"/>
      <c r="AL14" s="699">
        <v>1</v>
      </c>
      <c r="AM14" s="699">
        <v>1</v>
      </c>
      <c r="AN14" s="699">
        <v>1</v>
      </c>
      <c r="AO14" s="699">
        <v>1</v>
      </c>
      <c r="AP14" s="268"/>
      <c r="AQ14" s="699">
        <v>1</v>
      </c>
      <c r="AR14" s="699">
        <v>1</v>
      </c>
      <c r="AS14" s="699">
        <v>1</v>
      </c>
      <c r="AT14" s="699">
        <v>1</v>
      </c>
      <c r="AU14" s="268"/>
      <c r="AV14" s="268">
        <v>1</v>
      </c>
      <c r="AW14" s="268">
        <v>1</v>
      </c>
      <c r="AX14" s="268">
        <v>1</v>
      </c>
      <c r="AY14" s="268">
        <v>1</v>
      </c>
      <c r="AZ14" s="268"/>
      <c r="BA14" s="268">
        <v>1</v>
      </c>
      <c r="BB14" s="268">
        <v>1</v>
      </c>
      <c r="BC14" s="268">
        <v>1</v>
      </c>
      <c r="BD14" s="268">
        <v>1</v>
      </c>
      <c r="BE14" s="268"/>
      <c r="BF14" s="268">
        <v>1</v>
      </c>
      <c r="BG14" s="268">
        <v>1</v>
      </c>
      <c r="BH14" s="268">
        <v>1</v>
      </c>
      <c r="BI14" s="268">
        <v>1</v>
      </c>
    </row>
    <row r="15" spans="1:67">
      <c r="A15" s="25"/>
      <c r="B15" s="26"/>
      <c r="C15" s="26"/>
      <c r="D15" s="26"/>
      <c r="E15" s="27"/>
      <c r="F15" s="196"/>
      <c r="G15" s="210"/>
      <c r="H15" s="34"/>
      <c r="I15" s="196"/>
      <c r="J15" s="34"/>
      <c r="K15" s="275"/>
      <c r="L15" s="276"/>
      <c r="M15" s="268"/>
      <c r="N15" s="268"/>
      <c r="O15" s="268"/>
      <c r="P15" s="268"/>
      <c r="Q15" s="268"/>
      <c r="R15" s="268"/>
      <c r="S15" s="268"/>
      <c r="T15" s="268"/>
      <c r="U15" s="268"/>
      <c r="V15" s="268"/>
      <c r="W15" s="268"/>
      <c r="X15" s="268"/>
      <c r="Y15" s="268"/>
      <c r="Z15" s="268"/>
      <c r="AA15" s="268"/>
      <c r="AB15" s="268"/>
      <c r="AC15" s="268"/>
      <c r="AD15" s="268"/>
      <c r="AE15" s="268"/>
      <c r="AF15" s="268"/>
      <c r="AG15" s="268"/>
      <c r="AH15" s="268"/>
      <c r="AI15" s="268"/>
      <c r="AJ15" s="268"/>
      <c r="AK15" s="268"/>
      <c r="AL15" s="699"/>
      <c r="AM15" s="699"/>
      <c r="AN15" s="699"/>
      <c r="AO15" s="699"/>
      <c r="AP15" s="268"/>
      <c r="AQ15" s="699"/>
      <c r="AR15" s="699"/>
      <c r="AS15" s="699"/>
      <c r="AT15" s="699"/>
      <c r="AU15" s="268"/>
      <c r="AV15" s="268"/>
      <c r="AW15" s="268"/>
      <c r="AX15" s="268"/>
      <c r="AY15" s="268"/>
      <c r="AZ15" s="268"/>
      <c r="BA15" s="268"/>
      <c r="BB15" s="268"/>
      <c r="BC15" s="268"/>
      <c r="BD15" s="268"/>
      <c r="BE15" s="268"/>
      <c r="BF15" s="268"/>
      <c r="BG15" s="268"/>
      <c r="BH15" s="268"/>
      <c r="BI15" s="268"/>
    </row>
    <row r="16" spans="1:67">
      <c r="A16" s="25" t="s">
        <v>90</v>
      </c>
      <c r="B16" s="26" t="s">
        <v>249</v>
      </c>
      <c r="C16" s="26"/>
      <c r="D16" s="26"/>
      <c r="E16" s="27"/>
      <c r="F16" s="195">
        <f>SF!F16</f>
        <v>36.639026644707663</v>
      </c>
      <c r="G16" s="210"/>
      <c r="H16" s="34"/>
      <c r="I16" s="195">
        <f>SF!I16</f>
        <v>0</v>
      </c>
      <c r="J16" s="195">
        <f>SF!J16</f>
        <v>0</v>
      </c>
      <c r="K16" s="275"/>
      <c r="L16" s="276"/>
      <c r="M16" s="268">
        <v>1</v>
      </c>
      <c r="N16" s="268">
        <v>1</v>
      </c>
      <c r="O16" s="268">
        <v>1</v>
      </c>
      <c r="P16" s="268">
        <v>1</v>
      </c>
      <c r="Q16" s="268"/>
      <c r="R16" s="268">
        <v>1</v>
      </c>
      <c r="S16" s="268">
        <v>1</v>
      </c>
      <c r="T16" s="268">
        <v>1</v>
      </c>
      <c r="U16" s="268">
        <v>1</v>
      </c>
      <c r="V16" s="268"/>
      <c r="W16" s="268">
        <v>1</v>
      </c>
      <c r="X16" s="268">
        <v>1</v>
      </c>
      <c r="Y16" s="268">
        <v>1</v>
      </c>
      <c r="Z16" s="268">
        <v>1</v>
      </c>
      <c r="AA16" s="268"/>
      <c r="AB16" s="268">
        <v>1</v>
      </c>
      <c r="AC16" s="268">
        <v>1</v>
      </c>
      <c r="AD16" s="268">
        <v>1</v>
      </c>
      <c r="AE16" s="268">
        <v>1</v>
      </c>
      <c r="AF16" s="268"/>
      <c r="AG16" s="268">
        <v>1</v>
      </c>
      <c r="AH16" s="268">
        <v>1</v>
      </c>
      <c r="AI16" s="268">
        <v>1</v>
      </c>
      <c r="AJ16" s="268">
        <v>1</v>
      </c>
      <c r="AK16" s="268"/>
      <c r="AL16" s="699">
        <v>0</v>
      </c>
      <c r="AM16" s="699">
        <v>0</v>
      </c>
      <c r="AN16" s="699">
        <v>0</v>
      </c>
      <c r="AO16" s="699">
        <v>0</v>
      </c>
      <c r="AP16" s="268"/>
      <c r="AQ16" s="699">
        <v>1</v>
      </c>
      <c r="AR16" s="699">
        <v>1</v>
      </c>
      <c r="AS16" s="699">
        <v>1</v>
      </c>
      <c r="AT16" s="699">
        <v>1</v>
      </c>
      <c r="AU16" s="268"/>
      <c r="AV16" s="268">
        <v>1</v>
      </c>
      <c r="AW16" s="268">
        <v>1</v>
      </c>
      <c r="AX16" s="268">
        <v>1</v>
      </c>
      <c r="AY16" s="268">
        <v>1</v>
      </c>
      <c r="AZ16" s="268"/>
      <c r="BA16" s="268">
        <v>1</v>
      </c>
      <c r="BB16" s="268">
        <v>1</v>
      </c>
      <c r="BC16" s="268">
        <v>1</v>
      </c>
      <c r="BD16" s="268">
        <v>1</v>
      </c>
      <c r="BE16" s="268"/>
      <c r="BF16" s="268">
        <v>1</v>
      </c>
      <c r="BG16" s="268">
        <v>1</v>
      </c>
      <c r="BH16" s="268">
        <v>1</v>
      </c>
      <c r="BI16" s="268">
        <v>1</v>
      </c>
    </row>
    <row r="17" spans="1:61">
      <c r="A17" s="25"/>
      <c r="B17" s="26"/>
      <c r="C17" s="26"/>
      <c r="D17" s="26"/>
      <c r="E17" s="27"/>
      <c r="F17" s="34"/>
      <c r="G17" s="27"/>
      <c r="H17" s="34"/>
      <c r="I17" s="34"/>
      <c r="J17" s="34"/>
      <c r="K17" s="275"/>
      <c r="L17" s="276"/>
      <c r="M17" s="268"/>
      <c r="N17" s="268"/>
      <c r="O17" s="268"/>
      <c r="P17" s="268"/>
      <c r="Q17" s="268"/>
      <c r="R17" s="268"/>
      <c r="S17" s="268"/>
      <c r="T17" s="268"/>
      <c r="U17" s="268"/>
      <c r="V17" s="268"/>
      <c r="W17" s="268"/>
      <c r="X17" s="268"/>
      <c r="Y17" s="268"/>
      <c r="Z17" s="268"/>
      <c r="AA17" s="268"/>
      <c r="AB17" s="268"/>
      <c r="AC17" s="268"/>
      <c r="AD17" s="268"/>
      <c r="AE17" s="268"/>
      <c r="AF17" s="268"/>
      <c r="AG17" s="268"/>
      <c r="AH17" s="268"/>
      <c r="AI17" s="268"/>
      <c r="AJ17" s="268"/>
      <c r="AK17" s="268"/>
      <c r="AL17" s="699"/>
      <c r="AM17" s="699"/>
      <c r="AN17" s="699"/>
      <c r="AO17" s="699"/>
      <c r="AP17" s="268"/>
      <c r="AQ17" s="699"/>
      <c r="AR17" s="699"/>
      <c r="AS17" s="699"/>
      <c r="AT17" s="699"/>
      <c r="AU17" s="268"/>
      <c r="AV17" s="268"/>
      <c r="AW17" s="268"/>
      <c r="AX17" s="268"/>
      <c r="AY17" s="268"/>
      <c r="AZ17" s="268"/>
      <c r="BA17" s="268"/>
      <c r="BB17" s="268"/>
      <c r="BC17" s="268"/>
      <c r="BD17" s="268"/>
      <c r="BE17" s="268"/>
      <c r="BF17" s="268"/>
      <c r="BG17" s="268"/>
      <c r="BH17" s="268"/>
      <c r="BI17" s="268"/>
    </row>
    <row r="18" spans="1:61">
      <c r="A18" s="25" t="s">
        <v>966</v>
      </c>
      <c r="B18" s="26"/>
      <c r="C18" s="26"/>
      <c r="D18" s="26"/>
      <c r="E18" s="27"/>
      <c r="F18" s="34"/>
      <c r="G18" s="27"/>
      <c r="H18" s="34"/>
      <c r="I18" s="34"/>
      <c r="J18" s="34"/>
      <c r="K18" s="289"/>
      <c r="L18" s="274"/>
      <c r="M18" s="376"/>
      <c r="N18" s="376"/>
      <c r="O18" s="376"/>
      <c r="P18" s="376"/>
      <c r="Q18" s="376"/>
      <c r="R18" s="376"/>
      <c r="S18" s="376"/>
      <c r="T18" s="376"/>
      <c r="U18" s="376"/>
      <c r="V18" s="376"/>
      <c r="W18" s="376"/>
      <c r="X18" s="376"/>
      <c r="Y18" s="376"/>
      <c r="Z18" s="376"/>
      <c r="AA18" s="376"/>
      <c r="AB18" s="376"/>
      <c r="AC18" s="376"/>
      <c r="AD18" s="376"/>
      <c r="AE18" s="376"/>
      <c r="AF18" s="376"/>
      <c r="AG18" s="376"/>
      <c r="AH18" s="376"/>
      <c r="AI18" s="376"/>
      <c r="AJ18" s="376"/>
      <c r="AK18" s="376"/>
      <c r="AL18" s="700"/>
      <c r="AM18" s="700"/>
      <c r="AN18" s="700"/>
      <c r="AO18" s="700"/>
      <c r="AP18" s="376"/>
      <c r="AQ18" s="700"/>
      <c r="AR18" s="700"/>
      <c r="AS18" s="700"/>
      <c r="AT18" s="700"/>
      <c r="AU18" s="376"/>
      <c r="AV18" s="376"/>
      <c r="AW18" s="376"/>
      <c r="AX18" s="376"/>
      <c r="AY18" s="376"/>
      <c r="AZ18" s="376"/>
      <c r="BA18" s="376"/>
      <c r="BB18" s="376"/>
      <c r="BC18" s="376"/>
      <c r="BD18" s="376"/>
      <c r="BE18" s="376"/>
      <c r="BF18" s="376"/>
      <c r="BG18" s="376"/>
      <c r="BH18" s="376"/>
      <c r="BI18" s="376"/>
    </row>
    <row r="19" spans="1:61">
      <c r="A19" s="25" t="s">
        <v>250</v>
      </c>
      <c r="B19" s="26" t="s">
        <v>967</v>
      </c>
      <c r="C19" s="26"/>
      <c r="D19" s="26"/>
      <c r="E19" s="27"/>
      <c r="F19" s="195">
        <f>SF!F19</f>
        <v>230</v>
      </c>
      <c r="G19" s="27"/>
      <c r="H19" s="34"/>
      <c r="I19" s="195">
        <f>SF!I19</f>
        <v>-115</v>
      </c>
      <c r="J19" s="195">
        <f>SF!J19</f>
        <v>0</v>
      </c>
      <c r="K19" s="289"/>
      <c r="L19" s="274"/>
      <c r="M19" s="376">
        <v>0</v>
      </c>
      <c r="N19" s="376">
        <v>1</v>
      </c>
      <c r="O19" s="376">
        <v>1</v>
      </c>
      <c r="P19" s="376">
        <v>1</v>
      </c>
      <c r="Q19" s="376"/>
      <c r="R19" s="376">
        <v>0</v>
      </c>
      <c r="S19" s="376">
        <v>0</v>
      </c>
      <c r="T19" s="376">
        <v>0</v>
      </c>
      <c r="U19" s="376">
        <v>0</v>
      </c>
      <c r="V19" s="376"/>
      <c r="W19" s="376">
        <v>1</v>
      </c>
      <c r="X19" s="376">
        <v>1</v>
      </c>
      <c r="Y19" s="376">
        <v>1</v>
      </c>
      <c r="Z19" s="376">
        <v>1</v>
      </c>
      <c r="AA19" s="376"/>
      <c r="AB19" s="376">
        <v>1</v>
      </c>
      <c r="AC19" s="376">
        <v>1</v>
      </c>
      <c r="AD19" s="376">
        <v>1</v>
      </c>
      <c r="AE19" s="376">
        <v>1</v>
      </c>
      <c r="AF19" s="376"/>
      <c r="AG19" s="376">
        <v>1</v>
      </c>
      <c r="AH19" s="376">
        <v>1</v>
      </c>
      <c r="AI19" s="376">
        <v>1</v>
      </c>
      <c r="AJ19" s="376">
        <v>1</v>
      </c>
      <c r="AK19" s="376"/>
      <c r="AL19" s="700">
        <v>0</v>
      </c>
      <c r="AM19" s="700">
        <v>1</v>
      </c>
      <c r="AN19" s="700">
        <v>1</v>
      </c>
      <c r="AO19" s="700">
        <v>1</v>
      </c>
      <c r="AP19" s="376"/>
      <c r="AQ19" s="700">
        <v>0</v>
      </c>
      <c r="AR19" s="700">
        <v>0</v>
      </c>
      <c r="AS19" s="700">
        <v>0</v>
      </c>
      <c r="AT19" s="700">
        <v>0</v>
      </c>
      <c r="AU19" s="376"/>
      <c r="AV19" s="376">
        <v>1</v>
      </c>
      <c r="AW19" s="376">
        <v>1</v>
      </c>
      <c r="AX19" s="376">
        <v>1</v>
      </c>
      <c r="AY19" s="376">
        <v>1</v>
      </c>
      <c r="AZ19" s="376"/>
      <c r="BA19" s="376">
        <v>1</v>
      </c>
      <c r="BB19" s="376">
        <v>1</v>
      </c>
      <c r="BC19" s="376">
        <v>1</v>
      </c>
      <c r="BD19" s="376">
        <v>1</v>
      </c>
      <c r="BE19" s="376"/>
      <c r="BF19" s="376">
        <v>1</v>
      </c>
      <c r="BG19" s="376">
        <v>1</v>
      </c>
      <c r="BH19" s="376">
        <v>1</v>
      </c>
      <c r="BI19" s="376">
        <v>1</v>
      </c>
    </row>
    <row r="20" spans="1:61">
      <c r="A20" s="25" t="s">
        <v>251</v>
      </c>
      <c r="B20" s="26" t="s">
        <v>968</v>
      </c>
      <c r="C20" s="26"/>
      <c r="D20" s="26"/>
      <c r="E20" s="27"/>
      <c r="F20" s="195">
        <f>SF!F20</f>
        <v>20.660000000000004</v>
      </c>
      <c r="G20" s="27"/>
      <c r="H20" s="34"/>
      <c r="I20" s="195">
        <f>SF!I20</f>
        <v>-10.330000000000002</v>
      </c>
      <c r="J20" s="195">
        <f>SF!J20</f>
        <v>0</v>
      </c>
      <c r="K20" s="289"/>
      <c r="L20" s="274"/>
      <c r="M20" s="376">
        <v>0</v>
      </c>
      <c r="N20" s="376">
        <v>1</v>
      </c>
      <c r="O20" s="376">
        <v>1</v>
      </c>
      <c r="P20" s="376">
        <v>1</v>
      </c>
      <c r="Q20" s="376"/>
      <c r="R20" s="376">
        <v>0</v>
      </c>
      <c r="S20" s="376">
        <v>0</v>
      </c>
      <c r="T20" s="376">
        <v>0</v>
      </c>
      <c r="U20" s="376">
        <v>0</v>
      </c>
      <c r="V20" s="376"/>
      <c r="W20" s="376">
        <v>1</v>
      </c>
      <c r="X20" s="376">
        <v>1</v>
      </c>
      <c r="Y20" s="376">
        <v>1</v>
      </c>
      <c r="Z20" s="376">
        <v>1</v>
      </c>
      <c r="AA20" s="376"/>
      <c r="AB20" s="376">
        <v>1</v>
      </c>
      <c r="AC20" s="376">
        <v>1</v>
      </c>
      <c r="AD20" s="376">
        <v>1</v>
      </c>
      <c r="AE20" s="376">
        <v>1</v>
      </c>
      <c r="AF20" s="376"/>
      <c r="AG20" s="376">
        <v>1</v>
      </c>
      <c r="AH20" s="376">
        <v>1</v>
      </c>
      <c r="AI20" s="376">
        <v>1</v>
      </c>
      <c r="AJ20" s="376">
        <v>1</v>
      </c>
      <c r="AK20" s="376"/>
      <c r="AL20" s="700">
        <v>0</v>
      </c>
      <c r="AM20" s="700">
        <v>1</v>
      </c>
      <c r="AN20" s="700">
        <v>1</v>
      </c>
      <c r="AO20" s="700">
        <v>1</v>
      </c>
      <c r="AP20" s="376"/>
      <c r="AQ20" s="700">
        <v>0</v>
      </c>
      <c r="AR20" s="700">
        <v>0</v>
      </c>
      <c r="AS20" s="700">
        <v>0</v>
      </c>
      <c r="AT20" s="700">
        <v>0</v>
      </c>
      <c r="AU20" s="376"/>
      <c r="AV20" s="376">
        <v>1</v>
      </c>
      <c r="AW20" s="376">
        <v>1</v>
      </c>
      <c r="AX20" s="376">
        <v>1</v>
      </c>
      <c r="AY20" s="376">
        <v>1</v>
      </c>
      <c r="AZ20" s="376"/>
      <c r="BA20" s="376">
        <v>1</v>
      </c>
      <c r="BB20" s="376">
        <v>1</v>
      </c>
      <c r="BC20" s="376">
        <v>1</v>
      </c>
      <c r="BD20" s="376">
        <v>1</v>
      </c>
      <c r="BE20" s="376"/>
      <c r="BF20" s="376">
        <v>1</v>
      </c>
      <c r="BG20" s="376">
        <v>1</v>
      </c>
      <c r="BH20" s="376">
        <v>1</v>
      </c>
      <c r="BI20" s="376">
        <v>1</v>
      </c>
    </row>
    <row r="21" spans="1:61">
      <c r="A21" s="25" t="s">
        <v>97</v>
      </c>
      <c r="B21" s="26" t="s">
        <v>969</v>
      </c>
      <c r="C21" s="26"/>
      <c r="D21" s="26"/>
      <c r="E21" s="27"/>
      <c r="F21" s="195">
        <f>SF!F21</f>
        <v>42</v>
      </c>
      <c r="G21" s="27"/>
      <c r="H21" s="34"/>
      <c r="I21" s="195">
        <f>SF!I21</f>
        <v>-14.858499999999999</v>
      </c>
      <c r="J21" s="195">
        <f>SF!J21</f>
        <v>0</v>
      </c>
      <c r="K21" s="289"/>
      <c r="L21" s="274"/>
      <c r="M21" s="376">
        <v>0</v>
      </c>
      <c r="N21" s="376">
        <v>1</v>
      </c>
      <c r="O21" s="376">
        <v>1</v>
      </c>
      <c r="P21" s="376">
        <v>1</v>
      </c>
      <c r="Q21" s="376"/>
      <c r="R21" s="376">
        <v>0</v>
      </c>
      <c r="S21" s="376">
        <v>0</v>
      </c>
      <c r="T21" s="376">
        <v>0</v>
      </c>
      <c r="U21" s="376">
        <v>0</v>
      </c>
      <c r="V21" s="376"/>
      <c r="W21" s="376">
        <v>1</v>
      </c>
      <c r="X21" s="376">
        <v>1</v>
      </c>
      <c r="Y21" s="376">
        <v>1</v>
      </c>
      <c r="Z21" s="376">
        <v>1</v>
      </c>
      <c r="AA21" s="376"/>
      <c r="AB21" s="376">
        <v>1</v>
      </c>
      <c r="AC21" s="376">
        <v>1</v>
      </c>
      <c r="AD21" s="376">
        <v>1</v>
      </c>
      <c r="AE21" s="376">
        <v>1</v>
      </c>
      <c r="AF21" s="376"/>
      <c r="AG21" s="376">
        <v>1</v>
      </c>
      <c r="AH21" s="376">
        <v>1</v>
      </c>
      <c r="AI21" s="376">
        <v>1</v>
      </c>
      <c r="AJ21" s="376">
        <v>1</v>
      </c>
      <c r="AK21" s="376"/>
      <c r="AL21" s="700">
        <v>0</v>
      </c>
      <c r="AM21" s="700">
        <v>1</v>
      </c>
      <c r="AN21" s="700">
        <v>1</v>
      </c>
      <c r="AO21" s="700">
        <v>1</v>
      </c>
      <c r="AP21" s="376"/>
      <c r="AQ21" s="700">
        <v>0</v>
      </c>
      <c r="AR21" s="700">
        <v>0</v>
      </c>
      <c r="AS21" s="700">
        <v>0</v>
      </c>
      <c r="AT21" s="700">
        <v>0</v>
      </c>
      <c r="AU21" s="376"/>
      <c r="AV21" s="376">
        <v>1</v>
      </c>
      <c r="AW21" s="376">
        <v>1</v>
      </c>
      <c r="AX21" s="376">
        <v>1</v>
      </c>
      <c r="AY21" s="376">
        <v>1</v>
      </c>
      <c r="AZ21" s="376"/>
      <c r="BA21" s="376">
        <v>1</v>
      </c>
      <c r="BB21" s="376">
        <v>1</v>
      </c>
      <c r="BC21" s="376">
        <v>1</v>
      </c>
      <c r="BD21" s="376">
        <v>1</v>
      </c>
      <c r="BE21" s="376"/>
      <c r="BF21" s="376">
        <v>1</v>
      </c>
      <c r="BG21" s="376">
        <v>1</v>
      </c>
      <c r="BH21" s="376">
        <v>1</v>
      </c>
      <c r="BI21" s="376">
        <v>1</v>
      </c>
    </row>
    <row r="22" spans="1:61">
      <c r="A22" s="25" t="s">
        <v>973</v>
      </c>
      <c r="B22" s="26"/>
      <c r="C22" s="26"/>
      <c r="D22" s="26"/>
      <c r="E22" s="27"/>
      <c r="F22" s="34"/>
      <c r="G22" s="27"/>
      <c r="H22" s="34"/>
      <c r="I22" s="34"/>
      <c r="J22" s="34"/>
      <c r="K22" s="289"/>
      <c r="L22" s="274"/>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376"/>
      <c r="AJ22" s="376"/>
      <c r="AK22" s="376"/>
      <c r="AL22" s="700"/>
      <c r="AM22" s="700"/>
      <c r="AN22" s="700"/>
      <c r="AO22" s="700"/>
      <c r="AP22" s="376"/>
      <c r="AQ22" s="700"/>
      <c r="AR22" s="700"/>
      <c r="AS22" s="700"/>
      <c r="AT22" s="700"/>
      <c r="AU22" s="376"/>
      <c r="AV22" s="376"/>
      <c r="AW22" s="376"/>
      <c r="AX22" s="376"/>
      <c r="AY22" s="376"/>
      <c r="AZ22" s="376"/>
      <c r="BA22" s="376"/>
      <c r="BB22" s="376"/>
      <c r="BC22" s="376"/>
      <c r="BD22" s="376"/>
      <c r="BE22" s="376"/>
      <c r="BF22" s="376"/>
      <c r="BG22" s="376"/>
      <c r="BH22" s="376"/>
      <c r="BI22" s="376"/>
    </row>
    <row r="23" spans="1:61">
      <c r="A23" s="25" t="s">
        <v>250</v>
      </c>
      <c r="B23" s="26" t="s">
        <v>970</v>
      </c>
      <c r="C23" s="26"/>
      <c r="D23" s="26"/>
      <c r="E23" s="27"/>
      <c r="F23" s="195">
        <f>SF!F23</f>
        <v>230</v>
      </c>
      <c r="G23" s="27"/>
      <c r="H23" s="34"/>
      <c r="I23" s="195">
        <f>SF!I23</f>
        <v>115</v>
      </c>
      <c r="J23" s="195">
        <f>SF!J23</f>
        <v>0</v>
      </c>
      <c r="K23" s="289"/>
      <c r="L23" s="274"/>
      <c r="M23" s="376">
        <v>1</v>
      </c>
      <c r="N23" s="376">
        <v>1</v>
      </c>
      <c r="O23" s="376">
        <v>1</v>
      </c>
      <c r="P23" s="376">
        <v>1</v>
      </c>
      <c r="Q23" s="376"/>
      <c r="R23" s="376">
        <v>1</v>
      </c>
      <c r="S23" s="376">
        <v>1</v>
      </c>
      <c r="T23" s="376">
        <v>1</v>
      </c>
      <c r="U23" s="376">
        <v>1</v>
      </c>
      <c r="V23" s="376"/>
      <c r="W23" s="376">
        <v>1</v>
      </c>
      <c r="X23" s="376">
        <v>1</v>
      </c>
      <c r="Y23" s="376">
        <v>1</v>
      </c>
      <c r="Z23" s="376">
        <v>1</v>
      </c>
      <c r="AA23" s="376"/>
      <c r="AB23" s="376">
        <v>1</v>
      </c>
      <c r="AC23" s="376">
        <v>1</v>
      </c>
      <c r="AD23" s="376">
        <v>1</v>
      </c>
      <c r="AE23" s="376">
        <v>1</v>
      </c>
      <c r="AF23" s="376"/>
      <c r="AG23" s="376">
        <v>1</v>
      </c>
      <c r="AH23" s="376">
        <v>1</v>
      </c>
      <c r="AI23" s="376">
        <v>1</v>
      </c>
      <c r="AJ23" s="376">
        <v>1</v>
      </c>
      <c r="AK23" s="376"/>
      <c r="AL23" s="700">
        <v>1</v>
      </c>
      <c r="AM23" s="700">
        <v>1</v>
      </c>
      <c r="AN23" s="700">
        <v>1</v>
      </c>
      <c r="AO23" s="700">
        <v>1</v>
      </c>
      <c r="AP23" s="376"/>
      <c r="AQ23" s="700">
        <v>1</v>
      </c>
      <c r="AR23" s="700">
        <v>1</v>
      </c>
      <c r="AS23" s="700">
        <v>1</v>
      </c>
      <c r="AT23" s="700">
        <v>1</v>
      </c>
      <c r="AU23" s="376"/>
      <c r="AV23" s="376">
        <v>1</v>
      </c>
      <c r="AW23" s="376">
        <v>1</v>
      </c>
      <c r="AX23" s="376">
        <v>1</v>
      </c>
      <c r="AY23" s="376">
        <v>1</v>
      </c>
      <c r="AZ23" s="376"/>
      <c r="BA23" s="376">
        <v>1</v>
      </c>
      <c r="BB23" s="376">
        <v>1</v>
      </c>
      <c r="BC23" s="376">
        <v>1</v>
      </c>
      <c r="BD23" s="376">
        <v>1</v>
      </c>
      <c r="BE23" s="376"/>
      <c r="BF23" s="376">
        <v>1</v>
      </c>
      <c r="BG23" s="376">
        <v>1</v>
      </c>
      <c r="BH23" s="376">
        <v>1</v>
      </c>
      <c r="BI23" s="376">
        <v>1</v>
      </c>
    </row>
    <row r="24" spans="1:61">
      <c r="A24" s="25" t="s">
        <v>251</v>
      </c>
      <c r="B24" s="26" t="s">
        <v>971</v>
      </c>
      <c r="C24" s="26"/>
      <c r="D24" s="26"/>
      <c r="E24" s="27"/>
      <c r="F24" s="195">
        <f>SF!F24</f>
        <v>20.660000000000004</v>
      </c>
      <c r="G24" s="27"/>
      <c r="H24" s="34"/>
      <c r="I24" s="195">
        <f>SF!I24</f>
        <v>10.330000000000002</v>
      </c>
      <c r="J24" s="195">
        <f>SF!J24</f>
        <v>0</v>
      </c>
      <c r="K24" s="275"/>
      <c r="L24" s="276"/>
      <c r="M24" s="268">
        <v>1</v>
      </c>
      <c r="N24" s="268">
        <v>1</v>
      </c>
      <c r="O24" s="268">
        <v>1</v>
      </c>
      <c r="P24" s="268">
        <v>1</v>
      </c>
      <c r="Q24" s="268"/>
      <c r="R24" s="268">
        <v>1</v>
      </c>
      <c r="S24" s="268">
        <v>1</v>
      </c>
      <c r="T24" s="268">
        <v>1</v>
      </c>
      <c r="U24" s="268">
        <v>1</v>
      </c>
      <c r="V24" s="268"/>
      <c r="W24" s="268">
        <v>1</v>
      </c>
      <c r="X24" s="268">
        <v>1</v>
      </c>
      <c r="Y24" s="268">
        <v>1</v>
      </c>
      <c r="Z24" s="268">
        <v>1</v>
      </c>
      <c r="AA24" s="268"/>
      <c r="AB24" s="268">
        <v>1</v>
      </c>
      <c r="AC24" s="268">
        <v>1</v>
      </c>
      <c r="AD24" s="268">
        <v>1</v>
      </c>
      <c r="AE24" s="268">
        <v>1</v>
      </c>
      <c r="AF24" s="268"/>
      <c r="AG24" s="268">
        <v>1</v>
      </c>
      <c r="AH24" s="268">
        <v>1</v>
      </c>
      <c r="AI24" s="268">
        <v>1</v>
      </c>
      <c r="AJ24" s="268">
        <v>1</v>
      </c>
      <c r="AK24" s="268"/>
      <c r="AL24" s="699">
        <v>1</v>
      </c>
      <c r="AM24" s="699">
        <v>1</v>
      </c>
      <c r="AN24" s="699">
        <v>1</v>
      </c>
      <c r="AO24" s="699">
        <v>1</v>
      </c>
      <c r="AP24" s="268"/>
      <c r="AQ24" s="699">
        <v>1</v>
      </c>
      <c r="AR24" s="699">
        <v>1</v>
      </c>
      <c r="AS24" s="699">
        <v>1</v>
      </c>
      <c r="AT24" s="699">
        <v>1</v>
      </c>
      <c r="AU24" s="268"/>
      <c r="AV24" s="268">
        <v>1</v>
      </c>
      <c r="AW24" s="268">
        <v>1</v>
      </c>
      <c r="AX24" s="268">
        <v>1</v>
      </c>
      <c r="AY24" s="268">
        <v>1</v>
      </c>
      <c r="AZ24" s="268"/>
      <c r="BA24" s="268">
        <v>1</v>
      </c>
      <c r="BB24" s="268">
        <v>1</v>
      </c>
      <c r="BC24" s="268">
        <v>1</v>
      </c>
      <c r="BD24" s="268">
        <v>1</v>
      </c>
      <c r="BE24" s="268"/>
      <c r="BF24" s="268">
        <v>1</v>
      </c>
      <c r="BG24" s="268">
        <v>1</v>
      </c>
      <c r="BH24" s="268">
        <v>1</v>
      </c>
      <c r="BI24" s="268">
        <v>1</v>
      </c>
    </row>
    <row r="25" spans="1:61">
      <c r="A25" s="25" t="s">
        <v>97</v>
      </c>
      <c r="B25" s="26" t="s">
        <v>972</v>
      </c>
      <c r="C25" s="26"/>
      <c r="D25" s="26"/>
      <c r="E25" s="27"/>
      <c r="F25" s="195">
        <f>SF!F25</f>
        <v>42</v>
      </c>
      <c r="G25" s="27"/>
      <c r="H25" s="34"/>
      <c r="I25" s="195">
        <f>SF!I25</f>
        <v>14.858499999999999</v>
      </c>
      <c r="J25" s="195">
        <f>SF!J25</f>
        <v>0</v>
      </c>
      <c r="K25" s="289"/>
      <c r="L25" s="274"/>
      <c r="M25" s="376">
        <v>1</v>
      </c>
      <c r="N25" s="376">
        <v>1</v>
      </c>
      <c r="O25" s="376">
        <v>1</v>
      </c>
      <c r="P25" s="376">
        <v>1</v>
      </c>
      <c r="Q25" s="376"/>
      <c r="R25" s="376">
        <v>1</v>
      </c>
      <c r="S25" s="376">
        <v>1</v>
      </c>
      <c r="T25" s="376">
        <v>1</v>
      </c>
      <c r="U25" s="376">
        <v>1</v>
      </c>
      <c r="V25" s="376"/>
      <c r="W25" s="376">
        <v>1</v>
      </c>
      <c r="X25" s="376">
        <v>1</v>
      </c>
      <c r="Y25" s="376">
        <v>1</v>
      </c>
      <c r="Z25" s="376">
        <v>1</v>
      </c>
      <c r="AA25" s="376"/>
      <c r="AB25" s="376">
        <v>1</v>
      </c>
      <c r="AC25" s="376">
        <v>1</v>
      </c>
      <c r="AD25" s="376">
        <v>1</v>
      </c>
      <c r="AE25" s="376">
        <v>1</v>
      </c>
      <c r="AF25" s="376"/>
      <c r="AG25" s="376">
        <v>1</v>
      </c>
      <c r="AH25" s="376">
        <v>1</v>
      </c>
      <c r="AI25" s="376">
        <v>1</v>
      </c>
      <c r="AJ25" s="376">
        <v>1</v>
      </c>
      <c r="AK25" s="376"/>
      <c r="AL25" s="700">
        <v>1</v>
      </c>
      <c r="AM25" s="700">
        <v>1</v>
      </c>
      <c r="AN25" s="700">
        <v>1</v>
      </c>
      <c r="AO25" s="700">
        <v>1</v>
      </c>
      <c r="AP25" s="376"/>
      <c r="AQ25" s="700">
        <v>1</v>
      </c>
      <c r="AR25" s="700">
        <v>1</v>
      </c>
      <c r="AS25" s="700">
        <v>1</v>
      </c>
      <c r="AT25" s="700">
        <v>1</v>
      </c>
      <c r="AU25" s="376"/>
      <c r="AV25" s="376">
        <v>1</v>
      </c>
      <c r="AW25" s="376">
        <v>1</v>
      </c>
      <c r="AX25" s="376">
        <v>1</v>
      </c>
      <c r="AY25" s="376">
        <v>1</v>
      </c>
      <c r="AZ25" s="376"/>
      <c r="BA25" s="376">
        <v>1</v>
      </c>
      <c r="BB25" s="376">
        <v>1</v>
      </c>
      <c r="BC25" s="376">
        <v>1</v>
      </c>
      <c r="BD25" s="376">
        <v>1</v>
      </c>
      <c r="BE25" s="376"/>
      <c r="BF25" s="376">
        <v>1</v>
      </c>
      <c r="BG25" s="376">
        <v>1</v>
      </c>
      <c r="BH25" s="376">
        <v>1</v>
      </c>
      <c r="BI25" s="376">
        <v>1</v>
      </c>
    </row>
    <row r="26" spans="1:61">
      <c r="A26" s="25"/>
      <c r="B26" s="26"/>
      <c r="C26" s="26"/>
      <c r="D26" s="26"/>
      <c r="E26" s="27"/>
      <c r="F26" s="34"/>
      <c r="G26" s="27"/>
      <c r="H26" s="34"/>
      <c r="I26" s="34"/>
      <c r="J26" s="34"/>
      <c r="K26" s="275"/>
      <c r="L26" s="276"/>
      <c r="M26" s="268"/>
      <c r="N26" s="268"/>
      <c r="O26" s="268"/>
      <c r="P26" s="268"/>
      <c r="Q26" s="268"/>
      <c r="R26" s="268"/>
      <c r="S26" s="268"/>
      <c r="T26" s="268"/>
      <c r="U26" s="268"/>
      <c r="V26" s="268"/>
      <c r="W26" s="268"/>
      <c r="X26" s="268"/>
      <c r="Y26" s="268"/>
      <c r="Z26" s="268"/>
      <c r="AA26" s="268"/>
      <c r="AB26" s="268"/>
      <c r="AC26" s="268"/>
      <c r="AD26" s="268"/>
      <c r="AE26" s="268"/>
      <c r="AF26" s="268"/>
      <c r="AG26" s="268"/>
      <c r="AH26" s="268"/>
      <c r="AI26" s="268"/>
      <c r="AJ26" s="268"/>
      <c r="AK26" s="268"/>
      <c r="AL26" s="699"/>
      <c r="AM26" s="699"/>
      <c r="AN26" s="699"/>
      <c r="AO26" s="699"/>
      <c r="AP26" s="268"/>
      <c r="AQ26" s="699"/>
      <c r="AR26" s="699"/>
      <c r="AS26" s="699"/>
      <c r="AT26" s="699"/>
      <c r="AU26" s="268"/>
      <c r="AV26" s="268"/>
      <c r="AW26" s="268"/>
      <c r="AX26" s="268"/>
      <c r="AY26" s="268"/>
      <c r="AZ26" s="268"/>
      <c r="BA26" s="268"/>
      <c r="BB26" s="268"/>
      <c r="BC26" s="268"/>
      <c r="BD26" s="268"/>
      <c r="BE26" s="268"/>
      <c r="BF26" s="268"/>
      <c r="BG26" s="268"/>
      <c r="BH26" s="268"/>
      <c r="BI26" s="268"/>
    </row>
    <row r="27" spans="1:61">
      <c r="A27" s="25" t="s">
        <v>974</v>
      </c>
      <c r="B27" s="26"/>
      <c r="C27" s="26"/>
      <c r="D27" s="26"/>
      <c r="E27" s="27"/>
      <c r="F27" s="34"/>
      <c r="G27" s="27"/>
      <c r="H27" s="34"/>
      <c r="I27" s="34"/>
      <c r="J27" s="34"/>
      <c r="K27" s="275"/>
      <c r="L27" s="276"/>
      <c r="M27" s="268"/>
      <c r="N27" s="268"/>
      <c r="O27" s="268"/>
      <c r="P27" s="268"/>
      <c r="Q27" s="268"/>
      <c r="R27" s="268"/>
      <c r="S27" s="268"/>
      <c r="T27" s="268"/>
      <c r="U27" s="268"/>
      <c r="V27" s="268"/>
      <c r="W27" s="268"/>
      <c r="X27" s="268"/>
      <c r="Y27" s="268"/>
      <c r="Z27" s="268"/>
      <c r="AA27" s="268"/>
      <c r="AB27" s="268"/>
      <c r="AC27" s="268"/>
      <c r="AD27" s="268"/>
      <c r="AE27" s="268"/>
      <c r="AF27" s="268"/>
      <c r="AG27" s="268"/>
      <c r="AH27" s="268"/>
      <c r="AI27" s="268"/>
      <c r="AJ27" s="268"/>
      <c r="AK27" s="268"/>
      <c r="AL27" s="699"/>
      <c r="AM27" s="699"/>
      <c r="AN27" s="699"/>
      <c r="AO27" s="699"/>
      <c r="AP27" s="268"/>
      <c r="AQ27" s="699"/>
      <c r="AR27" s="699"/>
      <c r="AS27" s="699"/>
      <c r="AT27" s="699"/>
      <c r="AU27" s="268"/>
      <c r="AV27" s="268"/>
      <c r="AW27" s="268"/>
      <c r="AX27" s="268"/>
      <c r="AY27" s="268"/>
      <c r="AZ27" s="268"/>
      <c r="BA27" s="268"/>
      <c r="BB27" s="268"/>
      <c r="BC27" s="268"/>
      <c r="BD27" s="268"/>
      <c r="BE27" s="268"/>
      <c r="BF27" s="268"/>
      <c r="BG27" s="268"/>
      <c r="BH27" s="268"/>
      <c r="BI27" s="268"/>
    </row>
    <row r="28" spans="1:61">
      <c r="A28" s="25" t="s">
        <v>975</v>
      </c>
      <c r="B28" s="26"/>
      <c r="C28" s="26"/>
      <c r="D28" s="26"/>
      <c r="E28" s="27"/>
      <c r="F28" s="34"/>
      <c r="G28" s="27"/>
      <c r="H28" s="34"/>
      <c r="I28" s="34"/>
      <c r="J28" s="34"/>
      <c r="K28" s="275"/>
      <c r="L28" s="276"/>
      <c r="M28" s="268"/>
      <c r="N28" s="268"/>
      <c r="O28" s="268"/>
      <c r="P28" s="268"/>
      <c r="Q28" s="268"/>
      <c r="R28" s="268"/>
      <c r="S28" s="268"/>
      <c r="T28" s="268"/>
      <c r="U28" s="268"/>
      <c r="V28" s="268"/>
      <c r="W28" s="268"/>
      <c r="X28" s="268"/>
      <c r="Y28" s="268"/>
      <c r="Z28" s="268"/>
      <c r="AA28" s="268"/>
      <c r="AB28" s="268"/>
      <c r="AC28" s="268"/>
      <c r="AD28" s="268"/>
      <c r="AE28" s="268"/>
      <c r="AF28" s="268"/>
      <c r="AG28" s="268"/>
      <c r="AH28" s="268"/>
      <c r="AI28" s="268"/>
      <c r="AJ28" s="268"/>
      <c r="AK28" s="268"/>
      <c r="AL28" s="699"/>
      <c r="AM28" s="699"/>
      <c r="AN28" s="699"/>
      <c r="AO28" s="699"/>
      <c r="AP28" s="268"/>
      <c r="AQ28" s="699"/>
      <c r="AR28" s="699"/>
      <c r="AS28" s="699"/>
      <c r="AT28" s="699"/>
      <c r="AU28" s="268"/>
      <c r="AV28" s="268"/>
      <c r="AW28" s="268"/>
      <c r="AX28" s="268"/>
      <c r="AY28" s="268"/>
      <c r="AZ28" s="268"/>
      <c r="BA28" s="268"/>
      <c r="BB28" s="268"/>
      <c r="BC28" s="268"/>
      <c r="BD28" s="268"/>
      <c r="BE28" s="268"/>
      <c r="BF28" s="268"/>
      <c r="BG28" s="268"/>
      <c r="BH28" s="268"/>
      <c r="BI28" s="268"/>
    </row>
    <row r="29" spans="1:61">
      <c r="A29" s="25" t="s">
        <v>976</v>
      </c>
      <c r="B29" s="26" t="s">
        <v>978</v>
      </c>
      <c r="C29" s="26"/>
      <c r="D29" s="26"/>
      <c r="E29" s="27"/>
      <c r="F29" s="195">
        <f>SF!F29</f>
        <v>65.160399999999996</v>
      </c>
      <c r="G29" s="27"/>
      <c r="H29" s="34"/>
      <c r="I29" s="195">
        <f>SF!I29</f>
        <v>-32.580199999999998</v>
      </c>
      <c r="J29" s="195">
        <f>SF!J29</f>
        <v>-10.105732306306301</v>
      </c>
      <c r="K29" s="273"/>
      <c r="L29" s="274"/>
      <c r="M29" s="268">
        <v>0</v>
      </c>
      <c r="N29" s="268">
        <v>0</v>
      </c>
      <c r="O29" s="268">
        <v>1</v>
      </c>
      <c r="P29" s="268">
        <v>0</v>
      </c>
      <c r="Q29" s="268"/>
      <c r="R29" s="268">
        <v>0</v>
      </c>
      <c r="S29" s="268">
        <v>0</v>
      </c>
      <c r="T29" s="268">
        <v>0</v>
      </c>
      <c r="U29" s="268">
        <v>0</v>
      </c>
      <c r="V29" s="268"/>
      <c r="W29" s="268">
        <v>0</v>
      </c>
      <c r="X29" s="268">
        <v>0</v>
      </c>
      <c r="Y29" s="268">
        <v>0</v>
      </c>
      <c r="Z29" s="268">
        <v>0</v>
      </c>
      <c r="AA29" s="268"/>
      <c r="AB29" s="268">
        <v>0.2</v>
      </c>
      <c r="AC29" s="268">
        <v>0.2</v>
      </c>
      <c r="AD29" s="268">
        <v>0.2</v>
      </c>
      <c r="AE29" s="268">
        <v>0.2</v>
      </c>
      <c r="AF29" s="268"/>
      <c r="AG29" s="268">
        <v>0</v>
      </c>
      <c r="AH29" s="268">
        <v>0</v>
      </c>
      <c r="AI29" s="268">
        <v>0</v>
      </c>
      <c r="AJ29" s="268">
        <v>0</v>
      </c>
      <c r="AK29" s="268"/>
      <c r="AL29" s="699">
        <v>0</v>
      </c>
      <c r="AM29" s="699">
        <v>0</v>
      </c>
      <c r="AN29" s="699">
        <v>1</v>
      </c>
      <c r="AO29" s="699">
        <v>0</v>
      </c>
      <c r="AP29" s="268"/>
      <c r="AQ29" s="699">
        <v>0</v>
      </c>
      <c r="AR29" s="699">
        <v>0</v>
      </c>
      <c r="AS29" s="699">
        <v>0</v>
      </c>
      <c r="AT29" s="699">
        <v>0</v>
      </c>
      <c r="AU29" s="268"/>
      <c r="AV29" s="268">
        <v>0</v>
      </c>
      <c r="AW29" s="268">
        <v>0</v>
      </c>
      <c r="AX29" s="268">
        <v>0</v>
      </c>
      <c r="AY29" s="268">
        <v>0</v>
      </c>
      <c r="AZ29" s="268"/>
      <c r="BA29" s="268">
        <v>0.2</v>
      </c>
      <c r="BB29" s="268">
        <v>0.2</v>
      </c>
      <c r="BC29" s="268">
        <v>0.2</v>
      </c>
      <c r="BD29" s="268">
        <v>0.2</v>
      </c>
      <c r="BE29" s="268"/>
      <c r="BF29" s="268">
        <v>0</v>
      </c>
      <c r="BG29" s="268">
        <v>0</v>
      </c>
      <c r="BH29" s="268">
        <v>0</v>
      </c>
      <c r="BI29" s="268">
        <v>0</v>
      </c>
    </row>
    <row r="30" spans="1:61">
      <c r="A30" s="25" t="s">
        <v>977</v>
      </c>
      <c r="B30" s="26" t="s">
        <v>979</v>
      </c>
      <c r="C30" s="26"/>
      <c r="D30" s="26"/>
      <c r="E30" s="27"/>
      <c r="F30" s="195">
        <f>SF!F30</f>
        <v>75.185314285714313</v>
      </c>
      <c r="G30" s="27"/>
      <c r="H30" s="34"/>
      <c r="I30" s="195">
        <f>SF!I30</f>
        <v>37.592657142857156</v>
      </c>
      <c r="J30" s="195">
        <f>SF!J30</f>
        <v>-11.660497166023164</v>
      </c>
      <c r="K30" s="273"/>
      <c r="L30" s="274"/>
      <c r="M30" s="268">
        <v>0</v>
      </c>
      <c r="N30" s="268">
        <v>0</v>
      </c>
      <c r="O30" s="268">
        <v>1</v>
      </c>
      <c r="P30" s="268">
        <v>0</v>
      </c>
      <c r="Q30" s="268"/>
      <c r="R30" s="268">
        <v>0</v>
      </c>
      <c r="S30" s="268">
        <v>0</v>
      </c>
      <c r="T30" s="268">
        <v>0</v>
      </c>
      <c r="U30" s="268">
        <v>0</v>
      </c>
      <c r="V30" s="268"/>
      <c r="W30" s="268">
        <v>0</v>
      </c>
      <c r="X30" s="268">
        <v>0</v>
      </c>
      <c r="Y30" s="268">
        <v>0</v>
      </c>
      <c r="Z30" s="268">
        <v>0</v>
      </c>
      <c r="AA30" s="268"/>
      <c r="AB30" s="268">
        <v>0.2</v>
      </c>
      <c r="AC30" s="268">
        <v>0.2</v>
      </c>
      <c r="AD30" s="268">
        <v>0.2</v>
      </c>
      <c r="AE30" s="268">
        <v>0.2</v>
      </c>
      <c r="AF30" s="268"/>
      <c r="AG30" s="268">
        <v>0</v>
      </c>
      <c r="AH30" s="268">
        <v>0</v>
      </c>
      <c r="AI30" s="268">
        <v>0</v>
      </c>
      <c r="AJ30" s="268">
        <v>0</v>
      </c>
      <c r="AK30" s="268"/>
      <c r="AL30" s="699">
        <v>0</v>
      </c>
      <c r="AM30" s="699">
        <v>0</v>
      </c>
      <c r="AN30" s="699">
        <v>1</v>
      </c>
      <c r="AO30" s="699">
        <v>0</v>
      </c>
      <c r="AP30" s="268"/>
      <c r="AQ30" s="699">
        <v>0</v>
      </c>
      <c r="AR30" s="699">
        <v>0</v>
      </c>
      <c r="AS30" s="699">
        <v>0</v>
      </c>
      <c r="AT30" s="699">
        <v>0</v>
      </c>
      <c r="AU30" s="268"/>
      <c r="AV30" s="268">
        <v>0</v>
      </c>
      <c r="AW30" s="268">
        <v>0</v>
      </c>
      <c r="AX30" s="268">
        <v>0</v>
      </c>
      <c r="AY30" s="268">
        <v>0</v>
      </c>
      <c r="AZ30" s="268"/>
      <c r="BA30" s="268">
        <v>0.2</v>
      </c>
      <c r="BB30" s="268">
        <v>0.2</v>
      </c>
      <c r="BC30" s="268">
        <v>0.2</v>
      </c>
      <c r="BD30" s="268">
        <v>0.2</v>
      </c>
      <c r="BE30" s="268"/>
      <c r="BF30" s="268">
        <v>0</v>
      </c>
      <c r="BG30" s="268">
        <v>0</v>
      </c>
      <c r="BH30" s="268">
        <v>0</v>
      </c>
      <c r="BI30" s="268">
        <v>0</v>
      </c>
    </row>
    <row r="31" spans="1:61">
      <c r="A31" s="25"/>
      <c r="B31" s="26"/>
      <c r="C31" s="26"/>
      <c r="D31" s="26"/>
      <c r="E31" s="27"/>
      <c r="F31" s="34"/>
      <c r="G31" s="27"/>
      <c r="H31" s="34"/>
      <c r="I31" s="34"/>
      <c r="J31" s="34"/>
      <c r="K31" s="273"/>
      <c r="L31" s="274"/>
      <c r="M31" s="268"/>
      <c r="N31" s="268"/>
      <c r="O31" s="268"/>
      <c r="P31" s="268"/>
      <c r="Q31" s="268"/>
      <c r="R31" s="268"/>
      <c r="S31" s="268"/>
      <c r="T31" s="268"/>
      <c r="U31" s="268"/>
      <c r="V31" s="268"/>
      <c r="W31" s="268"/>
      <c r="X31" s="268"/>
      <c r="Y31" s="268"/>
      <c r="Z31" s="268"/>
      <c r="AA31" s="268"/>
      <c r="AB31" s="268"/>
      <c r="AC31" s="268"/>
      <c r="AD31" s="268"/>
      <c r="AE31" s="268"/>
      <c r="AF31" s="268"/>
      <c r="AG31" s="268"/>
      <c r="AH31" s="268"/>
      <c r="AI31" s="268"/>
      <c r="AJ31" s="268"/>
      <c r="AK31" s="268"/>
      <c r="AL31" s="699"/>
      <c r="AM31" s="699"/>
      <c r="AN31" s="699"/>
      <c r="AO31" s="699"/>
      <c r="AP31" s="268"/>
      <c r="AQ31" s="699"/>
      <c r="AR31" s="699"/>
      <c r="AS31" s="699"/>
      <c r="AT31" s="699"/>
      <c r="AU31" s="268"/>
      <c r="AV31" s="268"/>
      <c r="AW31" s="268"/>
      <c r="AX31" s="268"/>
      <c r="AY31" s="268"/>
      <c r="AZ31" s="268"/>
      <c r="BA31" s="268"/>
      <c r="BB31" s="268"/>
      <c r="BC31" s="268"/>
      <c r="BD31" s="268"/>
      <c r="BE31" s="268"/>
      <c r="BF31" s="268"/>
      <c r="BG31" s="268"/>
      <c r="BH31" s="268"/>
      <c r="BI31" s="268"/>
    </row>
    <row r="32" spans="1:61">
      <c r="A32" s="25" t="s">
        <v>980</v>
      </c>
      <c r="B32" s="26"/>
      <c r="C32" s="26"/>
      <c r="D32" s="26"/>
      <c r="E32" s="27"/>
      <c r="F32" s="34"/>
      <c r="G32" s="27"/>
      <c r="H32" s="34"/>
      <c r="I32" s="34"/>
      <c r="J32" s="34"/>
      <c r="K32" s="273"/>
      <c r="L32" s="274"/>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376"/>
      <c r="AJ32" s="376"/>
      <c r="AK32" s="376"/>
      <c r="AL32" s="700"/>
      <c r="AM32" s="700"/>
      <c r="AN32" s="700"/>
      <c r="AO32" s="700"/>
      <c r="AP32" s="376"/>
      <c r="AQ32" s="700"/>
      <c r="AR32" s="700"/>
      <c r="AS32" s="700"/>
      <c r="AT32" s="700"/>
      <c r="AU32" s="376"/>
      <c r="AV32" s="376"/>
      <c r="AW32" s="376"/>
      <c r="AX32" s="376"/>
      <c r="AY32" s="376"/>
      <c r="AZ32" s="376"/>
      <c r="BA32" s="376"/>
      <c r="BB32" s="376"/>
      <c r="BC32" s="376"/>
      <c r="BD32" s="376"/>
      <c r="BE32" s="376"/>
      <c r="BF32" s="376"/>
      <c r="BG32" s="376"/>
      <c r="BH32" s="376"/>
      <c r="BI32" s="376"/>
    </row>
    <row r="33" spans="1:61">
      <c r="A33" s="25" t="s">
        <v>976</v>
      </c>
      <c r="B33" s="26" t="s">
        <v>981</v>
      </c>
      <c r="C33" s="26"/>
      <c r="D33" s="26"/>
      <c r="E33" s="27"/>
      <c r="F33" s="195">
        <f>SF!F33</f>
        <v>0</v>
      </c>
      <c r="G33" s="27"/>
      <c r="H33" s="34"/>
      <c r="I33" s="195">
        <f>SF!I33</f>
        <v>0</v>
      </c>
      <c r="J33" s="195">
        <f>SF!J33</f>
        <v>0</v>
      </c>
      <c r="K33" s="273"/>
      <c r="L33" s="274"/>
      <c r="M33" s="376">
        <v>0</v>
      </c>
      <c r="N33" s="376">
        <v>0</v>
      </c>
      <c r="O33" s="376">
        <v>0</v>
      </c>
      <c r="P33" s="376">
        <v>1</v>
      </c>
      <c r="Q33" s="376"/>
      <c r="R33" s="376">
        <v>0</v>
      </c>
      <c r="S33" s="376">
        <v>0</v>
      </c>
      <c r="T33" s="376">
        <v>0</v>
      </c>
      <c r="U33" s="376">
        <v>0</v>
      </c>
      <c r="V33" s="376"/>
      <c r="W33" s="376">
        <v>0</v>
      </c>
      <c r="X33" s="376">
        <v>0</v>
      </c>
      <c r="Y33" s="376">
        <v>0</v>
      </c>
      <c r="Z33" s="376">
        <v>0</v>
      </c>
      <c r="AA33" s="376"/>
      <c r="AB33" s="376">
        <v>0</v>
      </c>
      <c r="AC33" s="376">
        <v>0</v>
      </c>
      <c r="AD33" s="376">
        <v>0</v>
      </c>
      <c r="AE33" s="376">
        <v>0</v>
      </c>
      <c r="AF33" s="376"/>
      <c r="AG33" s="376">
        <v>0.2</v>
      </c>
      <c r="AH33" s="376">
        <v>0.2</v>
      </c>
      <c r="AI33" s="376">
        <v>0.2</v>
      </c>
      <c r="AJ33" s="376">
        <v>0.2</v>
      </c>
      <c r="AK33" s="376"/>
      <c r="AL33" s="700">
        <v>0</v>
      </c>
      <c r="AM33" s="700">
        <v>0</v>
      </c>
      <c r="AN33" s="700">
        <v>0</v>
      </c>
      <c r="AO33" s="700">
        <v>1</v>
      </c>
      <c r="AP33" s="376"/>
      <c r="AQ33" s="700">
        <v>0</v>
      </c>
      <c r="AR33" s="700">
        <v>0</v>
      </c>
      <c r="AS33" s="700">
        <v>0</v>
      </c>
      <c r="AT33" s="700">
        <v>0</v>
      </c>
      <c r="AU33" s="376"/>
      <c r="AV33" s="376">
        <v>0</v>
      </c>
      <c r="AW33" s="376">
        <v>0</v>
      </c>
      <c r="AX33" s="376">
        <v>0</v>
      </c>
      <c r="AY33" s="376">
        <v>0</v>
      </c>
      <c r="AZ33" s="376"/>
      <c r="BA33" s="376">
        <v>0</v>
      </c>
      <c r="BB33" s="376">
        <v>0</v>
      </c>
      <c r="BC33" s="376">
        <v>0</v>
      </c>
      <c r="BD33" s="376">
        <v>0</v>
      </c>
      <c r="BE33" s="376"/>
      <c r="BF33" s="376">
        <v>0.2</v>
      </c>
      <c r="BG33" s="376">
        <v>0.2</v>
      </c>
      <c r="BH33" s="376">
        <v>0.2</v>
      </c>
      <c r="BI33" s="376">
        <v>0.2</v>
      </c>
    </row>
    <row r="34" spans="1:61">
      <c r="A34" s="25" t="s">
        <v>977</v>
      </c>
      <c r="B34" s="26" t="s">
        <v>982</v>
      </c>
      <c r="C34" s="26"/>
      <c r="D34" s="26"/>
      <c r="E34" s="27"/>
      <c r="F34" s="195">
        <f>SF!F34</f>
        <v>127.89948571428575</v>
      </c>
      <c r="G34" s="27"/>
      <c r="H34" s="34"/>
      <c r="I34" s="195">
        <f>SF!I34</f>
        <v>63.949742857142873</v>
      </c>
      <c r="J34" s="195">
        <f>SF!J34</f>
        <v>-19.835942761904757</v>
      </c>
      <c r="K34" s="273"/>
      <c r="L34" s="274"/>
      <c r="M34" s="376">
        <v>0</v>
      </c>
      <c r="N34" s="376">
        <v>0</v>
      </c>
      <c r="O34" s="376">
        <v>0</v>
      </c>
      <c r="P34" s="376">
        <v>1</v>
      </c>
      <c r="Q34" s="376"/>
      <c r="R34" s="376">
        <v>0</v>
      </c>
      <c r="S34" s="376">
        <v>0</v>
      </c>
      <c r="T34" s="376">
        <v>0</v>
      </c>
      <c r="U34" s="376">
        <v>0</v>
      </c>
      <c r="V34" s="376"/>
      <c r="W34" s="376">
        <v>0</v>
      </c>
      <c r="X34" s="376">
        <v>0</v>
      </c>
      <c r="Y34" s="376">
        <v>0</v>
      </c>
      <c r="Z34" s="376">
        <v>0</v>
      </c>
      <c r="AA34" s="376"/>
      <c r="AB34" s="376">
        <v>0</v>
      </c>
      <c r="AC34" s="376">
        <v>0</v>
      </c>
      <c r="AD34" s="376">
        <v>0</v>
      </c>
      <c r="AE34" s="376">
        <v>0</v>
      </c>
      <c r="AF34" s="376"/>
      <c r="AG34" s="376">
        <v>0.2</v>
      </c>
      <c r="AH34" s="376">
        <v>0.2</v>
      </c>
      <c r="AI34" s="376">
        <v>0.2</v>
      </c>
      <c r="AJ34" s="376">
        <v>0.2</v>
      </c>
      <c r="AK34" s="376"/>
      <c r="AL34" s="700">
        <v>0</v>
      </c>
      <c r="AM34" s="700">
        <v>0</v>
      </c>
      <c r="AN34" s="700">
        <v>0</v>
      </c>
      <c r="AO34" s="700">
        <v>1</v>
      </c>
      <c r="AP34" s="376"/>
      <c r="AQ34" s="700">
        <v>0</v>
      </c>
      <c r="AR34" s="700">
        <v>0</v>
      </c>
      <c r="AS34" s="700">
        <v>0</v>
      </c>
      <c r="AT34" s="700">
        <v>0</v>
      </c>
      <c r="AU34" s="376"/>
      <c r="AV34" s="376">
        <v>0</v>
      </c>
      <c r="AW34" s="376">
        <v>0</v>
      </c>
      <c r="AX34" s="376">
        <v>0</v>
      </c>
      <c r="AY34" s="376">
        <v>0</v>
      </c>
      <c r="AZ34" s="376"/>
      <c r="BA34" s="376">
        <v>0</v>
      </c>
      <c r="BB34" s="376">
        <v>0</v>
      </c>
      <c r="BC34" s="376">
        <v>0</v>
      </c>
      <c r="BD34" s="376">
        <v>0</v>
      </c>
      <c r="BE34" s="376"/>
      <c r="BF34" s="376">
        <v>0.2</v>
      </c>
      <c r="BG34" s="376">
        <v>0.2</v>
      </c>
      <c r="BH34" s="376">
        <v>0.2</v>
      </c>
      <c r="BI34" s="376">
        <v>0.2</v>
      </c>
    </row>
    <row r="35" spans="1:61">
      <c r="A35" s="25"/>
      <c r="B35" s="26"/>
      <c r="C35" s="26"/>
      <c r="D35" s="26"/>
      <c r="E35" s="27"/>
      <c r="F35" s="34"/>
      <c r="G35" s="27"/>
      <c r="H35" s="34"/>
      <c r="I35" s="34"/>
      <c r="J35" s="34"/>
      <c r="K35" s="273"/>
      <c r="L35" s="274"/>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376"/>
      <c r="AJ35" s="376"/>
      <c r="AK35" s="376"/>
      <c r="AL35" s="700"/>
      <c r="AM35" s="700"/>
      <c r="AN35" s="700"/>
      <c r="AO35" s="700"/>
      <c r="AP35" s="376"/>
      <c r="AQ35" s="700"/>
      <c r="AR35" s="700"/>
      <c r="AS35" s="700"/>
      <c r="AT35" s="700"/>
      <c r="AU35" s="376"/>
      <c r="AV35" s="376"/>
      <c r="AW35" s="376"/>
      <c r="AX35" s="376"/>
      <c r="AY35" s="376"/>
      <c r="AZ35" s="376"/>
      <c r="BA35" s="376"/>
      <c r="BB35" s="376"/>
      <c r="BC35" s="376"/>
      <c r="BD35" s="376"/>
      <c r="BE35" s="376"/>
      <c r="BF35" s="376"/>
      <c r="BG35" s="376"/>
      <c r="BH35" s="376"/>
      <c r="BI35" s="376"/>
    </row>
    <row r="36" spans="1:61">
      <c r="A36" s="25"/>
      <c r="B36" s="26"/>
      <c r="C36" s="26"/>
      <c r="D36" s="26"/>
      <c r="E36" s="27"/>
      <c r="F36" s="34"/>
      <c r="G36" s="27"/>
      <c r="H36" s="34"/>
      <c r="I36" s="34"/>
      <c r="J36" s="34"/>
      <c r="K36" s="273"/>
      <c r="L36" s="274"/>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376"/>
      <c r="AJ36" s="376"/>
      <c r="AK36" s="376"/>
      <c r="AL36" s="700"/>
      <c r="AM36" s="700"/>
      <c r="AN36" s="700"/>
      <c r="AO36" s="700"/>
      <c r="AP36" s="376"/>
      <c r="AQ36" s="700"/>
      <c r="AR36" s="700"/>
      <c r="AS36" s="700"/>
      <c r="AT36" s="700"/>
      <c r="AU36" s="376"/>
      <c r="AV36" s="376"/>
      <c r="AW36" s="376"/>
      <c r="AX36" s="376"/>
      <c r="AY36" s="376"/>
      <c r="AZ36" s="376"/>
      <c r="BA36" s="376"/>
      <c r="BB36" s="376"/>
      <c r="BC36" s="376"/>
      <c r="BD36" s="376"/>
      <c r="BE36" s="376"/>
      <c r="BF36" s="376"/>
      <c r="BG36" s="376"/>
      <c r="BH36" s="376"/>
      <c r="BI36" s="376"/>
    </row>
    <row r="37" spans="1:61">
      <c r="A37" s="25" t="s">
        <v>983</v>
      </c>
      <c r="B37" s="26"/>
      <c r="C37" s="26"/>
      <c r="D37" s="26"/>
      <c r="E37" s="27"/>
      <c r="F37" s="34"/>
      <c r="G37" s="27"/>
      <c r="H37" s="34"/>
      <c r="I37" s="34"/>
      <c r="J37" s="34"/>
      <c r="K37" s="273"/>
      <c r="L37" s="274"/>
      <c r="M37" s="376"/>
      <c r="N37" s="376"/>
      <c r="O37" s="376"/>
      <c r="P37" s="376"/>
      <c r="Q37" s="376"/>
      <c r="R37" s="376"/>
      <c r="S37" s="376"/>
      <c r="T37" s="376"/>
      <c r="U37" s="376"/>
      <c r="V37" s="376"/>
      <c r="W37" s="376"/>
      <c r="X37" s="376"/>
      <c r="Y37" s="376"/>
      <c r="Z37" s="376"/>
      <c r="AA37" s="376"/>
      <c r="AB37" s="376"/>
      <c r="AC37" s="376"/>
      <c r="AD37" s="376"/>
      <c r="AE37" s="376"/>
      <c r="AF37" s="376"/>
      <c r="AG37" s="376"/>
      <c r="AH37" s="376"/>
      <c r="AI37" s="376"/>
      <c r="AJ37" s="376"/>
      <c r="AK37" s="376"/>
      <c r="AL37" s="700"/>
      <c r="AM37" s="700"/>
      <c r="AN37" s="700"/>
      <c r="AO37" s="700"/>
      <c r="AP37" s="376"/>
      <c r="AQ37" s="700"/>
      <c r="AR37" s="700"/>
      <c r="AS37" s="700"/>
      <c r="AT37" s="700"/>
      <c r="AU37" s="376"/>
      <c r="AV37" s="376"/>
      <c r="AW37" s="376"/>
      <c r="AX37" s="376"/>
      <c r="AY37" s="376"/>
      <c r="AZ37" s="376"/>
      <c r="BA37" s="376"/>
      <c r="BB37" s="376"/>
      <c r="BC37" s="376"/>
      <c r="BD37" s="376"/>
      <c r="BE37" s="376"/>
      <c r="BF37" s="376"/>
      <c r="BG37" s="376"/>
      <c r="BH37" s="376"/>
      <c r="BI37" s="376"/>
    </row>
    <row r="38" spans="1:61">
      <c r="A38" s="25" t="s">
        <v>984</v>
      </c>
      <c r="B38" s="163" t="s">
        <v>951</v>
      </c>
      <c r="C38" s="26"/>
      <c r="D38" s="26"/>
      <c r="E38" s="27"/>
      <c r="F38" s="34"/>
      <c r="G38" s="195">
        <f>SF!G38</f>
        <v>32.051277714285717</v>
      </c>
      <c r="H38" s="34"/>
      <c r="I38" s="195">
        <f>SF!I38</f>
        <v>265.38457947428577</v>
      </c>
      <c r="J38" s="34"/>
      <c r="K38" s="273"/>
      <c r="L38" s="274"/>
      <c r="M38" s="376">
        <v>0</v>
      </c>
      <c r="N38" s="376">
        <v>0</v>
      </c>
      <c r="O38" s="376">
        <v>1</v>
      </c>
      <c r="P38" s="376">
        <v>0</v>
      </c>
      <c r="Q38" s="376"/>
      <c r="R38" s="376">
        <v>0</v>
      </c>
      <c r="S38" s="376">
        <v>0</v>
      </c>
      <c r="T38" s="376">
        <v>0</v>
      </c>
      <c r="U38" s="376">
        <v>0</v>
      </c>
      <c r="V38" s="376"/>
      <c r="W38" s="376">
        <v>0</v>
      </c>
      <c r="X38" s="376">
        <v>0</v>
      </c>
      <c r="Y38" s="376">
        <v>0</v>
      </c>
      <c r="Z38" s="376">
        <v>0</v>
      </c>
      <c r="AA38" s="376"/>
      <c r="AB38" s="376">
        <v>0</v>
      </c>
      <c r="AC38" s="376">
        <v>0</v>
      </c>
      <c r="AD38" s="376">
        <v>0</v>
      </c>
      <c r="AE38" s="376">
        <v>0</v>
      </c>
      <c r="AF38" s="376"/>
      <c r="AG38" s="376">
        <v>0</v>
      </c>
      <c r="AH38" s="376">
        <v>0</v>
      </c>
      <c r="AI38" s="376">
        <v>0</v>
      </c>
      <c r="AJ38" s="376">
        <v>0</v>
      </c>
      <c r="AK38" s="376"/>
      <c r="AL38" s="700">
        <v>0</v>
      </c>
      <c r="AM38" s="700">
        <v>0</v>
      </c>
      <c r="AN38" s="700">
        <v>1</v>
      </c>
      <c r="AO38" s="700">
        <v>0</v>
      </c>
      <c r="AP38" s="376"/>
      <c r="AQ38" s="700">
        <v>0</v>
      </c>
      <c r="AR38" s="700">
        <v>0</v>
      </c>
      <c r="AS38" s="700">
        <v>0</v>
      </c>
      <c r="AT38" s="700">
        <v>0</v>
      </c>
      <c r="AU38" s="376"/>
      <c r="AV38" s="376">
        <v>0</v>
      </c>
      <c r="AW38" s="376">
        <v>0</v>
      </c>
      <c r="AX38" s="376">
        <v>0</v>
      </c>
      <c r="AY38" s="376">
        <v>0</v>
      </c>
      <c r="AZ38" s="376"/>
      <c r="BA38" s="376">
        <v>0</v>
      </c>
      <c r="BB38" s="376">
        <v>0</v>
      </c>
      <c r="BC38" s="376">
        <v>0</v>
      </c>
      <c r="BD38" s="376">
        <v>0</v>
      </c>
      <c r="BE38" s="376"/>
      <c r="BF38" s="376">
        <v>0</v>
      </c>
      <c r="BG38" s="376">
        <v>0</v>
      </c>
      <c r="BH38" s="376">
        <v>0</v>
      </c>
      <c r="BI38" s="376">
        <v>0</v>
      </c>
    </row>
    <row r="39" spans="1:61">
      <c r="A39" s="25" t="s">
        <v>985</v>
      </c>
      <c r="B39" s="163" t="s">
        <v>953</v>
      </c>
      <c r="C39" s="26"/>
      <c r="D39" s="26"/>
      <c r="E39" s="27"/>
      <c r="F39" s="34"/>
      <c r="G39" s="195">
        <f>SF!G39</f>
        <v>29.998225714285713</v>
      </c>
      <c r="H39" s="34"/>
      <c r="I39" s="195">
        <f>SF!I39</f>
        <v>248.38530891428573</v>
      </c>
      <c r="J39" s="34"/>
      <c r="K39" s="273"/>
      <c r="L39" s="274"/>
      <c r="M39" s="376">
        <v>0</v>
      </c>
      <c r="N39" s="376">
        <v>0</v>
      </c>
      <c r="O39" s="376">
        <v>0</v>
      </c>
      <c r="P39" s="376">
        <v>1</v>
      </c>
      <c r="Q39" s="376"/>
      <c r="R39" s="376">
        <v>0</v>
      </c>
      <c r="S39" s="376">
        <v>0</v>
      </c>
      <c r="T39" s="376">
        <v>0</v>
      </c>
      <c r="U39" s="376">
        <v>0</v>
      </c>
      <c r="V39" s="376"/>
      <c r="W39" s="376">
        <v>0</v>
      </c>
      <c r="X39" s="376">
        <v>0</v>
      </c>
      <c r="Y39" s="376">
        <v>0</v>
      </c>
      <c r="Z39" s="376">
        <v>0</v>
      </c>
      <c r="AA39" s="376"/>
      <c r="AB39" s="376">
        <v>0</v>
      </c>
      <c r="AC39" s="376">
        <v>0</v>
      </c>
      <c r="AD39" s="376">
        <v>0</v>
      </c>
      <c r="AE39" s="376">
        <v>0</v>
      </c>
      <c r="AF39" s="376"/>
      <c r="AG39" s="376">
        <v>0</v>
      </c>
      <c r="AH39" s="376">
        <v>0</v>
      </c>
      <c r="AI39" s="376">
        <v>0</v>
      </c>
      <c r="AJ39" s="376">
        <v>0</v>
      </c>
      <c r="AK39" s="376"/>
      <c r="AL39" s="700">
        <v>0</v>
      </c>
      <c r="AM39" s="700">
        <v>0</v>
      </c>
      <c r="AN39" s="700">
        <v>0</v>
      </c>
      <c r="AO39" s="700">
        <v>1</v>
      </c>
      <c r="AP39" s="376"/>
      <c r="AQ39" s="700">
        <v>0</v>
      </c>
      <c r="AR39" s="700">
        <v>0</v>
      </c>
      <c r="AS39" s="700">
        <v>0</v>
      </c>
      <c r="AT39" s="700">
        <v>0</v>
      </c>
      <c r="AU39" s="376"/>
      <c r="AV39" s="376">
        <v>0</v>
      </c>
      <c r="AW39" s="376">
        <v>0</v>
      </c>
      <c r="AX39" s="376">
        <v>0</v>
      </c>
      <c r="AY39" s="376">
        <v>0</v>
      </c>
      <c r="AZ39" s="376"/>
      <c r="BA39" s="376">
        <v>0</v>
      </c>
      <c r="BB39" s="376">
        <v>0</v>
      </c>
      <c r="BC39" s="376">
        <v>0</v>
      </c>
      <c r="BD39" s="376">
        <v>0</v>
      </c>
      <c r="BE39" s="376"/>
      <c r="BF39" s="376">
        <v>0</v>
      </c>
      <c r="BG39" s="376">
        <v>0</v>
      </c>
      <c r="BH39" s="376">
        <v>0</v>
      </c>
      <c r="BI39" s="376">
        <v>0</v>
      </c>
    </row>
    <row r="40" spans="1:61">
      <c r="A40" s="25" t="s">
        <v>986</v>
      </c>
      <c r="B40" s="163" t="s">
        <v>955</v>
      </c>
      <c r="C40" s="26"/>
      <c r="D40" s="26"/>
      <c r="E40" s="27"/>
      <c r="F40" s="34"/>
      <c r="G40" s="195">
        <f>SF!G40</f>
        <v>5.8532000000000011</v>
      </c>
      <c r="H40" s="34"/>
      <c r="I40" s="195">
        <f>SF!I40</f>
        <v>48.464496000000018</v>
      </c>
      <c r="J40" s="34"/>
      <c r="K40" s="273"/>
      <c r="L40" s="274"/>
      <c r="M40" s="376">
        <v>0</v>
      </c>
      <c r="N40" s="376">
        <v>1</v>
      </c>
      <c r="O40" s="376">
        <v>0</v>
      </c>
      <c r="P40" s="376">
        <v>0</v>
      </c>
      <c r="Q40" s="376"/>
      <c r="R40" s="376">
        <v>0</v>
      </c>
      <c r="S40" s="376">
        <v>0</v>
      </c>
      <c r="T40" s="376">
        <v>0</v>
      </c>
      <c r="U40" s="376">
        <v>0</v>
      </c>
      <c r="V40" s="376"/>
      <c r="W40" s="376">
        <v>1</v>
      </c>
      <c r="X40" s="376">
        <v>1</v>
      </c>
      <c r="Y40" s="376">
        <v>1</v>
      </c>
      <c r="Z40" s="376">
        <v>1</v>
      </c>
      <c r="AA40" s="376"/>
      <c r="AB40" s="376">
        <v>0</v>
      </c>
      <c r="AC40" s="376">
        <v>0</v>
      </c>
      <c r="AD40" s="376">
        <v>0</v>
      </c>
      <c r="AE40" s="376">
        <v>0</v>
      </c>
      <c r="AF40" s="376"/>
      <c r="AG40" s="376">
        <v>0</v>
      </c>
      <c r="AH40" s="376">
        <v>0</v>
      </c>
      <c r="AI40" s="376">
        <v>0</v>
      </c>
      <c r="AJ40" s="376">
        <v>0</v>
      </c>
      <c r="AK40" s="376"/>
      <c r="AL40" s="700">
        <v>0</v>
      </c>
      <c r="AM40" s="700">
        <v>1</v>
      </c>
      <c r="AN40" s="700">
        <v>0</v>
      </c>
      <c r="AO40" s="700">
        <v>0</v>
      </c>
      <c r="AP40" s="376"/>
      <c r="AQ40" s="700">
        <v>0</v>
      </c>
      <c r="AR40" s="700">
        <v>0</v>
      </c>
      <c r="AS40" s="700">
        <v>0</v>
      </c>
      <c r="AT40" s="700">
        <v>0</v>
      </c>
      <c r="AU40" s="376"/>
      <c r="AV40" s="376">
        <v>1</v>
      </c>
      <c r="AW40" s="376">
        <v>1</v>
      </c>
      <c r="AX40" s="376">
        <v>1</v>
      </c>
      <c r="AY40" s="376">
        <v>1</v>
      </c>
      <c r="AZ40" s="376"/>
      <c r="BA40" s="376">
        <v>0</v>
      </c>
      <c r="BB40" s="376">
        <v>0</v>
      </c>
      <c r="BC40" s="376">
        <v>0</v>
      </c>
      <c r="BD40" s="376">
        <v>0</v>
      </c>
      <c r="BE40" s="376"/>
      <c r="BF40" s="376">
        <v>0</v>
      </c>
      <c r="BG40" s="376">
        <v>0</v>
      </c>
      <c r="BH40" s="376">
        <v>0</v>
      </c>
      <c r="BI40" s="376">
        <v>0</v>
      </c>
    </row>
    <row r="41" spans="1:61">
      <c r="A41" s="25" t="s">
        <v>987</v>
      </c>
      <c r="B41" s="163" t="s">
        <v>957</v>
      </c>
      <c r="C41" s="26"/>
      <c r="D41" s="26"/>
      <c r="E41" s="27"/>
      <c r="F41" s="34"/>
      <c r="G41" s="195">
        <f>SF!G41</f>
        <v>14.632999999999999</v>
      </c>
      <c r="H41" s="34"/>
      <c r="I41" s="195">
        <f>SF!I41</f>
        <v>121.16124000000001</v>
      </c>
      <c r="J41" s="34"/>
      <c r="K41" s="273"/>
      <c r="L41" s="274"/>
      <c r="M41" s="376">
        <v>1</v>
      </c>
      <c r="N41" s="376">
        <v>0</v>
      </c>
      <c r="O41" s="376">
        <v>0</v>
      </c>
      <c r="P41" s="376">
        <v>0</v>
      </c>
      <c r="Q41" s="376"/>
      <c r="R41" s="376">
        <v>1</v>
      </c>
      <c r="S41" s="376">
        <v>1</v>
      </c>
      <c r="T41" s="376">
        <v>1</v>
      </c>
      <c r="U41" s="376">
        <v>1</v>
      </c>
      <c r="V41" s="376"/>
      <c r="W41" s="376">
        <v>0</v>
      </c>
      <c r="X41" s="376">
        <v>0</v>
      </c>
      <c r="Y41" s="376">
        <v>0</v>
      </c>
      <c r="Z41" s="376">
        <v>0</v>
      </c>
      <c r="AA41" s="376"/>
      <c r="AB41" s="376">
        <v>0</v>
      </c>
      <c r="AC41" s="376">
        <v>0</v>
      </c>
      <c r="AD41" s="376">
        <v>0</v>
      </c>
      <c r="AE41" s="376">
        <v>0</v>
      </c>
      <c r="AF41" s="376"/>
      <c r="AG41" s="376">
        <v>0</v>
      </c>
      <c r="AH41" s="376">
        <v>0</v>
      </c>
      <c r="AI41" s="376">
        <v>0</v>
      </c>
      <c r="AJ41" s="376">
        <v>0</v>
      </c>
      <c r="AK41" s="376"/>
      <c r="AL41" s="700">
        <v>1</v>
      </c>
      <c r="AM41" s="700">
        <v>0</v>
      </c>
      <c r="AN41" s="700">
        <v>0</v>
      </c>
      <c r="AO41" s="700">
        <v>0</v>
      </c>
      <c r="AP41" s="376"/>
      <c r="AQ41" s="700">
        <v>1</v>
      </c>
      <c r="AR41" s="700">
        <v>1</v>
      </c>
      <c r="AS41" s="700">
        <v>1</v>
      </c>
      <c r="AT41" s="700">
        <v>1</v>
      </c>
      <c r="AU41" s="376"/>
      <c r="AV41" s="376">
        <v>0</v>
      </c>
      <c r="AW41" s="376">
        <v>0</v>
      </c>
      <c r="AX41" s="376">
        <v>0</v>
      </c>
      <c r="AY41" s="376">
        <v>0</v>
      </c>
      <c r="AZ41" s="376"/>
      <c r="BA41" s="376">
        <v>0</v>
      </c>
      <c r="BB41" s="376">
        <v>0</v>
      </c>
      <c r="BC41" s="376">
        <v>0</v>
      </c>
      <c r="BD41" s="376">
        <v>0</v>
      </c>
      <c r="BE41" s="376"/>
      <c r="BF41" s="376">
        <v>0</v>
      </c>
      <c r="BG41" s="376">
        <v>0</v>
      </c>
      <c r="BH41" s="376">
        <v>0</v>
      </c>
      <c r="BI41" s="376">
        <v>0</v>
      </c>
    </row>
    <row r="42" spans="1:61">
      <c r="A42" s="25"/>
      <c r="B42" s="163"/>
      <c r="C42" s="26"/>
      <c r="D42" s="26"/>
      <c r="E42" s="27"/>
      <c r="F42" s="34"/>
      <c r="G42" s="27"/>
      <c r="H42" s="34"/>
      <c r="I42" s="34"/>
      <c r="J42" s="34"/>
      <c r="K42" s="273"/>
      <c r="L42" s="274"/>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376"/>
      <c r="AJ42" s="376"/>
      <c r="AK42" s="376"/>
      <c r="AL42" s="700"/>
      <c r="AM42" s="700"/>
      <c r="AN42" s="700"/>
      <c r="AO42" s="700"/>
      <c r="AP42" s="376"/>
      <c r="AQ42" s="700"/>
      <c r="AR42" s="700"/>
      <c r="AS42" s="700"/>
      <c r="AT42" s="700"/>
      <c r="AU42" s="376"/>
      <c r="AV42" s="376"/>
      <c r="AW42" s="376"/>
      <c r="AX42" s="376"/>
      <c r="AY42" s="376"/>
      <c r="AZ42" s="376"/>
      <c r="BA42" s="376"/>
      <c r="BB42" s="376"/>
      <c r="BC42" s="376"/>
      <c r="BD42" s="376"/>
      <c r="BE42" s="376"/>
      <c r="BF42" s="376"/>
      <c r="BG42" s="376"/>
      <c r="BH42" s="376"/>
      <c r="BI42" s="376"/>
    </row>
    <row r="43" spans="1:61">
      <c r="A43" s="686" t="s">
        <v>1128</v>
      </c>
      <c r="B43" s="687"/>
      <c r="C43" s="688"/>
      <c r="D43" s="688"/>
      <c r="E43" s="689"/>
      <c r="F43" s="696">
        <f>SF!F43</f>
        <v>-103.56143333397094</v>
      </c>
      <c r="G43" s="689"/>
      <c r="H43" s="690"/>
      <c r="I43" s="690"/>
      <c r="J43" s="690"/>
      <c r="K43" s="273"/>
      <c r="L43" s="274"/>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376"/>
      <c r="AJ43" s="376"/>
      <c r="AK43" s="376"/>
      <c r="AL43" s="700">
        <v>1</v>
      </c>
      <c r="AM43" s="700">
        <v>1</v>
      </c>
      <c r="AN43" s="700">
        <v>1</v>
      </c>
      <c r="AO43" s="700">
        <v>1</v>
      </c>
      <c r="AP43" s="376"/>
      <c r="AQ43" s="700">
        <v>1</v>
      </c>
      <c r="AR43" s="700">
        <v>1</v>
      </c>
      <c r="AS43" s="700">
        <v>1</v>
      </c>
      <c r="AT43" s="700">
        <v>1</v>
      </c>
      <c r="AU43" s="376"/>
      <c r="AV43" s="700">
        <v>1</v>
      </c>
      <c r="AW43" s="700">
        <v>1</v>
      </c>
      <c r="AX43" s="700">
        <v>1</v>
      </c>
      <c r="AY43" s="700">
        <v>1</v>
      </c>
      <c r="AZ43" s="376"/>
      <c r="BA43" s="700">
        <v>1</v>
      </c>
      <c r="BB43" s="700">
        <v>1</v>
      </c>
      <c r="BC43" s="700">
        <v>1</v>
      </c>
      <c r="BD43" s="700">
        <v>1</v>
      </c>
      <c r="BE43" s="376"/>
      <c r="BF43" s="700">
        <v>1</v>
      </c>
      <c r="BG43" s="700">
        <v>1</v>
      </c>
      <c r="BH43" s="700">
        <v>1</v>
      </c>
      <c r="BI43" s="700">
        <v>1</v>
      </c>
    </row>
    <row r="44" spans="1:61">
      <c r="A44" s="686"/>
      <c r="B44" s="687"/>
      <c r="C44" s="688"/>
      <c r="D44" s="688"/>
      <c r="E44" s="689"/>
      <c r="F44" s="690"/>
      <c r="G44" s="689"/>
      <c r="H44" s="690"/>
      <c r="I44" s="690"/>
      <c r="J44" s="690"/>
      <c r="K44" s="273"/>
      <c r="L44" s="274"/>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376"/>
      <c r="AJ44" s="376"/>
      <c r="AK44" s="376"/>
      <c r="AL44" s="700"/>
      <c r="AM44" s="700"/>
      <c r="AN44" s="700"/>
      <c r="AO44" s="700"/>
      <c r="AP44" s="376"/>
      <c r="AQ44" s="700"/>
      <c r="AR44" s="700"/>
      <c r="AS44" s="700"/>
      <c r="AT44" s="700"/>
      <c r="AU44" s="376"/>
      <c r="AV44" s="700"/>
      <c r="AW44" s="700"/>
      <c r="AX44" s="700"/>
      <c r="AY44" s="700"/>
      <c r="AZ44" s="376"/>
      <c r="BA44" s="700"/>
      <c r="BB44" s="700"/>
      <c r="BC44" s="700"/>
      <c r="BD44" s="700"/>
      <c r="BE44" s="376"/>
      <c r="BF44" s="700"/>
      <c r="BG44" s="700"/>
      <c r="BH44" s="700"/>
      <c r="BI44" s="700"/>
    </row>
    <row r="45" spans="1:61">
      <c r="A45" s="686" t="s">
        <v>1129</v>
      </c>
      <c r="B45" s="687"/>
      <c r="C45" s="688"/>
      <c r="D45" s="688"/>
      <c r="E45" s="689"/>
      <c r="F45" s="690"/>
      <c r="G45" s="689"/>
      <c r="H45" s="690"/>
      <c r="I45" s="690"/>
      <c r="J45" s="690"/>
      <c r="K45" s="273"/>
      <c r="L45" s="274"/>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376"/>
      <c r="AJ45" s="376"/>
      <c r="AK45" s="376"/>
      <c r="AL45" s="700"/>
      <c r="AM45" s="700"/>
      <c r="AN45" s="700"/>
      <c r="AO45" s="700"/>
      <c r="AP45" s="376"/>
      <c r="AQ45" s="700"/>
      <c r="AR45" s="700"/>
      <c r="AS45" s="700"/>
      <c r="AT45" s="700"/>
      <c r="AU45" s="376"/>
      <c r="AV45" s="700"/>
      <c r="AW45" s="700"/>
      <c r="AX45" s="700"/>
      <c r="AY45" s="700"/>
      <c r="AZ45" s="376"/>
      <c r="BA45" s="700"/>
      <c r="BB45" s="700"/>
      <c r="BC45" s="700"/>
      <c r="BD45" s="700"/>
      <c r="BE45" s="376"/>
      <c r="BF45" s="700"/>
      <c r="BG45" s="700"/>
      <c r="BH45" s="700"/>
      <c r="BI45" s="700"/>
    </row>
    <row r="46" spans="1:61">
      <c r="A46" s="686" t="s">
        <v>1130</v>
      </c>
      <c r="B46" s="687"/>
      <c r="C46" s="688"/>
      <c r="D46" s="688"/>
      <c r="E46" s="689"/>
      <c r="F46" s="690"/>
      <c r="G46" s="691"/>
      <c r="H46" s="696">
        <f>SF!H46</f>
        <v>3.7668894816411469</v>
      </c>
      <c r="I46" s="692"/>
      <c r="J46" s="696">
        <f>SF!J46</f>
        <v>5.6718136929156024</v>
      </c>
      <c r="K46" s="273"/>
      <c r="L46" s="274"/>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376"/>
      <c r="AJ46" s="376"/>
      <c r="AK46" s="376"/>
      <c r="AL46" s="700">
        <v>0</v>
      </c>
      <c r="AM46" s="700">
        <v>0</v>
      </c>
      <c r="AN46" s="700">
        <v>0</v>
      </c>
      <c r="AO46" s="700">
        <v>0</v>
      </c>
      <c r="AP46" s="376"/>
      <c r="AQ46" s="700">
        <v>0</v>
      </c>
      <c r="AR46" s="700">
        <v>0</v>
      </c>
      <c r="AS46" s="700">
        <v>0</v>
      </c>
      <c r="AT46" s="700">
        <v>0</v>
      </c>
      <c r="AU46" s="376"/>
      <c r="AV46" s="700">
        <v>0</v>
      </c>
      <c r="AW46" s="700">
        <v>0</v>
      </c>
      <c r="AX46" s="700">
        <v>0</v>
      </c>
      <c r="AY46" s="700">
        <v>0</v>
      </c>
      <c r="AZ46" s="376"/>
      <c r="BA46" s="700">
        <v>0</v>
      </c>
      <c r="BB46" s="700">
        <v>0</v>
      </c>
      <c r="BC46" s="700">
        <v>0</v>
      </c>
      <c r="BD46" s="700">
        <v>0</v>
      </c>
      <c r="BE46" s="376"/>
      <c r="BF46" s="700">
        <v>0</v>
      </c>
      <c r="BG46" s="700">
        <v>0</v>
      </c>
      <c r="BH46" s="700">
        <v>0</v>
      </c>
      <c r="BI46" s="700">
        <v>0</v>
      </c>
    </row>
    <row r="47" spans="1:61">
      <c r="A47" s="686" t="s">
        <v>1131</v>
      </c>
      <c r="B47" s="687"/>
      <c r="C47" s="688"/>
      <c r="D47" s="688"/>
      <c r="E47" s="689"/>
      <c r="F47" s="690"/>
      <c r="G47" s="696">
        <f>SF!G47</f>
        <v>3.2856246869242693</v>
      </c>
      <c r="H47" s="696">
        <f>SF!H47</f>
        <v>3.5397182492142409</v>
      </c>
      <c r="I47" s="696">
        <f>SF!I47</f>
        <v>7.0628515103002814</v>
      </c>
      <c r="J47" s="696">
        <f>SF!J47</f>
        <v>5.3297614737052639</v>
      </c>
      <c r="K47" s="273"/>
      <c r="L47" s="274"/>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376"/>
      <c r="AJ47" s="376"/>
      <c r="AK47" s="376"/>
      <c r="AL47" s="700">
        <v>1</v>
      </c>
      <c r="AM47" s="700">
        <v>1</v>
      </c>
      <c r="AN47" s="700">
        <v>1</v>
      </c>
      <c r="AO47" s="700">
        <v>1</v>
      </c>
      <c r="AP47" s="376"/>
      <c r="AQ47" s="700">
        <v>1</v>
      </c>
      <c r="AR47" s="700">
        <v>1</v>
      </c>
      <c r="AS47" s="700">
        <v>1</v>
      </c>
      <c r="AT47" s="700">
        <v>1</v>
      </c>
      <c r="AU47" s="376"/>
      <c r="AV47" s="700">
        <v>1</v>
      </c>
      <c r="AW47" s="700">
        <v>1</v>
      </c>
      <c r="AX47" s="700">
        <v>1</v>
      </c>
      <c r="AY47" s="700">
        <v>1</v>
      </c>
      <c r="AZ47" s="376"/>
      <c r="BA47" s="700">
        <v>1</v>
      </c>
      <c r="BB47" s="700">
        <v>1</v>
      </c>
      <c r="BC47" s="700">
        <v>1</v>
      </c>
      <c r="BD47" s="700">
        <v>1</v>
      </c>
      <c r="BE47" s="376"/>
      <c r="BF47" s="700">
        <v>1</v>
      </c>
      <c r="BG47" s="700">
        <v>1</v>
      </c>
      <c r="BH47" s="700">
        <v>1</v>
      </c>
      <c r="BI47" s="700">
        <v>1</v>
      </c>
    </row>
    <row r="48" spans="1:61">
      <c r="A48" s="112"/>
      <c r="B48" s="11"/>
      <c r="C48" s="11"/>
      <c r="D48" s="11"/>
      <c r="E48" s="191"/>
      <c r="F48" s="89"/>
      <c r="G48" s="191"/>
      <c r="H48" s="89"/>
      <c r="I48" s="89"/>
      <c r="J48" s="89"/>
      <c r="K48" s="273"/>
      <c r="L48" s="274"/>
      <c r="M48" s="376"/>
      <c r="N48" s="376"/>
      <c r="O48" s="376"/>
      <c r="P48" s="376"/>
      <c r="Q48" s="376"/>
      <c r="R48" s="376"/>
      <c r="S48" s="376"/>
      <c r="T48" s="376"/>
      <c r="U48" s="376"/>
      <c r="V48" s="376"/>
      <c r="W48" s="376"/>
      <c r="X48" s="376"/>
      <c r="Y48" s="376"/>
      <c r="Z48" s="376"/>
      <c r="AA48" s="376"/>
      <c r="AB48" s="376"/>
      <c r="AC48" s="376"/>
      <c r="AD48" s="376"/>
      <c r="AE48" s="376"/>
      <c r="AF48" s="376"/>
      <c r="AG48" s="376"/>
      <c r="AH48" s="376"/>
      <c r="AI48" s="376"/>
      <c r="AJ48" s="376"/>
      <c r="AK48" s="376"/>
      <c r="AL48" s="700"/>
      <c r="AM48" s="700"/>
      <c r="AN48" s="700"/>
      <c r="AO48" s="700"/>
      <c r="AP48" s="376"/>
      <c r="AQ48" s="700"/>
      <c r="AR48" s="700"/>
      <c r="AS48" s="700"/>
      <c r="AT48" s="704"/>
      <c r="AU48" s="376"/>
      <c r="AV48" s="376"/>
      <c r="AW48" s="376"/>
      <c r="AX48" s="376"/>
      <c r="AY48" s="376"/>
      <c r="AZ48" s="376"/>
      <c r="BA48" s="376"/>
      <c r="BB48" s="376"/>
      <c r="BC48" s="376"/>
      <c r="BD48" s="376"/>
      <c r="BE48" s="376"/>
      <c r="BF48" s="376"/>
      <c r="BG48" s="376"/>
      <c r="BH48" s="376"/>
      <c r="BI48" s="376"/>
    </row>
    <row r="49" spans="1:61">
      <c r="A49" s="278" t="s">
        <v>1132</v>
      </c>
      <c r="B49" s="262"/>
      <c r="C49" s="262"/>
      <c r="D49" s="262"/>
      <c r="E49" s="263"/>
      <c r="F49" s="279"/>
      <c r="G49" s="280"/>
      <c r="H49" s="264"/>
      <c r="I49" s="279"/>
      <c r="J49" s="264"/>
      <c r="K49" s="281"/>
      <c r="L49" s="282"/>
      <c r="M49" s="650">
        <f>MAX(MAX(M50:M58),ABS(MIN(M50:M58)))</f>
        <v>0</v>
      </c>
      <c r="N49" s="650">
        <f>MAX(MAX(N50:N58),ABS(MIN(N50:N58)))</f>
        <v>0</v>
      </c>
      <c r="O49" s="650">
        <f>MAX(MAX(O50:O58),ABS(MIN(O50:O58)))</f>
        <v>0</v>
      </c>
      <c r="P49" s="650">
        <f>MAX(MAX(P50:P58),ABS(MIN(P50:P58)))</f>
        <v>0</v>
      </c>
      <c r="Q49" s="650"/>
      <c r="R49" s="650">
        <f>MAX(MAX(R50:R58),ABS(MIN(R50:R58)))</f>
        <v>0.5</v>
      </c>
      <c r="S49" s="650">
        <f>MAX(MAX(S50:S58),ABS(MIN(S50:S58)))</f>
        <v>0.15</v>
      </c>
      <c r="T49" s="650">
        <f>MAX(MAX(T50:T58),ABS(MIN(T50:T58)))</f>
        <v>0.5</v>
      </c>
      <c r="U49" s="650">
        <f>MAX(MAX(U50:U58),ABS(MIN(U50:U58)))</f>
        <v>0.15</v>
      </c>
      <c r="V49" s="650"/>
      <c r="W49" s="650">
        <f>MAX(MAX(W50:W58),ABS(MIN(W50:W58)))</f>
        <v>1</v>
      </c>
      <c r="X49" s="650">
        <f>MAX(MAX(X50:X58),ABS(MIN(X50:X58)))</f>
        <v>0.3</v>
      </c>
      <c r="Y49" s="650">
        <f>MAX(MAX(Y50:Y58),ABS(MIN(Y50:Y58)))</f>
        <v>1</v>
      </c>
      <c r="Z49" s="650">
        <f>MAX(MAX(Z50:Z58),ABS(MIN(Z50:Z58)))</f>
        <v>0.3</v>
      </c>
      <c r="AA49" s="650"/>
      <c r="AB49" s="650">
        <f>MAX(MAX(AB50:AB58),ABS(MIN(AB50:AB58)))</f>
        <v>1</v>
      </c>
      <c r="AC49" s="650">
        <f>MAX(MAX(AC50:AC58),ABS(MIN(AC50:AC58)))</f>
        <v>1</v>
      </c>
      <c r="AD49" s="650">
        <f>MAX(MAX(AD50:AD58),ABS(MIN(AD50:AD58)))</f>
        <v>1</v>
      </c>
      <c r="AE49" s="650">
        <f>MAX(MAX(AE50:AE58),ABS(MIN(AE50:AE58)))</f>
        <v>1</v>
      </c>
      <c r="AF49" s="650"/>
      <c r="AG49" s="650">
        <f>MAX(MAX(AG50:AG58),ABS(MIN(AG50:AG58)))</f>
        <v>1</v>
      </c>
      <c r="AH49" s="650">
        <f>MAX(MAX(AH50:AH58),ABS(MIN(AH50:AH58)))</f>
        <v>1</v>
      </c>
      <c r="AI49" s="650">
        <f>MAX(MAX(AI50:AI58),ABS(MIN(AI50:AI58)))</f>
        <v>1</v>
      </c>
      <c r="AJ49" s="650">
        <f>MAX(MAX(AJ50:AJ58),ABS(MIN(AJ50:AJ58)))</f>
        <v>1</v>
      </c>
      <c r="AK49" s="650"/>
      <c r="AL49" s="708">
        <f>MAX(MAX(AL50:AL63),ABS(MIN(AL50:AL63)))</f>
        <v>0</v>
      </c>
      <c r="AM49" s="708">
        <f>MAX(MAX(AM50:AM63),ABS(MIN(AM50:AM63)))</f>
        <v>0</v>
      </c>
      <c r="AN49" s="708">
        <f>MAX(MAX(AN50:AN63),ABS(MIN(AN50:AN63)))</f>
        <v>0</v>
      </c>
      <c r="AO49" s="708">
        <f>MAX(MAX(AO50:AO63),ABS(MIN(AO50:AO63)))</f>
        <v>0</v>
      </c>
      <c r="AP49" s="376"/>
      <c r="AQ49" s="708">
        <f>MAX(MAX(AQ50:AQ63),ABS(MIN(AQ50:AQ63)))</f>
        <v>0.5</v>
      </c>
      <c r="AR49" s="708">
        <f>MAX(MAX(AR50:AR63),ABS(MIN(AR50:AR63)))</f>
        <v>0.15</v>
      </c>
      <c r="AS49" s="708">
        <f>MAX(MAX(AS50:AS63),ABS(MIN(AS50:AS63)))</f>
        <v>0.5</v>
      </c>
      <c r="AT49" s="708">
        <f>MAX(MAX(AT50:AT63),ABS(MIN(AT50:AT63)))</f>
        <v>0.15</v>
      </c>
      <c r="AU49" s="376"/>
      <c r="AV49" s="708">
        <f>MAX(MAX(AV50:AV63),ABS(MIN(AV50:AV63)))</f>
        <v>1</v>
      </c>
      <c r="AW49" s="708">
        <f>MAX(MAX(AW50:AW63),ABS(MIN(AW50:AW63)))</f>
        <v>0.3</v>
      </c>
      <c r="AX49" s="708">
        <f>MAX(MAX(AX50:AX63),ABS(MIN(AX50:AX63)))</f>
        <v>1</v>
      </c>
      <c r="AY49" s="708">
        <f>MAX(MAX(AY50:AY63),ABS(MIN(AY50:AY63)))</f>
        <v>0.3</v>
      </c>
      <c r="AZ49" s="376"/>
      <c r="BA49" s="708">
        <f>MAX(MAX(BA50:BA63),ABS(MIN(BA50:BA63)))</f>
        <v>1</v>
      </c>
      <c r="BB49" s="708">
        <f>MAX(MAX(BB50:BB63),ABS(MIN(BB50:BB63)))</f>
        <v>1</v>
      </c>
      <c r="BC49" s="708">
        <f>MAX(MAX(BC50:BC63),ABS(MIN(BC50:BC63)))</f>
        <v>1</v>
      </c>
      <c r="BD49" s="708">
        <f>MAX(MAX(BD50:BD63),ABS(MIN(BD50:BD63)))</f>
        <v>1</v>
      </c>
      <c r="BE49" s="376"/>
      <c r="BF49" s="708">
        <f>MAX(MAX(BF50:BF63),ABS(MIN(BF50:BF63)))</f>
        <v>1</v>
      </c>
      <c r="BG49" s="708">
        <f>MAX(MAX(BG50:BG63),ABS(MIN(BG50:BG63)))</f>
        <v>1</v>
      </c>
      <c r="BH49" s="708">
        <f>MAX(MAX(BH50:BH63),ABS(MIN(BH50:BH63)))</f>
        <v>1</v>
      </c>
      <c r="BI49" s="708">
        <f>MAX(MAX(BI50:BI63),ABS(MIN(BI50:BI63)))</f>
        <v>1</v>
      </c>
    </row>
    <row r="50" spans="1:61">
      <c r="A50" s="25" t="s">
        <v>992</v>
      </c>
      <c r="B50" s="26"/>
      <c r="C50" s="26"/>
      <c r="D50" s="26"/>
      <c r="E50" s="27"/>
      <c r="F50" s="197"/>
      <c r="G50" s="211"/>
      <c r="H50" s="34"/>
      <c r="I50" s="211"/>
      <c r="J50" s="89"/>
      <c r="K50" s="275"/>
      <c r="L50" s="276"/>
      <c r="M50" s="477"/>
      <c r="N50" s="477"/>
      <c r="O50" s="477"/>
      <c r="P50" s="477"/>
      <c r="Q50" s="477"/>
      <c r="R50" s="477"/>
      <c r="S50" s="477"/>
      <c r="T50" s="477"/>
      <c r="U50" s="477"/>
      <c r="V50" s="477"/>
      <c r="W50" s="477"/>
      <c r="X50" s="477"/>
      <c r="Y50" s="477"/>
      <c r="Z50" s="477"/>
      <c r="AA50" s="477"/>
      <c r="AB50" s="477"/>
      <c r="AC50" s="477"/>
      <c r="AD50" s="477"/>
      <c r="AE50" s="477"/>
      <c r="AF50" s="477"/>
      <c r="AG50" s="477"/>
      <c r="AH50" s="477"/>
      <c r="AI50" s="477"/>
      <c r="AJ50" s="477"/>
      <c r="AK50" s="477"/>
      <c r="AL50" s="699"/>
      <c r="AM50" s="699"/>
      <c r="AN50" s="699"/>
      <c r="AO50" s="699"/>
      <c r="AP50" s="376"/>
      <c r="AQ50" s="699"/>
      <c r="AR50" s="699"/>
      <c r="AS50" s="699"/>
      <c r="AT50" s="699"/>
      <c r="AU50" s="376"/>
      <c r="AV50" s="477"/>
      <c r="AW50" s="477"/>
      <c r="AX50" s="477"/>
      <c r="AY50" s="477"/>
      <c r="AZ50" s="376"/>
      <c r="BA50" s="477"/>
      <c r="BB50" s="477"/>
      <c r="BC50" s="477"/>
      <c r="BD50" s="477"/>
      <c r="BE50" s="376"/>
      <c r="BF50" s="477"/>
      <c r="BG50" s="477"/>
      <c r="BH50" s="477"/>
      <c r="BI50" s="477"/>
    </row>
    <row r="51" spans="1:61">
      <c r="A51" s="25" t="s">
        <v>990</v>
      </c>
      <c r="B51" s="26" t="s">
        <v>988</v>
      </c>
      <c r="C51" s="26"/>
      <c r="D51" s="26"/>
      <c r="E51" s="27"/>
      <c r="F51" s="197"/>
      <c r="G51" s="172">
        <f>SF!G51</f>
        <v>0</v>
      </c>
      <c r="H51" s="34"/>
      <c r="I51" s="172">
        <f>SF!I51</f>
        <v>0</v>
      </c>
      <c r="J51" s="89"/>
      <c r="K51" s="275"/>
      <c r="L51" s="276"/>
      <c r="M51" s="477">
        <v>0</v>
      </c>
      <c r="N51" s="477">
        <v>0</v>
      </c>
      <c r="O51" s="477">
        <v>0</v>
      </c>
      <c r="P51" s="477">
        <v>0</v>
      </c>
      <c r="Q51" s="477"/>
      <c r="R51" s="477">
        <v>0</v>
      </c>
      <c r="S51" s="477">
        <v>0</v>
      </c>
      <c r="T51" s="477">
        <v>0</v>
      </c>
      <c r="U51" s="477">
        <v>0</v>
      </c>
      <c r="V51" s="477"/>
      <c r="W51" s="477">
        <v>0</v>
      </c>
      <c r="X51" s="477">
        <v>0</v>
      </c>
      <c r="Y51" s="477">
        <v>0</v>
      </c>
      <c r="Z51" s="477">
        <v>0</v>
      </c>
      <c r="AA51" s="477"/>
      <c r="AB51" s="477">
        <v>0</v>
      </c>
      <c r="AC51" s="477">
        <v>0</v>
      </c>
      <c r="AD51" s="477">
        <v>0</v>
      </c>
      <c r="AE51" s="477">
        <v>0</v>
      </c>
      <c r="AF51" s="477"/>
      <c r="AG51" s="477">
        <v>0</v>
      </c>
      <c r="AH51" s="477">
        <v>0</v>
      </c>
      <c r="AI51" s="477">
        <v>0</v>
      </c>
      <c r="AJ51" s="477">
        <v>0</v>
      </c>
      <c r="AK51" s="477"/>
      <c r="AL51" s="699">
        <v>0</v>
      </c>
      <c r="AM51" s="699">
        <v>0</v>
      </c>
      <c r="AN51" s="699">
        <v>0</v>
      </c>
      <c r="AO51" s="699">
        <v>0</v>
      </c>
      <c r="AP51" s="376"/>
      <c r="AQ51" s="699">
        <v>0</v>
      </c>
      <c r="AR51" s="699">
        <v>0</v>
      </c>
      <c r="AS51" s="699">
        <v>0</v>
      </c>
      <c r="AT51" s="699">
        <v>0</v>
      </c>
      <c r="AU51" s="376"/>
      <c r="AV51" s="477">
        <v>0</v>
      </c>
      <c r="AW51" s="477">
        <v>0</v>
      </c>
      <c r="AX51" s="477">
        <v>0</v>
      </c>
      <c r="AY51" s="477">
        <v>0</v>
      </c>
      <c r="AZ51" s="376"/>
      <c r="BA51" s="477">
        <v>0</v>
      </c>
      <c r="BB51" s="477">
        <v>0</v>
      </c>
      <c r="BC51" s="477">
        <v>0</v>
      </c>
      <c r="BD51" s="477">
        <v>0</v>
      </c>
      <c r="BE51" s="376"/>
      <c r="BF51" s="477">
        <v>0</v>
      </c>
      <c r="BG51" s="477">
        <v>0</v>
      </c>
      <c r="BH51" s="477">
        <v>0</v>
      </c>
      <c r="BI51" s="477">
        <v>0</v>
      </c>
    </row>
    <row r="52" spans="1:61">
      <c r="A52" s="25" t="s">
        <v>991</v>
      </c>
      <c r="B52" s="26" t="s">
        <v>989</v>
      </c>
      <c r="C52" s="26"/>
      <c r="D52" s="26"/>
      <c r="E52" s="27"/>
      <c r="F52" s="197"/>
      <c r="G52" s="172">
        <f>SF!G52</f>
        <v>94.821839999999995</v>
      </c>
      <c r="H52" s="34"/>
      <c r="I52" s="172">
        <f>SF!I52</f>
        <v>785.12483520000001</v>
      </c>
      <c r="J52" s="89"/>
      <c r="K52" s="275"/>
      <c r="L52" s="276"/>
      <c r="M52" s="268">
        <v>0</v>
      </c>
      <c r="N52" s="268">
        <v>0</v>
      </c>
      <c r="O52" s="268">
        <v>0</v>
      </c>
      <c r="P52" s="268">
        <v>0</v>
      </c>
      <c r="Q52" s="268"/>
      <c r="R52" s="268">
        <v>0.5</v>
      </c>
      <c r="S52" s="268">
        <f>0.3*0.5</f>
        <v>0.15</v>
      </c>
      <c r="T52" s="268">
        <v>0.5</v>
      </c>
      <c r="U52" s="268">
        <f>0.3*0.5</f>
        <v>0.15</v>
      </c>
      <c r="V52" s="268"/>
      <c r="W52" s="268">
        <v>1</v>
      </c>
      <c r="X52" s="268">
        <f>0.3*1</f>
        <v>0.3</v>
      </c>
      <c r="Y52" s="268">
        <v>1</v>
      </c>
      <c r="Z52" s="268">
        <f>0.3*1</f>
        <v>0.3</v>
      </c>
      <c r="AA52" s="268"/>
      <c r="AB52" s="268">
        <v>1</v>
      </c>
      <c r="AC52" s="268">
        <v>0.3</v>
      </c>
      <c r="AD52" s="268">
        <v>1</v>
      </c>
      <c r="AE52" s="268">
        <v>0.3</v>
      </c>
      <c r="AF52" s="268"/>
      <c r="AG52" s="268">
        <v>1</v>
      </c>
      <c r="AH52" s="268">
        <v>0.3</v>
      </c>
      <c r="AI52" s="268">
        <v>1</v>
      </c>
      <c r="AJ52" s="268">
        <v>0.3</v>
      </c>
      <c r="AK52" s="268"/>
      <c r="AL52" s="699">
        <v>0</v>
      </c>
      <c r="AM52" s="699">
        <v>0</v>
      </c>
      <c r="AN52" s="699">
        <v>0</v>
      </c>
      <c r="AO52" s="699">
        <v>0</v>
      </c>
      <c r="AP52" s="376"/>
      <c r="AQ52" s="699">
        <v>0.5</v>
      </c>
      <c r="AR52" s="699">
        <f>0.3*0.5</f>
        <v>0.15</v>
      </c>
      <c r="AS52" s="699">
        <v>0.5</v>
      </c>
      <c r="AT52" s="699">
        <f>0.3*0.5</f>
        <v>0.15</v>
      </c>
      <c r="AU52" s="376"/>
      <c r="AV52" s="268">
        <v>1</v>
      </c>
      <c r="AW52" s="268">
        <f>0.3*1</f>
        <v>0.3</v>
      </c>
      <c r="AX52" s="268">
        <v>1</v>
      </c>
      <c r="AY52" s="268">
        <f>0.3*1</f>
        <v>0.3</v>
      </c>
      <c r="AZ52" s="376"/>
      <c r="BA52" s="268">
        <v>1</v>
      </c>
      <c r="BB52" s="268">
        <v>0.3</v>
      </c>
      <c r="BC52" s="268">
        <v>1</v>
      </c>
      <c r="BD52" s="268">
        <v>0.3</v>
      </c>
      <c r="BE52" s="376"/>
      <c r="BF52" s="268">
        <v>1</v>
      </c>
      <c r="BG52" s="268">
        <v>0.3</v>
      </c>
      <c r="BH52" s="268">
        <v>1</v>
      </c>
      <c r="BI52" s="268">
        <v>0.3</v>
      </c>
    </row>
    <row r="53" spans="1:61">
      <c r="A53" s="25"/>
      <c r="B53" s="26"/>
      <c r="C53" s="26"/>
      <c r="D53" s="26"/>
      <c r="E53" s="27"/>
      <c r="F53" s="197"/>
      <c r="G53" s="211"/>
      <c r="H53" s="34"/>
      <c r="I53" s="211"/>
      <c r="J53" s="89"/>
      <c r="K53" s="275"/>
      <c r="L53" s="276"/>
      <c r="M53" s="268"/>
      <c r="N53" s="268"/>
      <c r="O53" s="268"/>
      <c r="P53" s="268"/>
      <c r="Q53" s="268"/>
      <c r="R53" s="268"/>
      <c r="S53" s="268"/>
      <c r="T53" s="268"/>
      <c r="U53" s="268"/>
      <c r="V53" s="268"/>
      <c r="W53" s="268"/>
      <c r="X53" s="268"/>
      <c r="Y53" s="268"/>
      <c r="Z53" s="268"/>
      <c r="AA53" s="268"/>
      <c r="AB53" s="268"/>
      <c r="AC53" s="268"/>
      <c r="AD53" s="268"/>
      <c r="AE53" s="268"/>
      <c r="AF53" s="268"/>
      <c r="AG53" s="268"/>
      <c r="AH53" s="268"/>
      <c r="AI53" s="268"/>
      <c r="AJ53" s="268"/>
      <c r="AK53" s="268"/>
      <c r="AL53" s="699"/>
      <c r="AM53" s="699"/>
      <c r="AN53" s="699"/>
      <c r="AO53" s="699"/>
      <c r="AP53" s="376"/>
      <c r="AQ53" s="699"/>
      <c r="AR53" s="699"/>
      <c r="AS53" s="699"/>
      <c r="AT53" s="699"/>
      <c r="AU53" s="376"/>
      <c r="AV53" s="268"/>
      <c r="AW53" s="268"/>
      <c r="AX53" s="268"/>
      <c r="AY53" s="268"/>
      <c r="AZ53" s="376"/>
      <c r="BA53" s="268"/>
      <c r="BB53" s="268"/>
      <c r="BC53" s="268"/>
      <c r="BD53" s="268"/>
      <c r="BE53" s="376"/>
      <c r="BF53" s="268"/>
      <c r="BG53" s="268"/>
      <c r="BH53" s="268"/>
      <c r="BI53" s="268"/>
    </row>
    <row r="54" spans="1:61">
      <c r="A54" s="25" t="s">
        <v>1012</v>
      </c>
      <c r="B54" s="26"/>
      <c r="C54" s="26"/>
      <c r="D54" s="26"/>
      <c r="E54" s="27"/>
      <c r="F54" s="197"/>
      <c r="G54" s="211"/>
      <c r="H54" s="34"/>
      <c r="I54" s="211"/>
      <c r="J54" s="89"/>
      <c r="K54" s="289"/>
      <c r="L54" s="274"/>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376"/>
      <c r="AJ54" s="376"/>
      <c r="AK54" s="376"/>
      <c r="AL54" s="700"/>
      <c r="AM54" s="700"/>
      <c r="AN54" s="700"/>
      <c r="AO54" s="700"/>
      <c r="AP54" s="376"/>
      <c r="AQ54" s="700"/>
      <c r="AR54" s="700"/>
      <c r="AS54" s="700"/>
      <c r="AT54" s="700"/>
      <c r="AU54" s="376"/>
      <c r="AV54" s="376"/>
      <c r="AW54" s="376"/>
      <c r="AX54" s="376"/>
      <c r="AY54" s="376"/>
      <c r="AZ54" s="376"/>
      <c r="BA54" s="376"/>
      <c r="BB54" s="376"/>
      <c r="BC54" s="376"/>
      <c r="BD54" s="376"/>
      <c r="BE54" s="376"/>
      <c r="BF54" s="376"/>
      <c r="BG54" s="376"/>
      <c r="BH54" s="376"/>
      <c r="BI54" s="376"/>
    </row>
    <row r="55" spans="1:61">
      <c r="A55" s="25" t="s">
        <v>993</v>
      </c>
      <c r="B55" s="26" t="s">
        <v>995</v>
      </c>
      <c r="C55" s="26"/>
      <c r="D55" s="26"/>
      <c r="E55" s="27"/>
      <c r="F55" s="197"/>
      <c r="G55" s="172">
        <f>SF!G55</f>
        <v>0</v>
      </c>
      <c r="H55" s="34"/>
      <c r="I55" s="172">
        <f>SF!I55</f>
        <v>0</v>
      </c>
      <c r="J55" s="89"/>
      <c r="K55" s="289"/>
      <c r="L55" s="274"/>
      <c r="M55" s="376">
        <v>0</v>
      </c>
      <c r="N55" s="376">
        <v>0</v>
      </c>
      <c r="O55" s="376">
        <v>0</v>
      </c>
      <c r="P55" s="376">
        <v>0</v>
      </c>
      <c r="Q55" s="376"/>
      <c r="R55" s="376">
        <v>0</v>
      </c>
      <c r="S55" s="376">
        <v>0</v>
      </c>
      <c r="T55" s="376">
        <v>0</v>
      </c>
      <c r="U55" s="376">
        <v>0</v>
      </c>
      <c r="V55" s="376"/>
      <c r="W55" s="376">
        <v>0</v>
      </c>
      <c r="X55" s="376">
        <v>0</v>
      </c>
      <c r="Y55" s="376">
        <v>0</v>
      </c>
      <c r="Z55" s="376">
        <v>0</v>
      </c>
      <c r="AA55" s="376"/>
      <c r="AB55" s="376">
        <v>0</v>
      </c>
      <c r="AC55" s="376">
        <v>0</v>
      </c>
      <c r="AD55" s="376">
        <v>0</v>
      </c>
      <c r="AE55" s="376">
        <v>0</v>
      </c>
      <c r="AF55" s="376"/>
      <c r="AG55" s="376">
        <v>0</v>
      </c>
      <c r="AH55" s="376">
        <v>0</v>
      </c>
      <c r="AI55" s="376">
        <v>0</v>
      </c>
      <c r="AJ55" s="376">
        <v>0</v>
      </c>
      <c r="AK55" s="376"/>
      <c r="AL55" s="700">
        <v>0</v>
      </c>
      <c r="AM55" s="700">
        <v>0</v>
      </c>
      <c r="AN55" s="700">
        <v>0</v>
      </c>
      <c r="AO55" s="700">
        <v>0</v>
      </c>
      <c r="AP55" s="376"/>
      <c r="AQ55" s="700">
        <v>0</v>
      </c>
      <c r="AR55" s="700">
        <v>0</v>
      </c>
      <c r="AS55" s="700">
        <v>0</v>
      </c>
      <c r="AT55" s="700">
        <v>0</v>
      </c>
      <c r="AU55" s="376"/>
      <c r="AV55" s="376">
        <v>0</v>
      </c>
      <c r="AW55" s="376">
        <v>0</v>
      </c>
      <c r="AX55" s="376">
        <v>0</v>
      </c>
      <c r="AY55" s="376">
        <v>0</v>
      </c>
      <c r="AZ55" s="376"/>
      <c r="BA55" s="376">
        <v>0</v>
      </c>
      <c r="BB55" s="376">
        <v>0</v>
      </c>
      <c r="BC55" s="376">
        <v>0</v>
      </c>
      <c r="BD55" s="376">
        <v>0</v>
      </c>
      <c r="BE55" s="376"/>
      <c r="BF55" s="376">
        <v>0</v>
      </c>
      <c r="BG55" s="376">
        <v>0</v>
      </c>
      <c r="BH55" s="376">
        <v>0</v>
      </c>
      <c r="BI55" s="376">
        <v>0</v>
      </c>
    </row>
    <row r="56" spans="1:61">
      <c r="A56" s="25" t="s">
        <v>994</v>
      </c>
      <c r="B56" s="26" t="s">
        <v>996</v>
      </c>
      <c r="C56" s="26"/>
      <c r="D56" s="26"/>
      <c r="E56" s="27"/>
      <c r="F56" s="197"/>
      <c r="G56" s="172">
        <f>SF!G56</f>
        <v>4.5540000000000003</v>
      </c>
      <c r="H56" s="34"/>
      <c r="I56" s="172">
        <f>SF!I56</f>
        <v>37.70712000000001</v>
      </c>
      <c r="J56" s="89"/>
      <c r="K56" s="289"/>
      <c r="L56" s="274"/>
      <c r="M56" s="376">
        <v>0</v>
      </c>
      <c r="N56" s="376">
        <v>0</v>
      </c>
      <c r="O56" s="376">
        <v>0</v>
      </c>
      <c r="P56" s="376">
        <v>0</v>
      </c>
      <c r="Q56" s="376"/>
      <c r="R56" s="376">
        <v>0</v>
      </c>
      <c r="S56" s="376">
        <v>0</v>
      </c>
      <c r="T56" s="376">
        <v>0</v>
      </c>
      <c r="U56" s="376">
        <v>0</v>
      </c>
      <c r="V56" s="376"/>
      <c r="W56" s="376">
        <v>0</v>
      </c>
      <c r="X56" s="376">
        <v>0</v>
      </c>
      <c r="Y56" s="376">
        <v>0</v>
      </c>
      <c r="Z56" s="376">
        <v>0</v>
      </c>
      <c r="AA56" s="376"/>
      <c r="AB56" s="376">
        <v>1</v>
      </c>
      <c r="AC56" s="376">
        <v>1</v>
      </c>
      <c r="AD56" s="376">
        <v>1</v>
      </c>
      <c r="AE56" s="376">
        <v>1</v>
      </c>
      <c r="AF56" s="376"/>
      <c r="AG56" s="376">
        <v>1</v>
      </c>
      <c r="AH56" s="376">
        <v>1</v>
      </c>
      <c r="AI56" s="376">
        <v>1</v>
      </c>
      <c r="AJ56" s="376">
        <v>1</v>
      </c>
      <c r="AK56" s="376"/>
      <c r="AL56" s="700">
        <v>0</v>
      </c>
      <c r="AM56" s="700">
        <v>0</v>
      </c>
      <c r="AN56" s="700">
        <v>0</v>
      </c>
      <c r="AO56" s="700">
        <v>0</v>
      </c>
      <c r="AP56" s="376"/>
      <c r="AQ56" s="700">
        <v>0</v>
      </c>
      <c r="AR56" s="700">
        <v>0</v>
      </c>
      <c r="AS56" s="700">
        <v>0</v>
      </c>
      <c r="AT56" s="700">
        <v>0</v>
      </c>
      <c r="AU56" s="376"/>
      <c r="AV56" s="376">
        <v>0</v>
      </c>
      <c r="AW56" s="376">
        <v>0</v>
      </c>
      <c r="AX56" s="376">
        <v>0</v>
      </c>
      <c r="AY56" s="376">
        <v>0</v>
      </c>
      <c r="AZ56" s="376"/>
      <c r="BA56" s="376">
        <v>1</v>
      </c>
      <c r="BB56" s="376">
        <v>1</v>
      </c>
      <c r="BC56" s="376">
        <v>1</v>
      </c>
      <c r="BD56" s="376">
        <v>1</v>
      </c>
      <c r="BE56" s="376"/>
      <c r="BF56" s="376">
        <v>1</v>
      </c>
      <c r="BG56" s="376">
        <v>1</v>
      </c>
      <c r="BH56" s="376">
        <v>1</v>
      </c>
      <c r="BI56" s="376">
        <v>1</v>
      </c>
    </row>
    <row r="57" spans="1:61">
      <c r="A57" s="25"/>
      <c r="B57" s="26"/>
      <c r="C57" s="26"/>
      <c r="D57" s="26"/>
      <c r="E57" s="27"/>
      <c r="F57" s="197"/>
      <c r="G57" s="211"/>
      <c r="H57" s="34"/>
      <c r="I57" s="211"/>
      <c r="J57" s="89"/>
      <c r="K57" s="289"/>
      <c r="L57" s="274"/>
      <c r="M57" s="376"/>
      <c r="N57" s="376"/>
      <c r="O57" s="376"/>
      <c r="P57" s="376"/>
      <c r="Q57" s="376"/>
      <c r="R57" s="376"/>
      <c r="S57" s="376"/>
      <c r="T57" s="376"/>
      <c r="U57" s="376"/>
      <c r="V57" s="376"/>
      <c r="W57" s="376"/>
      <c r="X57" s="376"/>
      <c r="Y57" s="376"/>
      <c r="Z57" s="376"/>
      <c r="AA57" s="376"/>
      <c r="AB57" s="376"/>
      <c r="AC57" s="376"/>
      <c r="AD57" s="376"/>
      <c r="AE57" s="376"/>
      <c r="AF57" s="376"/>
      <c r="AG57" s="376"/>
      <c r="AH57" s="376"/>
      <c r="AI57" s="376"/>
      <c r="AJ57" s="376"/>
      <c r="AK57" s="376"/>
      <c r="AL57" s="700"/>
      <c r="AM57" s="700"/>
      <c r="AN57" s="700"/>
      <c r="AO57" s="700"/>
      <c r="AP57" s="376"/>
      <c r="AQ57" s="700"/>
      <c r="AR57" s="700"/>
      <c r="AS57" s="700"/>
      <c r="AT57" s="700"/>
      <c r="AU57" s="376"/>
      <c r="AV57" s="376"/>
      <c r="AW57" s="376"/>
      <c r="AX57" s="376"/>
      <c r="AY57" s="376"/>
      <c r="AZ57" s="376"/>
      <c r="BA57" s="376"/>
      <c r="BB57" s="376"/>
      <c r="BC57" s="376"/>
      <c r="BD57" s="376"/>
      <c r="BE57" s="376"/>
      <c r="BF57" s="376"/>
      <c r="BG57" s="376"/>
      <c r="BH57" s="376"/>
      <c r="BI57" s="376"/>
    </row>
    <row r="58" spans="1:61">
      <c r="A58" s="25" t="s">
        <v>217</v>
      </c>
      <c r="B58" s="26" t="s">
        <v>211</v>
      </c>
      <c r="C58" s="26"/>
      <c r="D58" s="26"/>
      <c r="E58" s="27"/>
      <c r="F58" s="197"/>
      <c r="G58" s="196">
        <f>SF!G58</f>
        <v>26.798532263701709</v>
      </c>
      <c r="H58" s="199"/>
      <c r="I58" s="172">
        <f>SF!I58</f>
        <v>147.28381289471153</v>
      </c>
      <c r="J58" s="195"/>
      <c r="K58" s="289"/>
      <c r="L58" s="274"/>
      <c r="M58" s="376">
        <v>0</v>
      </c>
      <c r="N58" s="376">
        <v>0</v>
      </c>
      <c r="O58" s="376">
        <v>0</v>
      </c>
      <c r="P58" s="376">
        <v>0</v>
      </c>
      <c r="Q58" s="376"/>
      <c r="R58" s="376">
        <v>0.5</v>
      </c>
      <c r="S58" s="268">
        <f>0.3*0.5</f>
        <v>0.15</v>
      </c>
      <c r="T58" s="376">
        <v>0.5</v>
      </c>
      <c r="U58" s="268">
        <f>0.3*0.5</f>
        <v>0.15</v>
      </c>
      <c r="V58" s="268"/>
      <c r="W58" s="376">
        <v>1</v>
      </c>
      <c r="X58" s="268">
        <f>0.3*1</f>
        <v>0.3</v>
      </c>
      <c r="Y58" s="376">
        <v>1</v>
      </c>
      <c r="Z58" s="268">
        <f>0.3*1</f>
        <v>0.3</v>
      </c>
      <c r="AA58" s="268"/>
      <c r="AB58" s="376">
        <v>1</v>
      </c>
      <c r="AC58" s="376">
        <v>0.3</v>
      </c>
      <c r="AD58" s="376">
        <v>1</v>
      </c>
      <c r="AE58" s="376">
        <v>0.3</v>
      </c>
      <c r="AF58" s="376"/>
      <c r="AG58" s="376">
        <v>1</v>
      </c>
      <c r="AH58" s="376">
        <v>0.3</v>
      </c>
      <c r="AI58" s="376">
        <v>1</v>
      </c>
      <c r="AJ58" s="376">
        <v>0.3</v>
      </c>
      <c r="AK58" s="376"/>
      <c r="AL58" s="700">
        <v>0</v>
      </c>
      <c r="AM58" s="700">
        <v>0</v>
      </c>
      <c r="AN58" s="700">
        <v>0</v>
      </c>
      <c r="AO58" s="700">
        <v>0</v>
      </c>
      <c r="AP58" s="376"/>
      <c r="AQ58" s="700">
        <v>0.5</v>
      </c>
      <c r="AR58" s="699">
        <f>0.3*0.5</f>
        <v>0.15</v>
      </c>
      <c r="AS58" s="700">
        <v>0.5</v>
      </c>
      <c r="AT58" s="699">
        <f>0.3*0.5</f>
        <v>0.15</v>
      </c>
      <c r="AU58" s="376"/>
      <c r="AV58" s="376">
        <v>1</v>
      </c>
      <c r="AW58" s="268">
        <f>0.3*1</f>
        <v>0.3</v>
      </c>
      <c r="AX58" s="376">
        <v>1</v>
      </c>
      <c r="AY58" s="268">
        <f>0.3*1</f>
        <v>0.3</v>
      </c>
      <c r="AZ58" s="376"/>
      <c r="BA58" s="376">
        <v>1</v>
      </c>
      <c r="BB58" s="376">
        <v>0.3</v>
      </c>
      <c r="BC58" s="376">
        <v>1</v>
      </c>
      <c r="BD58" s="376">
        <v>0.3</v>
      </c>
      <c r="BE58" s="376"/>
      <c r="BF58" s="376">
        <v>1</v>
      </c>
      <c r="BG58" s="376">
        <v>0.3</v>
      </c>
      <c r="BH58" s="376">
        <v>1</v>
      </c>
      <c r="BI58" s="376">
        <v>0.3</v>
      </c>
    </row>
    <row r="59" spans="1:61">
      <c r="A59" s="69"/>
      <c r="B59" s="26"/>
      <c r="C59" s="26"/>
      <c r="D59" s="26"/>
      <c r="E59" s="27"/>
      <c r="F59" s="197"/>
      <c r="G59" s="211"/>
      <c r="H59" s="34"/>
      <c r="I59" s="197"/>
      <c r="J59" s="89"/>
      <c r="K59" s="289"/>
      <c r="L59" s="274"/>
      <c r="M59" s="376"/>
      <c r="N59" s="376"/>
      <c r="O59" s="376"/>
      <c r="P59" s="376"/>
      <c r="Q59" s="376"/>
      <c r="R59" s="376"/>
      <c r="S59" s="268"/>
      <c r="T59" s="376"/>
      <c r="U59" s="268"/>
      <c r="V59" s="268"/>
      <c r="W59" s="376"/>
      <c r="X59" s="268"/>
      <c r="Y59" s="376"/>
      <c r="Z59" s="268"/>
      <c r="AA59" s="268"/>
      <c r="AB59" s="376"/>
      <c r="AC59" s="376"/>
      <c r="AD59" s="376"/>
      <c r="AE59" s="376"/>
      <c r="AF59" s="376"/>
      <c r="AG59" s="376"/>
      <c r="AH59" s="376"/>
      <c r="AI59" s="376"/>
      <c r="AJ59" s="376"/>
      <c r="AK59" s="376"/>
      <c r="AL59" s="705"/>
      <c r="AM59" s="705"/>
      <c r="AN59" s="705"/>
      <c r="AO59" s="705"/>
      <c r="AP59" s="376"/>
      <c r="AQ59" s="700"/>
      <c r="AR59" s="700"/>
      <c r="AS59" s="700"/>
      <c r="AT59" s="700"/>
      <c r="AU59" s="376"/>
      <c r="AV59" s="376"/>
      <c r="AW59" s="268"/>
      <c r="AX59" s="376"/>
      <c r="AY59" s="268"/>
      <c r="AZ59" s="376"/>
      <c r="BA59" s="705"/>
      <c r="BB59" s="705"/>
      <c r="BC59" s="705"/>
      <c r="BD59" s="705"/>
      <c r="BE59" s="376"/>
      <c r="BF59" s="376"/>
      <c r="BG59" s="376"/>
      <c r="BH59" s="376"/>
      <c r="BI59" s="376"/>
    </row>
    <row r="60" spans="1:61">
      <c r="A60" s="693" t="s">
        <v>1133</v>
      </c>
      <c r="B60" s="688"/>
      <c r="C60" s="688"/>
      <c r="D60" s="688"/>
      <c r="E60" s="689"/>
      <c r="F60" s="620"/>
      <c r="G60" s="621"/>
      <c r="H60" s="690"/>
      <c r="I60" s="620"/>
      <c r="J60" s="269"/>
      <c r="K60" s="289"/>
      <c r="L60" s="274"/>
      <c r="M60" s="376"/>
      <c r="N60" s="376"/>
      <c r="O60" s="376"/>
      <c r="P60" s="376"/>
      <c r="Q60" s="376"/>
      <c r="R60" s="376"/>
      <c r="S60" s="268"/>
      <c r="T60" s="376"/>
      <c r="U60" s="268"/>
      <c r="V60" s="268"/>
      <c r="W60" s="376"/>
      <c r="X60" s="268"/>
      <c r="Y60" s="376"/>
      <c r="Z60" s="268"/>
      <c r="AA60" s="268"/>
      <c r="AB60" s="376"/>
      <c r="AC60" s="376"/>
      <c r="AD60" s="376"/>
      <c r="AE60" s="376"/>
      <c r="AF60" s="376"/>
      <c r="AG60" s="376"/>
      <c r="AH60" s="376"/>
      <c r="AI60" s="376"/>
      <c r="AJ60" s="376"/>
      <c r="AK60" s="376"/>
      <c r="AL60" s="705"/>
      <c r="AM60" s="705"/>
      <c r="AN60" s="705"/>
      <c r="AO60" s="705"/>
      <c r="AP60" s="376"/>
      <c r="AQ60" s="700"/>
      <c r="AR60" s="700"/>
      <c r="AS60" s="700"/>
      <c r="AT60" s="700"/>
      <c r="AU60" s="376"/>
      <c r="AV60" s="376"/>
      <c r="AW60" s="268"/>
      <c r="AX60" s="376"/>
      <c r="AY60" s="268"/>
      <c r="AZ60" s="376"/>
      <c r="BA60" s="705"/>
      <c r="BB60" s="705"/>
      <c r="BC60" s="705"/>
      <c r="BD60" s="705"/>
      <c r="BE60" s="376"/>
      <c r="BF60" s="376"/>
      <c r="BG60" s="376"/>
      <c r="BH60" s="376"/>
      <c r="BI60" s="376"/>
    </row>
    <row r="61" spans="1:61">
      <c r="A61" s="686" t="s">
        <v>1472</v>
      </c>
      <c r="B61" s="688" t="s">
        <v>1045</v>
      </c>
      <c r="C61" s="688"/>
      <c r="D61" s="688"/>
      <c r="E61" s="689"/>
      <c r="F61" s="620"/>
      <c r="G61" s="695">
        <f>SF!G61</f>
        <v>32.345729999999996</v>
      </c>
      <c r="H61" s="690"/>
      <c r="I61" s="695">
        <f>SF!I61</f>
        <v>29.111156999999999</v>
      </c>
      <c r="J61" s="269"/>
      <c r="K61" s="289"/>
      <c r="L61" s="274"/>
      <c r="M61" s="376"/>
      <c r="N61" s="376"/>
      <c r="O61" s="376"/>
      <c r="P61" s="376"/>
      <c r="Q61" s="376"/>
      <c r="R61" s="376"/>
      <c r="S61" s="268"/>
      <c r="T61" s="376"/>
      <c r="U61" s="268"/>
      <c r="V61" s="268"/>
      <c r="W61" s="376"/>
      <c r="X61" s="268"/>
      <c r="Y61" s="376"/>
      <c r="Z61" s="268"/>
      <c r="AA61" s="268"/>
      <c r="AB61" s="376"/>
      <c r="AC61" s="376"/>
      <c r="AD61" s="376"/>
      <c r="AE61" s="376"/>
      <c r="AF61" s="376"/>
      <c r="AG61" s="376"/>
      <c r="AH61" s="376"/>
      <c r="AI61" s="376"/>
      <c r="AJ61" s="376"/>
      <c r="AK61" s="376"/>
      <c r="AL61" s="700">
        <v>0</v>
      </c>
      <c r="AM61" s="700">
        <v>0</v>
      </c>
      <c r="AN61" s="700">
        <v>0</v>
      </c>
      <c r="AO61" s="700">
        <v>0</v>
      </c>
      <c r="AP61" s="376"/>
      <c r="AQ61" s="700">
        <v>0.5</v>
      </c>
      <c r="AR61" s="699">
        <f>0.3*0.5</f>
        <v>0.15</v>
      </c>
      <c r="AS61" s="700">
        <v>0.5</v>
      </c>
      <c r="AT61" s="699">
        <f>0.3*0.5</f>
        <v>0.15</v>
      </c>
      <c r="AU61" s="376"/>
      <c r="AV61" s="376">
        <v>1</v>
      </c>
      <c r="AW61" s="268">
        <f>0.3*1</f>
        <v>0.3</v>
      </c>
      <c r="AX61" s="376">
        <v>1</v>
      </c>
      <c r="AY61" s="268">
        <f>0.3*1</f>
        <v>0.3</v>
      </c>
      <c r="AZ61" s="376"/>
      <c r="BA61" s="376">
        <v>1</v>
      </c>
      <c r="BB61" s="376">
        <v>0.3</v>
      </c>
      <c r="BC61" s="376">
        <v>1</v>
      </c>
      <c r="BD61" s="376">
        <v>0.3</v>
      </c>
      <c r="BE61" s="376"/>
      <c r="BF61" s="376">
        <v>1</v>
      </c>
      <c r="BG61" s="376">
        <v>0.3</v>
      </c>
      <c r="BH61" s="376">
        <v>1</v>
      </c>
      <c r="BI61" s="376">
        <v>0.3</v>
      </c>
    </row>
    <row r="62" spans="1:61">
      <c r="A62" s="686"/>
      <c r="B62" s="688"/>
      <c r="C62" s="688"/>
      <c r="D62" s="688"/>
      <c r="E62" s="689"/>
      <c r="F62" s="620"/>
      <c r="G62" s="710"/>
      <c r="H62" s="690"/>
      <c r="I62" s="695"/>
      <c r="J62" s="269"/>
      <c r="K62" s="289"/>
      <c r="L62" s="274"/>
      <c r="M62" s="376"/>
      <c r="N62" s="376"/>
      <c r="O62" s="376"/>
      <c r="P62" s="376"/>
      <c r="Q62" s="376"/>
      <c r="R62" s="376"/>
      <c r="S62" s="268"/>
      <c r="T62" s="376"/>
      <c r="U62" s="268"/>
      <c r="V62" s="268"/>
      <c r="W62" s="376"/>
      <c r="X62" s="268"/>
      <c r="Y62" s="376"/>
      <c r="Z62" s="268"/>
      <c r="AA62" s="268"/>
      <c r="AB62" s="376"/>
      <c r="AC62" s="376"/>
      <c r="AD62" s="376"/>
      <c r="AE62" s="376"/>
      <c r="AF62" s="376"/>
      <c r="AG62" s="376"/>
      <c r="AH62" s="376"/>
      <c r="AI62" s="376"/>
      <c r="AJ62" s="376"/>
      <c r="AK62" s="376"/>
      <c r="AL62" s="700"/>
      <c r="AM62" s="700"/>
      <c r="AN62" s="700"/>
      <c r="AO62" s="700"/>
      <c r="AP62" s="376"/>
      <c r="AQ62" s="700"/>
      <c r="AR62" s="699"/>
      <c r="AS62" s="700"/>
      <c r="AT62" s="699"/>
      <c r="AU62" s="376"/>
      <c r="AV62" s="376"/>
      <c r="AW62" s="268"/>
      <c r="AX62" s="376"/>
      <c r="AY62" s="268"/>
      <c r="AZ62" s="376"/>
      <c r="BA62" s="376"/>
      <c r="BB62" s="376"/>
      <c r="BC62" s="376"/>
      <c r="BD62" s="376"/>
      <c r="BE62" s="376"/>
      <c r="BF62" s="376"/>
      <c r="BG62" s="376"/>
      <c r="BH62" s="376"/>
      <c r="BI62" s="376"/>
    </row>
    <row r="63" spans="1:61">
      <c r="A63" s="686" t="s">
        <v>1139</v>
      </c>
      <c r="B63" s="688" t="s">
        <v>1140</v>
      </c>
      <c r="C63" s="688"/>
      <c r="D63" s="688"/>
      <c r="E63" s="689"/>
      <c r="F63" s="620"/>
      <c r="G63" s="695">
        <f>SF!G63</f>
        <v>19.373390077688924</v>
      </c>
      <c r="H63" s="690"/>
      <c r="I63" s="695">
        <f>SF!I63</f>
        <v>37.512792074379419</v>
      </c>
      <c r="J63" s="269"/>
      <c r="K63" s="289"/>
      <c r="L63" s="274"/>
      <c r="M63" s="376"/>
      <c r="N63" s="376"/>
      <c r="O63" s="376"/>
      <c r="P63" s="376"/>
      <c r="Q63" s="376"/>
      <c r="R63" s="376"/>
      <c r="S63" s="268"/>
      <c r="T63" s="376"/>
      <c r="U63" s="268"/>
      <c r="V63" s="268"/>
      <c r="W63" s="376"/>
      <c r="X63" s="268"/>
      <c r="Y63" s="376"/>
      <c r="Z63" s="268"/>
      <c r="AA63" s="268"/>
      <c r="AB63" s="376"/>
      <c r="AC63" s="376"/>
      <c r="AD63" s="376"/>
      <c r="AE63" s="376"/>
      <c r="AF63" s="376"/>
      <c r="AG63" s="376"/>
      <c r="AH63" s="376"/>
      <c r="AI63" s="376"/>
      <c r="AJ63" s="376"/>
      <c r="AK63" s="376"/>
      <c r="AL63" s="700">
        <v>0</v>
      </c>
      <c r="AM63" s="700">
        <v>0</v>
      </c>
      <c r="AN63" s="700">
        <v>0</v>
      </c>
      <c r="AO63" s="700">
        <v>0</v>
      </c>
      <c r="AP63" s="376"/>
      <c r="AQ63" s="700">
        <v>0.5</v>
      </c>
      <c r="AR63" s="699">
        <f>0.3*0.5</f>
        <v>0.15</v>
      </c>
      <c r="AS63" s="700">
        <v>0.5</v>
      </c>
      <c r="AT63" s="699">
        <f>0.3*0.5</f>
        <v>0.15</v>
      </c>
      <c r="AU63" s="376"/>
      <c r="AV63" s="376">
        <v>1</v>
      </c>
      <c r="AW63" s="268">
        <f>0.3*1</f>
        <v>0.3</v>
      </c>
      <c r="AX63" s="376">
        <v>1</v>
      </c>
      <c r="AY63" s="268">
        <f>0.3*1</f>
        <v>0.3</v>
      </c>
      <c r="AZ63" s="376"/>
      <c r="BA63" s="376">
        <v>1</v>
      </c>
      <c r="BB63" s="376">
        <v>0.3</v>
      </c>
      <c r="BC63" s="376">
        <v>1</v>
      </c>
      <c r="BD63" s="376">
        <v>0.3</v>
      </c>
      <c r="BE63" s="376"/>
      <c r="BF63" s="376">
        <v>1</v>
      </c>
      <c r="BG63" s="376">
        <v>0.3</v>
      </c>
      <c r="BH63" s="376">
        <v>1</v>
      </c>
      <c r="BI63" s="376">
        <v>0.3</v>
      </c>
    </row>
    <row r="64" spans="1:61">
      <c r="A64" s="113"/>
      <c r="B64" s="651"/>
      <c r="C64" s="651"/>
      <c r="D64" s="651"/>
      <c r="E64" s="652"/>
      <c r="F64" s="212"/>
      <c r="G64" s="653"/>
      <c r="H64" s="599"/>
      <c r="I64" s="212"/>
      <c r="J64" s="599"/>
      <c r="K64" s="654"/>
      <c r="L64" s="277"/>
      <c r="M64" s="376"/>
      <c r="N64" s="376"/>
      <c r="O64" s="376"/>
      <c r="P64" s="376"/>
      <c r="Q64" s="376"/>
      <c r="R64" s="376"/>
      <c r="S64" s="376"/>
      <c r="T64" s="376"/>
      <c r="U64" s="376"/>
      <c r="V64" s="376"/>
      <c r="W64" s="376"/>
      <c r="X64" s="376"/>
      <c r="Y64" s="376"/>
      <c r="Z64" s="376"/>
      <c r="AA64" s="376"/>
      <c r="AB64" s="376"/>
      <c r="AC64" s="376"/>
      <c r="AD64" s="376"/>
      <c r="AE64" s="376"/>
      <c r="AF64" s="376"/>
      <c r="AG64" s="376"/>
      <c r="AH64" s="376"/>
      <c r="AI64" s="376"/>
      <c r="AJ64" s="376"/>
      <c r="AK64" s="376"/>
      <c r="AL64" s="700"/>
      <c r="AM64" s="700"/>
      <c r="AN64" s="700"/>
      <c r="AO64" s="700"/>
      <c r="AP64" s="376"/>
      <c r="AQ64" s="700"/>
      <c r="AR64" s="700"/>
      <c r="AS64" s="700"/>
      <c r="AT64" s="700"/>
      <c r="AU64" s="376"/>
      <c r="AV64" s="376"/>
      <c r="AW64" s="376"/>
      <c r="AX64" s="376"/>
      <c r="AY64" s="376"/>
      <c r="AZ64" s="376"/>
      <c r="BA64" s="376"/>
      <c r="BB64" s="376"/>
      <c r="BC64" s="376"/>
      <c r="BD64" s="376"/>
      <c r="BE64" s="376"/>
      <c r="BF64" s="376"/>
      <c r="BG64" s="376"/>
      <c r="BH64" s="376"/>
      <c r="BI64" s="376"/>
    </row>
    <row r="65" spans="1:61">
      <c r="A65" s="278" t="s">
        <v>1135</v>
      </c>
      <c r="B65" s="262"/>
      <c r="C65" s="262"/>
      <c r="D65" s="262"/>
      <c r="E65" s="263"/>
      <c r="F65" s="279"/>
      <c r="G65" s="280"/>
      <c r="H65" s="264"/>
      <c r="I65" s="279"/>
      <c r="J65" s="264"/>
      <c r="K65" s="281"/>
      <c r="L65" s="282"/>
      <c r="M65" s="708">
        <f>MAX(MAX(M66:M78),ABS(MIN(M66:M78)))</f>
        <v>0</v>
      </c>
      <c r="N65" s="708">
        <f>MAX(MAX(N66:N78),ABS(MIN(N66:N78)))</f>
        <v>0</v>
      </c>
      <c r="O65" s="708">
        <f>MAX(MAX(O66:O78),ABS(MIN(O66:O78)))</f>
        <v>0</v>
      </c>
      <c r="P65" s="708">
        <f>MAX(MAX(P66:P78),ABS(MIN(P66:P78)))</f>
        <v>0</v>
      </c>
      <c r="Q65" s="708"/>
      <c r="R65" s="708">
        <f>MAX(MAX(R66:R78),ABS(MIN(R66:R78)))</f>
        <v>0.15</v>
      </c>
      <c r="S65" s="708">
        <f>MAX(MAX(S66:S78),ABS(MIN(S66:S78)))</f>
        <v>0.5</v>
      </c>
      <c r="T65" s="708">
        <f>MAX(MAX(T66:T78),ABS(MIN(T66:T78)))</f>
        <v>0.15</v>
      </c>
      <c r="U65" s="708">
        <f>MAX(MAX(U66:U78),ABS(MIN(U66:U78)))</f>
        <v>0.5</v>
      </c>
      <c r="V65" s="708"/>
      <c r="W65" s="708">
        <f>MAX(MAX(W66:W78),ABS(MIN(W66:W78)))</f>
        <v>0.3</v>
      </c>
      <c r="X65" s="708">
        <f>MAX(MAX(X66:X78),ABS(MIN(X66:X78)))</f>
        <v>1</v>
      </c>
      <c r="Y65" s="708">
        <f>MAX(MAX(Y66:Y78),ABS(MIN(Y66:Y78)))</f>
        <v>0.3</v>
      </c>
      <c r="Z65" s="708">
        <f>MAX(MAX(Z66:Z78),ABS(MIN(Z66:Z78)))</f>
        <v>1</v>
      </c>
      <c r="AA65" s="708"/>
      <c r="AB65" s="708">
        <f>MAX(MAX(AB66:AB78),ABS(MIN(AB66:AB78)))</f>
        <v>0.3</v>
      </c>
      <c r="AC65" s="708">
        <f>MAX(MAX(AC66:AC78),ABS(MIN(AC66:AC78)))</f>
        <v>1</v>
      </c>
      <c r="AD65" s="708">
        <f>MAX(MAX(AD66:AD78),ABS(MIN(AD66:AD78)))</f>
        <v>0.3</v>
      </c>
      <c r="AE65" s="708">
        <f>MAX(MAX(AE66:AE78),ABS(MIN(AE66:AE78)))</f>
        <v>1</v>
      </c>
      <c r="AF65" s="708"/>
      <c r="AG65" s="708">
        <f>MAX(MAX(AG66:AG78),ABS(MIN(AG66:AG78)))</f>
        <v>0.3</v>
      </c>
      <c r="AH65" s="708">
        <f>MAX(MAX(AH66:AH78),ABS(MIN(AH66:AH78)))</f>
        <v>1</v>
      </c>
      <c r="AI65" s="708">
        <f>MAX(MAX(AI66:AI78),ABS(MIN(AI66:AI78)))</f>
        <v>0.3</v>
      </c>
      <c r="AJ65" s="708">
        <f>MAX(MAX(AJ66:AJ78),ABS(MIN(AJ66:AJ78)))</f>
        <v>1</v>
      </c>
      <c r="AK65" s="708"/>
      <c r="AL65" s="708">
        <f>MAX(MAX(AL66:AL83),ABS(MIN(AL66:AL83)))</f>
        <v>0</v>
      </c>
      <c r="AM65" s="708">
        <f>MAX(MAX(AM66:AM83),ABS(MIN(AM66:AM83)))</f>
        <v>0</v>
      </c>
      <c r="AN65" s="708">
        <f>MAX(MAX(AN66:AN83),ABS(MIN(AN66:AN83)))</f>
        <v>0</v>
      </c>
      <c r="AO65" s="708">
        <f>MAX(MAX(AO66:AO83),ABS(MIN(AO66:AO83)))</f>
        <v>0</v>
      </c>
      <c r="AP65" s="994"/>
      <c r="AQ65" s="708">
        <f>MAX(MAX(AQ66:AQ83),ABS(MIN(AQ66:AQ83)))</f>
        <v>0.15</v>
      </c>
      <c r="AR65" s="708">
        <f>MAX(MAX(AR66:AR83),ABS(MIN(AR66:AR83)))</f>
        <v>0.5</v>
      </c>
      <c r="AS65" s="708">
        <f>MAX(MAX(AS66:AS83),ABS(MIN(AS66:AS83)))</f>
        <v>0.15</v>
      </c>
      <c r="AT65" s="708">
        <f>MAX(MAX(AT66:AT83),ABS(MIN(AT66:AT83)))</f>
        <v>0.5</v>
      </c>
      <c r="AU65" s="994"/>
      <c r="AV65" s="708">
        <f>MAX(MAX(AV66:AV83),ABS(MIN(AV66:AV83)))</f>
        <v>0.3</v>
      </c>
      <c r="AW65" s="708">
        <f>MAX(MAX(AW66:AW83),ABS(MIN(AW66:AW83)))</f>
        <v>1</v>
      </c>
      <c r="AX65" s="708">
        <f>MAX(MAX(AX66:AX83),ABS(MIN(AX66:AX83)))</f>
        <v>0.3</v>
      </c>
      <c r="AY65" s="708">
        <f>MAX(MAX(AY66:AY83),ABS(MIN(AY66:AY83)))</f>
        <v>1</v>
      </c>
      <c r="AZ65" s="994"/>
      <c r="BA65" s="708">
        <f>MAX(MAX(BA66:BA83),ABS(MIN(BA66:BA83)))</f>
        <v>0.3</v>
      </c>
      <c r="BB65" s="708">
        <f>MAX(MAX(BB66:BB83),ABS(MIN(BB66:BB83)))</f>
        <v>1</v>
      </c>
      <c r="BC65" s="708">
        <f>MAX(MAX(BC66:BC83),ABS(MIN(BC66:BC83)))</f>
        <v>0.3</v>
      </c>
      <c r="BD65" s="708">
        <f>MAX(MAX(BD66:BD83),ABS(MIN(BD66:BD83)))</f>
        <v>1</v>
      </c>
      <c r="BE65" s="994"/>
      <c r="BF65" s="708">
        <f>MAX(MAX(BF66:BF83),ABS(MIN(BF66:BF83)))</f>
        <v>0.3</v>
      </c>
      <c r="BG65" s="708">
        <f>MAX(MAX(BG66:BG83),ABS(MIN(BG66:BG83)))</f>
        <v>1</v>
      </c>
      <c r="BH65" s="708">
        <f>MAX(MAX(BH66:BH83),ABS(MIN(BH66:BH83)))</f>
        <v>0.3</v>
      </c>
      <c r="BI65" s="708">
        <f>MAX(MAX(BI66:BI83),ABS(MIN(BI66:BI83)))</f>
        <v>1</v>
      </c>
    </row>
    <row r="66" spans="1:61">
      <c r="A66" s="25" t="s">
        <v>992</v>
      </c>
      <c r="B66" s="26"/>
      <c r="C66" s="26"/>
      <c r="D66" s="26"/>
      <c r="E66" s="27"/>
      <c r="F66" s="197"/>
      <c r="G66" s="211"/>
      <c r="H66" s="34"/>
      <c r="I66" s="197"/>
      <c r="J66" s="89"/>
      <c r="K66" s="275"/>
      <c r="L66" s="276"/>
      <c r="M66" s="268"/>
      <c r="N66" s="268"/>
      <c r="O66" s="268"/>
      <c r="P66" s="268"/>
      <c r="Q66" s="268"/>
      <c r="R66" s="268"/>
      <c r="S66" s="268"/>
      <c r="T66" s="268"/>
      <c r="U66" s="268"/>
      <c r="V66" s="268"/>
      <c r="W66" s="268"/>
      <c r="X66" s="268"/>
      <c r="Y66" s="268"/>
      <c r="Z66" s="268"/>
      <c r="AA66" s="268"/>
      <c r="AB66" s="268"/>
      <c r="AC66" s="268"/>
      <c r="AD66" s="268"/>
      <c r="AE66" s="268"/>
      <c r="AF66" s="268"/>
      <c r="AG66" s="268"/>
      <c r="AH66" s="268"/>
      <c r="AI66" s="268"/>
      <c r="AJ66" s="268"/>
      <c r="AK66" s="268"/>
      <c r="AL66" s="699"/>
      <c r="AM66" s="699"/>
      <c r="AN66" s="699"/>
      <c r="AO66" s="699"/>
      <c r="AP66" s="376"/>
      <c r="AQ66" s="699"/>
      <c r="AR66" s="699"/>
      <c r="AS66" s="699"/>
      <c r="AT66" s="699"/>
      <c r="AU66" s="376"/>
      <c r="AV66" s="268"/>
      <c r="AW66" s="268"/>
      <c r="AX66" s="268"/>
      <c r="AY66" s="268"/>
      <c r="AZ66" s="376"/>
      <c r="BA66" s="268"/>
      <c r="BB66" s="268"/>
      <c r="BC66" s="268"/>
      <c r="BD66" s="268"/>
      <c r="BE66" s="376"/>
      <c r="BF66" s="268"/>
      <c r="BG66" s="268"/>
      <c r="BH66" s="268"/>
      <c r="BI66" s="268"/>
    </row>
    <row r="67" spans="1:61">
      <c r="A67" s="25" t="s">
        <v>997</v>
      </c>
      <c r="B67" s="26" t="s">
        <v>988</v>
      </c>
      <c r="C67" s="26"/>
      <c r="D67" s="26"/>
      <c r="E67" s="27"/>
      <c r="F67" s="197"/>
      <c r="G67" s="211"/>
      <c r="H67" s="254">
        <f>SF!H67</f>
        <v>47.410919999999997</v>
      </c>
      <c r="I67" s="197"/>
      <c r="J67" s="254">
        <f>SF!J67</f>
        <v>433.10062959257624</v>
      </c>
      <c r="K67" s="275"/>
      <c r="L67" s="276"/>
      <c r="M67" s="268">
        <v>0</v>
      </c>
      <c r="N67" s="268">
        <v>0</v>
      </c>
      <c r="O67" s="268">
        <v>0</v>
      </c>
      <c r="P67" s="268">
        <v>0</v>
      </c>
      <c r="Q67" s="268"/>
      <c r="R67" s="268">
        <v>0</v>
      </c>
      <c r="S67" s="268">
        <v>0</v>
      </c>
      <c r="T67" s="268">
        <v>0</v>
      </c>
      <c r="U67" s="268">
        <v>0</v>
      </c>
      <c r="V67" s="268"/>
      <c r="W67" s="268">
        <f>0.3*1</f>
        <v>0.3</v>
      </c>
      <c r="X67" s="268">
        <v>1</v>
      </c>
      <c r="Y67" s="268">
        <f>0.3*1</f>
        <v>0.3</v>
      </c>
      <c r="Z67" s="268">
        <v>1</v>
      </c>
      <c r="AA67" s="268"/>
      <c r="AB67" s="268">
        <v>0.3</v>
      </c>
      <c r="AC67" s="268">
        <v>1</v>
      </c>
      <c r="AD67" s="268">
        <v>0.3</v>
      </c>
      <c r="AE67" s="268">
        <v>1</v>
      </c>
      <c r="AF67" s="268"/>
      <c r="AG67" s="268">
        <v>0.3</v>
      </c>
      <c r="AH67" s="268">
        <v>1</v>
      </c>
      <c r="AI67" s="268">
        <v>0.3</v>
      </c>
      <c r="AJ67" s="268">
        <v>1</v>
      </c>
      <c r="AK67" s="268"/>
      <c r="AL67" s="699">
        <v>0</v>
      </c>
      <c r="AM67" s="699">
        <v>0</v>
      </c>
      <c r="AN67" s="699">
        <v>0</v>
      </c>
      <c r="AO67" s="699">
        <v>0</v>
      </c>
      <c r="AP67" s="376"/>
      <c r="AQ67" s="699">
        <v>0</v>
      </c>
      <c r="AR67" s="699">
        <v>0</v>
      </c>
      <c r="AS67" s="699">
        <v>0</v>
      </c>
      <c r="AT67" s="699">
        <v>0</v>
      </c>
      <c r="AU67" s="376"/>
      <c r="AV67" s="268">
        <f>0.3*1</f>
        <v>0.3</v>
      </c>
      <c r="AW67" s="268">
        <v>1</v>
      </c>
      <c r="AX67" s="268">
        <f>0.3*1</f>
        <v>0.3</v>
      </c>
      <c r="AY67" s="268">
        <v>1</v>
      </c>
      <c r="AZ67" s="376"/>
      <c r="BA67" s="268">
        <v>0.3</v>
      </c>
      <c r="BB67" s="268">
        <v>1</v>
      </c>
      <c r="BC67" s="268">
        <v>0.3</v>
      </c>
      <c r="BD67" s="268">
        <v>1</v>
      </c>
      <c r="BE67" s="376"/>
      <c r="BF67" s="268">
        <v>0.3</v>
      </c>
      <c r="BG67" s="268">
        <v>1</v>
      </c>
      <c r="BH67" s="268">
        <v>0.3</v>
      </c>
      <c r="BI67" s="268">
        <v>1</v>
      </c>
    </row>
    <row r="68" spans="1:61">
      <c r="A68" s="25" t="s">
        <v>998</v>
      </c>
      <c r="B68" s="26" t="s">
        <v>989</v>
      </c>
      <c r="C68" s="26"/>
      <c r="D68" s="26"/>
      <c r="E68" s="27"/>
      <c r="F68" s="197"/>
      <c r="G68" s="211"/>
      <c r="H68" s="254">
        <f>SF!H68</f>
        <v>47.410919999999997</v>
      </c>
      <c r="I68" s="197"/>
      <c r="J68" s="254">
        <f>SF!J68</f>
        <v>433.10062959257624</v>
      </c>
      <c r="K68" s="289"/>
      <c r="L68" s="274"/>
      <c r="M68" s="376">
        <v>0</v>
      </c>
      <c r="N68" s="376">
        <v>0</v>
      </c>
      <c r="O68" s="376">
        <v>0</v>
      </c>
      <c r="P68" s="376">
        <v>0</v>
      </c>
      <c r="Q68" s="376"/>
      <c r="R68" s="376">
        <f>0.3*0.5</f>
        <v>0.15</v>
      </c>
      <c r="S68" s="376">
        <f>0.5</f>
        <v>0.5</v>
      </c>
      <c r="T68" s="376">
        <f>0.3*0.5</f>
        <v>0.15</v>
      </c>
      <c r="U68" s="376">
        <f>0.5</f>
        <v>0.5</v>
      </c>
      <c r="V68" s="376"/>
      <c r="W68" s="376">
        <f>0.3*1</f>
        <v>0.3</v>
      </c>
      <c r="X68" s="376">
        <v>1</v>
      </c>
      <c r="Y68" s="376">
        <f>0.3*1</f>
        <v>0.3</v>
      </c>
      <c r="Z68" s="376">
        <v>1</v>
      </c>
      <c r="AA68" s="376"/>
      <c r="AB68" s="376">
        <v>0.3</v>
      </c>
      <c r="AC68" s="376">
        <v>1</v>
      </c>
      <c r="AD68" s="376">
        <v>0.3</v>
      </c>
      <c r="AE68" s="376">
        <v>1</v>
      </c>
      <c r="AF68" s="376"/>
      <c r="AG68" s="376">
        <v>0.3</v>
      </c>
      <c r="AH68" s="376">
        <v>1</v>
      </c>
      <c r="AI68" s="376">
        <v>0.3</v>
      </c>
      <c r="AJ68" s="376">
        <v>1</v>
      </c>
      <c r="AK68" s="376"/>
      <c r="AL68" s="700">
        <v>0</v>
      </c>
      <c r="AM68" s="700">
        <v>0</v>
      </c>
      <c r="AN68" s="700">
        <v>0</v>
      </c>
      <c r="AO68" s="700">
        <v>0</v>
      </c>
      <c r="AP68" s="376"/>
      <c r="AQ68" s="700">
        <f>0.3*0.5</f>
        <v>0.15</v>
      </c>
      <c r="AR68" s="700">
        <f>0.5</f>
        <v>0.5</v>
      </c>
      <c r="AS68" s="700">
        <f>0.3*0.5</f>
        <v>0.15</v>
      </c>
      <c r="AT68" s="700">
        <f>0.5</f>
        <v>0.5</v>
      </c>
      <c r="AU68" s="376"/>
      <c r="AV68" s="376">
        <f>0.3*1</f>
        <v>0.3</v>
      </c>
      <c r="AW68" s="376">
        <v>1</v>
      </c>
      <c r="AX68" s="376">
        <f>0.3*1</f>
        <v>0.3</v>
      </c>
      <c r="AY68" s="376">
        <v>1</v>
      </c>
      <c r="AZ68" s="376"/>
      <c r="BA68" s="376">
        <v>0.3</v>
      </c>
      <c r="BB68" s="376">
        <v>1</v>
      </c>
      <c r="BC68" s="376">
        <v>0.3</v>
      </c>
      <c r="BD68" s="376">
        <v>1</v>
      </c>
      <c r="BE68" s="376"/>
      <c r="BF68" s="376">
        <v>0.3</v>
      </c>
      <c r="BG68" s="376">
        <v>1</v>
      </c>
      <c r="BH68" s="376">
        <v>0.3</v>
      </c>
      <c r="BI68" s="376">
        <v>1</v>
      </c>
    </row>
    <row r="69" spans="1:61">
      <c r="A69" s="69"/>
      <c r="B69" s="26"/>
      <c r="C69" s="26"/>
      <c r="D69" s="26"/>
      <c r="E69" s="27"/>
      <c r="F69" s="197"/>
      <c r="G69" s="211"/>
      <c r="H69" s="34"/>
      <c r="I69" s="197"/>
      <c r="J69" s="89"/>
      <c r="K69" s="289"/>
      <c r="L69" s="274"/>
      <c r="M69" s="376"/>
      <c r="N69" s="376"/>
      <c r="O69" s="376"/>
      <c r="P69" s="376"/>
      <c r="Q69" s="376"/>
      <c r="R69" s="376"/>
      <c r="S69" s="376"/>
      <c r="T69" s="376"/>
      <c r="U69" s="376"/>
      <c r="V69" s="376"/>
      <c r="W69" s="376"/>
      <c r="X69" s="376"/>
      <c r="Y69" s="376"/>
      <c r="Z69" s="376"/>
      <c r="AA69" s="376"/>
      <c r="AB69" s="376"/>
      <c r="AC69" s="376"/>
      <c r="AD69" s="376"/>
      <c r="AE69" s="376"/>
      <c r="AF69" s="376"/>
      <c r="AG69" s="376"/>
      <c r="AH69" s="376"/>
      <c r="AI69" s="376"/>
      <c r="AJ69" s="376"/>
      <c r="AK69" s="376"/>
      <c r="AL69" s="700"/>
      <c r="AM69" s="700"/>
      <c r="AN69" s="700"/>
      <c r="AO69" s="700"/>
      <c r="AP69" s="376"/>
      <c r="AQ69" s="700"/>
      <c r="AR69" s="700"/>
      <c r="AS69" s="700"/>
      <c r="AT69" s="700"/>
      <c r="AU69" s="376"/>
      <c r="AV69" s="376"/>
      <c r="AW69" s="376"/>
      <c r="AX69" s="376"/>
      <c r="AY69" s="376"/>
      <c r="AZ69" s="376"/>
      <c r="BA69" s="376"/>
      <c r="BB69" s="376"/>
      <c r="BC69" s="376"/>
      <c r="BD69" s="376"/>
      <c r="BE69" s="376"/>
      <c r="BF69" s="376"/>
      <c r="BG69" s="376"/>
      <c r="BH69" s="376"/>
      <c r="BI69" s="376"/>
    </row>
    <row r="70" spans="1:61">
      <c r="A70" s="25" t="s">
        <v>999</v>
      </c>
      <c r="B70" s="26"/>
      <c r="C70" s="26"/>
      <c r="D70" s="26"/>
      <c r="E70" s="27"/>
      <c r="F70" s="197"/>
      <c r="G70" s="211"/>
      <c r="H70" s="34"/>
      <c r="I70" s="197"/>
      <c r="J70" s="89"/>
      <c r="K70" s="289"/>
      <c r="L70" s="274"/>
      <c r="M70" s="376"/>
      <c r="N70" s="376"/>
      <c r="O70" s="376"/>
      <c r="P70" s="376"/>
      <c r="Q70" s="376"/>
      <c r="R70" s="376"/>
      <c r="S70" s="376"/>
      <c r="T70" s="376"/>
      <c r="U70" s="376"/>
      <c r="V70" s="376"/>
      <c r="W70" s="376"/>
      <c r="X70" s="376"/>
      <c r="Y70" s="376"/>
      <c r="Z70" s="376"/>
      <c r="AA70" s="376"/>
      <c r="AB70" s="376"/>
      <c r="AC70" s="376"/>
      <c r="AD70" s="376"/>
      <c r="AE70" s="376"/>
      <c r="AF70" s="376"/>
      <c r="AG70" s="376"/>
      <c r="AH70" s="376"/>
      <c r="AI70" s="376"/>
      <c r="AJ70" s="376"/>
      <c r="AK70" s="376"/>
      <c r="AL70" s="700"/>
      <c r="AM70" s="700"/>
      <c r="AN70" s="700"/>
      <c r="AO70" s="700"/>
      <c r="AP70" s="376"/>
      <c r="AQ70" s="700"/>
      <c r="AR70" s="700"/>
      <c r="AS70" s="700"/>
      <c r="AT70" s="700"/>
      <c r="AU70" s="376"/>
      <c r="AV70" s="376"/>
      <c r="AW70" s="376"/>
      <c r="AX70" s="376"/>
      <c r="AY70" s="376"/>
      <c r="AZ70" s="376"/>
      <c r="BA70" s="376"/>
      <c r="BB70" s="376"/>
      <c r="BC70" s="376"/>
      <c r="BD70" s="376"/>
      <c r="BE70" s="376"/>
      <c r="BF70" s="376"/>
      <c r="BG70" s="376"/>
      <c r="BH70" s="376"/>
      <c r="BI70" s="376"/>
    </row>
    <row r="71" spans="1:61">
      <c r="A71" s="25" t="s">
        <v>1002</v>
      </c>
      <c r="B71" s="26"/>
      <c r="C71" s="26"/>
      <c r="D71" s="26"/>
      <c r="E71" s="27"/>
      <c r="F71" s="197"/>
      <c r="G71" s="211"/>
      <c r="H71" s="34"/>
      <c r="I71" s="197"/>
      <c r="J71" s="89"/>
      <c r="K71" s="289"/>
      <c r="L71" s="274"/>
      <c r="M71" s="376"/>
      <c r="N71" s="376"/>
      <c r="O71" s="376"/>
      <c r="P71" s="376"/>
      <c r="Q71" s="376"/>
      <c r="R71" s="376"/>
      <c r="S71" s="376"/>
      <c r="T71" s="376"/>
      <c r="U71" s="376"/>
      <c r="V71" s="376"/>
      <c r="W71" s="376"/>
      <c r="X71" s="376"/>
      <c r="Y71" s="376"/>
      <c r="Z71" s="376"/>
      <c r="AA71" s="376"/>
      <c r="AB71" s="376"/>
      <c r="AC71" s="376"/>
      <c r="AD71" s="376"/>
      <c r="AE71" s="376"/>
      <c r="AF71" s="376"/>
      <c r="AG71" s="376"/>
      <c r="AH71" s="376"/>
      <c r="AI71" s="376"/>
      <c r="AJ71" s="376"/>
      <c r="AK71" s="376"/>
      <c r="AL71" s="700"/>
      <c r="AM71" s="700"/>
      <c r="AN71" s="700"/>
      <c r="AO71" s="700"/>
      <c r="AP71" s="376"/>
      <c r="AQ71" s="700"/>
      <c r="AR71" s="700"/>
      <c r="AS71" s="700"/>
      <c r="AT71" s="700"/>
      <c r="AU71" s="376"/>
      <c r="AV71" s="376"/>
      <c r="AW71" s="376"/>
      <c r="AX71" s="376"/>
      <c r="AY71" s="376"/>
      <c r="AZ71" s="376"/>
      <c r="BA71" s="376"/>
      <c r="BB71" s="376"/>
      <c r="BC71" s="376"/>
      <c r="BD71" s="376"/>
      <c r="BE71" s="376"/>
      <c r="BF71" s="376"/>
      <c r="BG71" s="376"/>
      <c r="BH71" s="376"/>
      <c r="BI71" s="376"/>
    </row>
    <row r="72" spans="1:61">
      <c r="A72" s="25" t="s">
        <v>1004</v>
      </c>
      <c r="B72" s="26" t="s">
        <v>1000</v>
      </c>
      <c r="C72" s="26"/>
      <c r="D72" s="26"/>
      <c r="E72" s="27"/>
      <c r="F72" s="197"/>
      <c r="G72" s="211"/>
      <c r="H72" s="254">
        <f>SF!H72</f>
        <v>10.555984799999999</v>
      </c>
      <c r="I72" s="197"/>
      <c r="J72" s="254">
        <f>SF!J72</f>
        <v>115.74637333199999</v>
      </c>
      <c r="K72" s="289"/>
      <c r="L72" s="274"/>
      <c r="M72" s="376">
        <v>0</v>
      </c>
      <c r="N72" s="376">
        <v>0</v>
      </c>
      <c r="O72" s="376">
        <v>0</v>
      </c>
      <c r="P72" s="376">
        <v>0</v>
      </c>
      <c r="Q72" s="376"/>
      <c r="R72" s="376">
        <v>0</v>
      </c>
      <c r="S72" s="376">
        <v>0</v>
      </c>
      <c r="T72" s="376">
        <v>0</v>
      </c>
      <c r="U72" s="376">
        <v>0</v>
      </c>
      <c r="V72" s="376"/>
      <c r="W72" s="376">
        <v>0</v>
      </c>
      <c r="X72" s="376">
        <v>0</v>
      </c>
      <c r="Y72" s="376">
        <v>0</v>
      </c>
      <c r="Z72" s="376">
        <v>0</v>
      </c>
      <c r="AA72" s="376"/>
      <c r="AB72" s="376">
        <f>0.3*0.2</f>
        <v>0.06</v>
      </c>
      <c r="AC72" s="376">
        <v>0.2</v>
      </c>
      <c r="AD72" s="376">
        <f>0.3*0.2</f>
        <v>0.06</v>
      </c>
      <c r="AE72" s="376">
        <v>0.2</v>
      </c>
      <c r="AF72" s="376"/>
      <c r="AG72" s="376">
        <v>0</v>
      </c>
      <c r="AH72" s="376">
        <v>0</v>
      </c>
      <c r="AI72" s="376">
        <v>0</v>
      </c>
      <c r="AJ72" s="376">
        <v>0</v>
      </c>
      <c r="AK72" s="376"/>
      <c r="AL72" s="700">
        <v>0</v>
      </c>
      <c r="AM72" s="700">
        <v>0</v>
      </c>
      <c r="AN72" s="700">
        <v>0</v>
      </c>
      <c r="AO72" s="700">
        <v>0</v>
      </c>
      <c r="AP72" s="376"/>
      <c r="AQ72" s="700">
        <v>0</v>
      </c>
      <c r="AR72" s="700">
        <v>0</v>
      </c>
      <c r="AS72" s="700">
        <v>0</v>
      </c>
      <c r="AT72" s="700">
        <v>0</v>
      </c>
      <c r="AU72" s="376"/>
      <c r="AV72" s="376">
        <v>0</v>
      </c>
      <c r="AW72" s="376">
        <v>0</v>
      </c>
      <c r="AX72" s="376">
        <v>0</v>
      </c>
      <c r="AY72" s="376">
        <v>0</v>
      </c>
      <c r="AZ72" s="376"/>
      <c r="BA72" s="376">
        <f>0.3*0.2</f>
        <v>0.06</v>
      </c>
      <c r="BB72" s="376">
        <v>0.2</v>
      </c>
      <c r="BC72" s="376">
        <f>0.3*0.2</f>
        <v>0.06</v>
      </c>
      <c r="BD72" s="376">
        <v>0.2</v>
      </c>
      <c r="BE72" s="376"/>
      <c r="BF72" s="376">
        <v>0</v>
      </c>
      <c r="BG72" s="376">
        <v>0</v>
      </c>
      <c r="BH72" s="376">
        <v>0</v>
      </c>
      <c r="BI72" s="376">
        <v>0</v>
      </c>
    </row>
    <row r="73" spans="1:61">
      <c r="A73" s="25" t="s">
        <v>1005</v>
      </c>
      <c r="B73" s="26" t="s">
        <v>1001</v>
      </c>
      <c r="C73" s="26"/>
      <c r="D73" s="26"/>
      <c r="E73" s="27"/>
      <c r="F73" s="197"/>
      <c r="G73" s="211"/>
      <c r="H73" s="254">
        <f>SF!H73</f>
        <v>12.18002091428572</v>
      </c>
      <c r="I73" s="197"/>
      <c r="J73" s="254">
        <f>SF!J73</f>
        <v>133.55392932514292</v>
      </c>
      <c r="K73" s="289"/>
      <c r="L73" s="274"/>
      <c r="M73" s="376">
        <v>0</v>
      </c>
      <c r="N73" s="376">
        <v>0</v>
      </c>
      <c r="O73" s="376">
        <v>0</v>
      </c>
      <c r="P73" s="376">
        <v>0</v>
      </c>
      <c r="Q73" s="376"/>
      <c r="R73" s="376">
        <v>0</v>
      </c>
      <c r="S73" s="376">
        <v>0</v>
      </c>
      <c r="T73" s="376">
        <v>0</v>
      </c>
      <c r="U73" s="376">
        <v>0</v>
      </c>
      <c r="V73" s="376"/>
      <c r="W73" s="376">
        <v>0</v>
      </c>
      <c r="X73" s="376">
        <v>0</v>
      </c>
      <c r="Y73" s="376">
        <v>0</v>
      </c>
      <c r="Z73" s="376">
        <v>0</v>
      </c>
      <c r="AA73" s="376"/>
      <c r="AB73" s="376">
        <f>0.3*0.2</f>
        <v>0.06</v>
      </c>
      <c r="AC73" s="376">
        <v>0.2</v>
      </c>
      <c r="AD73" s="376">
        <f>0.3*0.2</f>
        <v>0.06</v>
      </c>
      <c r="AE73" s="376">
        <v>0.2</v>
      </c>
      <c r="AF73" s="376"/>
      <c r="AG73" s="376">
        <v>0</v>
      </c>
      <c r="AH73" s="376">
        <v>0</v>
      </c>
      <c r="AI73" s="376">
        <v>0</v>
      </c>
      <c r="AJ73" s="376">
        <v>0</v>
      </c>
      <c r="AK73" s="376"/>
      <c r="AL73" s="700">
        <v>0</v>
      </c>
      <c r="AM73" s="700">
        <v>0</v>
      </c>
      <c r="AN73" s="700">
        <v>0</v>
      </c>
      <c r="AO73" s="700">
        <v>0</v>
      </c>
      <c r="AP73" s="376"/>
      <c r="AQ73" s="700">
        <v>0</v>
      </c>
      <c r="AR73" s="700">
        <v>0</v>
      </c>
      <c r="AS73" s="700">
        <v>0</v>
      </c>
      <c r="AT73" s="700">
        <v>0</v>
      </c>
      <c r="AU73" s="376"/>
      <c r="AV73" s="376">
        <v>0</v>
      </c>
      <c r="AW73" s="376">
        <v>0</v>
      </c>
      <c r="AX73" s="376">
        <v>0</v>
      </c>
      <c r="AY73" s="376">
        <v>0</v>
      </c>
      <c r="AZ73" s="376"/>
      <c r="BA73" s="376">
        <f>0.3*0.2</f>
        <v>0.06</v>
      </c>
      <c r="BB73" s="376">
        <v>0.2</v>
      </c>
      <c r="BC73" s="376">
        <f>0.3*0.2</f>
        <v>0.06</v>
      </c>
      <c r="BD73" s="376">
        <v>0.2</v>
      </c>
      <c r="BE73" s="376"/>
      <c r="BF73" s="376">
        <v>0</v>
      </c>
      <c r="BG73" s="376">
        <v>0</v>
      </c>
      <c r="BH73" s="376">
        <v>0</v>
      </c>
      <c r="BI73" s="376">
        <v>0</v>
      </c>
    </row>
    <row r="74" spans="1:61">
      <c r="A74" s="25" t="s">
        <v>1003</v>
      </c>
      <c r="B74" s="26"/>
      <c r="C74" s="26"/>
      <c r="D74" s="26"/>
      <c r="E74" s="27"/>
      <c r="F74" s="197"/>
      <c r="G74" s="211"/>
      <c r="H74" s="34"/>
      <c r="I74" s="197"/>
      <c r="J74" s="89"/>
      <c r="K74" s="289"/>
      <c r="L74" s="274"/>
      <c r="M74" s="376"/>
      <c r="N74" s="376"/>
      <c r="O74" s="376"/>
      <c r="P74" s="376"/>
      <c r="Q74" s="376"/>
      <c r="R74" s="376"/>
      <c r="S74" s="376"/>
      <c r="T74" s="376"/>
      <c r="U74" s="376"/>
      <c r="V74" s="376"/>
      <c r="W74" s="376"/>
      <c r="X74" s="376"/>
      <c r="Y74" s="376"/>
      <c r="Z74" s="376"/>
      <c r="AA74" s="376"/>
      <c r="AB74" s="376"/>
      <c r="AC74" s="376"/>
      <c r="AD74" s="376"/>
      <c r="AE74" s="376"/>
      <c r="AF74" s="376"/>
      <c r="AG74" s="376"/>
      <c r="AH74" s="376"/>
      <c r="AI74" s="376"/>
      <c r="AJ74" s="376"/>
      <c r="AK74" s="376"/>
      <c r="AL74" s="700"/>
      <c r="AM74" s="700"/>
      <c r="AN74" s="700"/>
      <c r="AO74" s="700"/>
      <c r="AP74" s="376"/>
      <c r="AQ74" s="700"/>
      <c r="AR74" s="700"/>
      <c r="AS74" s="700"/>
      <c r="AT74" s="700"/>
      <c r="AU74" s="376"/>
      <c r="AV74" s="376"/>
      <c r="AW74" s="376"/>
      <c r="AX74" s="376"/>
      <c r="AY74" s="376"/>
      <c r="AZ74" s="376"/>
      <c r="BA74" s="376"/>
      <c r="BB74" s="376"/>
      <c r="BC74" s="376"/>
      <c r="BD74" s="376"/>
      <c r="BE74" s="376"/>
      <c r="BF74" s="376"/>
      <c r="BG74" s="376"/>
      <c r="BH74" s="376"/>
      <c r="BI74" s="376"/>
    </row>
    <row r="75" spans="1:61">
      <c r="A75" s="25" t="s">
        <v>1004</v>
      </c>
      <c r="B75" s="26" t="s">
        <v>1000</v>
      </c>
      <c r="C75" s="26"/>
      <c r="D75" s="26"/>
      <c r="E75" s="27"/>
      <c r="F75" s="197"/>
      <c r="G75" s="211"/>
      <c r="H75" s="254">
        <f>SF!H75</f>
        <v>0</v>
      </c>
      <c r="I75" s="197"/>
      <c r="J75" s="254">
        <f>SF!J75</f>
        <v>0</v>
      </c>
      <c r="K75" s="289"/>
      <c r="L75" s="274"/>
      <c r="M75" s="376">
        <v>0</v>
      </c>
      <c r="N75" s="376">
        <v>0</v>
      </c>
      <c r="O75" s="376">
        <v>0</v>
      </c>
      <c r="P75" s="376">
        <v>0</v>
      </c>
      <c r="Q75" s="376"/>
      <c r="R75" s="376">
        <v>0</v>
      </c>
      <c r="S75" s="376">
        <v>0</v>
      </c>
      <c r="T75" s="376">
        <v>0</v>
      </c>
      <c r="U75" s="376">
        <v>0</v>
      </c>
      <c r="V75" s="376"/>
      <c r="W75" s="376">
        <v>0</v>
      </c>
      <c r="X75" s="376">
        <v>0</v>
      </c>
      <c r="Y75" s="376">
        <v>0</v>
      </c>
      <c r="Z75" s="376">
        <v>0</v>
      </c>
      <c r="AA75" s="376"/>
      <c r="AB75" s="376">
        <v>0</v>
      </c>
      <c r="AC75" s="376">
        <v>0</v>
      </c>
      <c r="AD75" s="376">
        <v>0</v>
      </c>
      <c r="AE75" s="376">
        <v>0</v>
      </c>
      <c r="AF75" s="376"/>
      <c r="AG75" s="376">
        <f>0.3*0.2</f>
        <v>0.06</v>
      </c>
      <c r="AH75" s="376">
        <v>0.2</v>
      </c>
      <c r="AI75" s="376">
        <f>0.3*0.2</f>
        <v>0.06</v>
      </c>
      <c r="AJ75" s="376">
        <v>0.2</v>
      </c>
      <c r="AK75" s="376"/>
      <c r="AL75" s="700">
        <v>0</v>
      </c>
      <c r="AM75" s="700">
        <v>0</v>
      </c>
      <c r="AN75" s="700">
        <v>0</v>
      </c>
      <c r="AO75" s="700">
        <v>0</v>
      </c>
      <c r="AP75" s="376"/>
      <c r="AQ75" s="700">
        <v>0</v>
      </c>
      <c r="AR75" s="700">
        <v>0</v>
      </c>
      <c r="AS75" s="700">
        <v>0</v>
      </c>
      <c r="AT75" s="700">
        <v>0</v>
      </c>
      <c r="AU75" s="376"/>
      <c r="AV75" s="376">
        <v>0</v>
      </c>
      <c r="AW75" s="376">
        <v>0</v>
      </c>
      <c r="AX75" s="376">
        <v>0</v>
      </c>
      <c r="AY75" s="376">
        <v>0</v>
      </c>
      <c r="AZ75" s="376"/>
      <c r="BA75" s="376">
        <v>0</v>
      </c>
      <c r="BB75" s="376">
        <v>0</v>
      </c>
      <c r="BC75" s="376">
        <v>0</v>
      </c>
      <c r="BD75" s="376">
        <v>0</v>
      </c>
      <c r="BE75" s="376"/>
      <c r="BF75" s="376">
        <f>0.3*0.2</f>
        <v>0.06</v>
      </c>
      <c r="BG75" s="376">
        <v>0.2</v>
      </c>
      <c r="BH75" s="376">
        <f>0.3*0.2</f>
        <v>0.06</v>
      </c>
      <c r="BI75" s="376">
        <v>0.2</v>
      </c>
    </row>
    <row r="76" spans="1:61">
      <c r="A76" s="25" t="s">
        <v>1005</v>
      </c>
      <c r="B76" s="26" t="s">
        <v>1001</v>
      </c>
      <c r="C76" s="26"/>
      <c r="D76" s="26"/>
      <c r="E76" s="27"/>
      <c r="F76" s="197"/>
      <c r="G76" s="211"/>
      <c r="H76" s="254">
        <f>SF!H76</f>
        <v>20.719716685714292</v>
      </c>
      <c r="I76" s="197"/>
      <c r="J76" s="254">
        <f>SF!J76</f>
        <v>227.1916934588572</v>
      </c>
      <c r="K76" s="289"/>
      <c r="L76" s="274"/>
      <c r="M76" s="376">
        <v>0</v>
      </c>
      <c r="N76" s="376">
        <v>0</v>
      </c>
      <c r="O76" s="376">
        <v>0</v>
      </c>
      <c r="P76" s="376">
        <v>0</v>
      </c>
      <c r="Q76" s="376"/>
      <c r="R76" s="376">
        <v>0</v>
      </c>
      <c r="S76" s="376">
        <v>0</v>
      </c>
      <c r="T76" s="376">
        <v>0</v>
      </c>
      <c r="U76" s="376">
        <v>0</v>
      </c>
      <c r="V76" s="376"/>
      <c r="W76" s="376">
        <v>0</v>
      </c>
      <c r="X76" s="376">
        <v>0</v>
      </c>
      <c r="Y76" s="376">
        <v>0</v>
      </c>
      <c r="Z76" s="376">
        <v>0</v>
      </c>
      <c r="AA76" s="376"/>
      <c r="AB76" s="376">
        <v>0</v>
      </c>
      <c r="AC76" s="376">
        <v>0</v>
      </c>
      <c r="AD76" s="376">
        <v>0</v>
      </c>
      <c r="AE76" s="376">
        <v>0</v>
      </c>
      <c r="AF76" s="376"/>
      <c r="AG76" s="376">
        <f>0.3*0.2</f>
        <v>0.06</v>
      </c>
      <c r="AH76" s="376">
        <v>0.2</v>
      </c>
      <c r="AI76" s="376">
        <f>0.3*0.2</f>
        <v>0.06</v>
      </c>
      <c r="AJ76" s="376">
        <v>0.2</v>
      </c>
      <c r="AK76" s="376"/>
      <c r="AL76" s="700">
        <v>0</v>
      </c>
      <c r="AM76" s="700">
        <v>0</v>
      </c>
      <c r="AN76" s="700">
        <v>0</v>
      </c>
      <c r="AO76" s="700">
        <v>0</v>
      </c>
      <c r="AP76" s="376"/>
      <c r="AQ76" s="700">
        <v>0</v>
      </c>
      <c r="AR76" s="700">
        <v>0</v>
      </c>
      <c r="AS76" s="700">
        <v>0</v>
      </c>
      <c r="AT76" s="700">
        <v>0</v>
      </c>
      <c r="AU76" s="376"/>
      <c r="AV76" s="376">
        <v>0</v>
      </c>
      <c r="AW76" s="376">
        <v>0</v>
      </c>
      <c r="AX76" s="376">
        <v>0</v>
      </c>
      <c r="AY76" s="376">
        <v>0</v>
      </c>
      <c r="AZ76" s="376"/>
      <c r="BA76" s="376">
        <v>0</v>
      </c>
      <c r="BB76" s="376">
        <v>0</v>
      </c>
      <c r="BC76" s="376">
        <v>0</v>
      </c>
      <c r="BD76" s="376">
        <v>0</v>
      </c>
      <c r="BE76" s="376"/>
      <c r="BF76" s="376">
        <f>0.3*0.2</f>
        <v>0.06</v>
      </c>
      <c r="BG76" s="376">
        <v>0.2</v>
      </c>
      <c r="BH76" s="376">
        <f>0.3*0.2</f>
        <v>0.06</v>
      </c>
      <c r="BI76" s="376">
        <v>0.2</v>
      </c>
    </row>
    <row r="77" spans="1:61">
      <c r="A77" s="69"/>
      <c r="B77" s="26"/>
      <c r="C77" s="26"/>
      <c r="D77" s="26"/>
      <c r="E77" s="27"/>
      <c r="F77" s="197"/>
      <c r="G77" s="211"/>
      <c r="H77" s="34"/>
      <c r="I77" s="197"/>
      <c r="J77" s="89"/>
      <c r="K77" s="289"/>
      <c r="L77" s="274"/>
      <c r="M77" s="376"/>
      <c r="N77" s="376"/>
      <c r="O77" s="376"/>
      <c r="P77" s="376"/>
      <c r="Q77" s="376"/>
      <c r="R77" s="376"/>
      <c r="S77" s="376"/>
      <c r="T77" s="376"/>
      <c r="U77" s="376"/>
      <c r="V77" s="376"/>
      <c r="W77" s="376"/>
      <c r="X77" s="376"/>
      <c r="Y77" s="376"/>
      <c r="Z77" s="376"/>
      <c r="AA77" s="376"/>
      <c r="AB77" s="376"/>
      <c r="AC77" s="376"/>
      <c r="AD77" s="376"/>
      <c r="AE77" s="376"/>
      <c r="AF77" s="376"/>
      <c r="AG77" s="376"/>
      <c r="AH77" s="376"/>
      <c r="AI77" s="376"/>
      <c r="AJ77" s="376"/>
      <c r="AK77" s="376"/>
      <c r="AL77" s="700"/>
      <c r="AM77" s="700"/>
      <c r="AN77" s="700"/>
      <c r="AO77" s="700"/>
      <c r="AP77" s="376"/>
      <c r="AQ77" s="700"/>
      <c r="AR77" s="700"/>
      <c r="AS77" s="700"/>
      <c r="AT77" s="704"/>
      <c r="AU77" s="376"/>
      <c r="AV77" s="376"/>
      <c r="AW77" s="376"/>
      <c r="AX77" s="376"/>
      <c r="AY77" s="376"/>
      <c r="AZ77" s="376"/>
      <c r="BA77" s="376"/>
      <c r="BB77" s="376"/>
      <c r="BC77" s="376"/>
      <c r="BD77" s="376"/>
      <c r="BE77" s="376"/>
      <c r="BF77" s="376"/>
      <c r="BG77" s="376"/>
      <c r="BH77" s="376"/>
      <c r="BI77" s="376"/>
    </row>
    <row r="78" spans="1:61">
      <c r="A78" s="25" t="s">
        <v>1006</v>
      </c>
      <c r="B78" s="26" t="s">
        <v>211</v>
      </c>
      <c r="C78" s="26"/>
      <c r="D78" s="26"/>
      <c r="E78" s="27"/>
      <c r="F78" s="197"/>
      <c r="G78" s="195"/>
      <c r="H78" s="254">
        <f>SF!H78</f>
        <v>26.798532263701709</v>
      </c>
      <c r="I78" s="195"/>
      <c r="J78" s="254">
        <f>SF!J78</f>
        <v>147.28381289471153</v>
      </c>
      <c r="K78" s="289"/>
      <c r="L78" s="274"/>
      <c r="M78" s="376">
        <v>0</v>
      </c>
      <c r="N78" s="376">
        <v>0</v>
      </c>
      <c r="O78" s="376">
        <v>0</v>
      </c>
      <c r="P78" s="376">
        <v>0</v>
      </c>
      <c r="Q78" s="376"/>
      <c r="R78" s="376">
        <f>0.3*0.5</f>
        <v>0.15</v>
      </c>
      <c r="S78" s="376">
        <f>0.5</f>
        <v>0.5</v>
      </c>
      <c r="T78" s="376">
        <f>0.3*0.5</f>
        <v>0.15</v>
      </c>
      <c r="U78" s="376">
        <f>0.5</f>
        <v>0.5</v>
      </c>
      <c r="V78" s="376"/>
      <c r="W78" s="376">
        <f>0.3*1</f>
        <v>0.3</v>
      </c>
      <c r="X78" s="376">
        <v>1</v>
      </c>
      <c r="Y78" s="376">
        <f>0.3*1</f>
        <v>0.3</v>
      </c>
      <c r="Z78" s="376">
        <v>1</v>
      </c>
      <c r="AA78" s="376"/>
      <c r="AB78" s="376">
        <v>0.3</v>
      </c>
      <c r="AC78" s="376">
        <v>1</v>
      </c>
      <c r="AD78" s="376">
        <v>0.3</v>
      </c>
      <c r="AE78" s="376">
        <v>1</v>
      </c>
      <c r="AF78" s="376"/>
      <c r="AG78" s="376">
        <v>0.3</v>
      </c>
      <c r="AH78" s="376">
        <v>1</v>
      </c>
      <c r="AI78" s="376">
        <v>0.3</v>
      </c>
      <c r="AJ78" s="376">
        <v>1</v>
      </c>
      <c r="AK78" s="376"/>
      <c r="AL78" s="700">
        <v>0</v>
      </c>
      <c r="AM78" s="700">
        <v>0</v>
      </c>
      <c r="AN78" s="700">
        <v>0</v>
      </c>
      <c r="AO78" s="700">
        <v>0</v>
      </c>
      <c r="AP78" s="376"/>
      <c r="AQ78" s="700">
        <f>0.3*0.5</f>
        <v>0.15</v>
      </c>
      <c r="AR78" s="700">
        <f>0.5</f>
        <v>0.5</v>
      </c>
      <c r="AS78" s="700">
        <f>0.3*0.5</f>
        <v>0.15</v>
      </c>
      <c r="AT78" s="704">
        <f>0.5</f>
        <v>0.5</v>
      </c>
      <c r="AU78" s="376"/>
      <c r="AV78" s="376">
        <f>0.3*1</f>
        <v>0.3</v>
      </c>
      <c r="AW78" s="376">
        <v>1</v>
      </c>
      <c r="AX78" s="376">
        <f>0.3*1</f>
        <v>0.3</v>
      </c>
      <c r="AY78" s="376">
        <v>1</v>
      </c>
      <c r="AZ78" s="376"/>
      <c r="BA78" s="376">
        <v>0.3</v>
      </c>
      <c r="BB78" s="376">
        <v>1</v>
      </c>
      <c r="BC78" s="376">
        <v>0.3</v>
      </c>
      <c r="BD78" s="376">
        <v>1</v>
      </c>
      <c r="BE78" s="376"/>
      <c r="BF78" s="376">
        <v>0.3</v>
      </c>
      <c r="BG78" s="376">
        <v>1</v>
      </c>
      <c r="BH78" s="376">
        <v>0.3</v>
      </c>
      <c r="BI78" s="376">
        <v>1</v>
      </c>
    </row>
    <row r="79" spans="1:61">
      <c r="A79" s="686"/>
      <c r="B79" s="688"/>
      <c r="C79" s="688"/>
      <c r="D79" s="688"/>
      <c r="E79" s="689"/>
      <c r="F79" s="621"/>
      <c r="G79" s="711"/>
      <c r="H79" s="989"/>
      <c r="I79" s="696"/>
      <c r="J79" s="989"/>
      <c r="K79" s="289"/>
      <c r="L79" s="274"/>
      <c r="M79" s="376"/>
      <c r="N79" s="376"/>
      <c r="O79" s="376"/>
      <c r="P79" s="376"/>
      <c r="Q79" s="376"/>
      <c r="R79" s="376"/>
      <c r="S79" s="376"/>
      <c r="T79" s="376"/>
      <c r="U79" s="376"/>
      <c r="V79" s="376"/>
      <c r="W79" s="376"/>
      <c r="X79" s="376"/>
      <c r="Y79" s="376"/>
      <c r="Z79" s="376"/>
      <c r="AA79" s="376"/>
      <c r="AB79" s="376"/>
      <c r="AC79" s="376"/>
      <c r="AD79" s="376"/>
      <c r="AE79" s="376"/>
      <c r="AF79" s="376"/>
      <c r="AG79" s="376"/>
      <c r="AH79" s="376"/>
      <c r="AI79" s="376"/>
      <c r="AJ79" s="376"/>
      <c r="AK79" s="376"/>
      <c r="AL79" s="700"/>
      <c r="AM79" s="700"/>
      <c r="AN79" s="700"/>
      <c r="AO79" s="700"/>
      <c r="AP79" s="376"/>
      <c r="AQ79" s="700"/>
      <c r="AR79" s="700"/>
      <c r="AS79" s="700"/>
      <c r="AT79" s="704"/>
      <c r="AU79" s="376"/>
      <c r="AV79" s="376"/>
      <c r="AW79" s="376"/>
      <c r="AX79" s="376"/>
      <c r="AY79" s="376"/>
      <c r="AZ79" s="376"/>
      <c r="BA79" s="376"/>
      <c r="BB79" s="376"/>
      <c r="BC79" s="376"/>
      <c r="BD79" s="376"/>
      <c r="BE79" s="376"/>
      <c r="BF79" s="376"/>
      <c r="BG79" s="376"/>
      <c r="BH79" s="376"/>
      <c r="BI79" s="376"/>
    </row>
    <row r="80" spans="1:61">
      <c r="A80" s="693" t="s">
        <v>1134</v>
      </c>
      <c r="B80" s="688"/>
      <c r="C80" s="688"/>
      <c r="D80" s="688"/>
      <c r="E80" s="689"/>
      <c r="F80" s="620"/>
      <c r="G80" s="711"/>
      <c r="H80" s="989"/>
      <c r="I80" s="696"/>
      <c r="J80" s="989"/>
      <c r="K80" s="289"/>
      <c r="L80" s="274"/>
      <c r="M80" s="376"/>
      <c r="N80" s="376"/>
      <c r="O80" s="376"/>
      <c r="P80" s="376"/>
      <c r="Q80" s="376"/>
      <c r="R80" s="376"/>
      <c r="S80" s="376"/>
      <c r="T80" s="376"/>
      <c r="U80" s="376"/>
      <c r="V80" s="376"/>
      <c r="W80" s="376"/>
      <c r="X80" s="376"/>
      <c r="Y80" s="376"/>
      <c r="Z80" s="376"/>
      <c r="AA80" s="376"/>
      <c r="AB80" s="376"/>
      <c r="AC80" s="376"/>
      <c r="AD80" s="376"/>
      <c r="AE80" s="376"/>
      <c r="AF80" s="376"/>
      <c r="AG80" s="376"/>
      <c r="AH80" s="376"/>
      <c r="AI80" s="376"/>
      <c r="AJ80" s="376"/>
      <c r="AK80" s="376"/>
      <c r="AL80" s="700"/>
      <c r="AM80" s="700"/>
      <c r="AN80" s="700"/>
      <c r="AO80" s="700"/>
      <c r="AP80" s="376"/>
      <c r="AQ80" s="700"/>
      <c r="AR80" s="700"/>
      <c r="AS80" s="700"/>
      <c r="AT80" s="704"/>
      <c r="AU80" s="376"/>
      <c r="AV80" s="376"/>
      <c r="AW80" s="376"/>
      <c r="AX80" s="376"/>
      <c r="AY80" s="376"/>
      <c r="AZ80" s="376"/>
      <c r="BA80" s="376"/>
      <c r="BB80" s="376"/>
      <c r="BC80" s="376"/>
      <c r="BD80" s="376"/>
      <c r="BE80" s="376"/>
      <c r="BF80" s="376"/>
      <c r="BG80" s="376"/>
      <c r="BH80" s="376"/>
      <c r="BI80" s="376"/>
    </row>
    <row r="81" spans="1:61">
      <c r="A81" s="686" t="s">
        <v>1138</v>
      </c>
      <c r="B81" s="688" t="s">
        <v>1045</v>
      </c>
      <c r="C81" s="688"/>
      <c r="D81" s="688"/>
      <c r="E81" s="689"/>
      <c r="F81" s="620"/>
      <c r="G81" s="711"/>
      <c r="H81" s="989">
        <f>SF!H81</f>
        <v>32.345729999999996</v>
      </c>
      <c r="I81" s="696"/>
      <c r="J81" s="989">
        <f>SF!J81</f>
        <v>29.111156999999999</v>
      </c>
      <c r="K81" s="289"/>
      <c r="L81" s="274"/>
      <c r="M81" s="376"/>
      <c r="N81" s="376"/>
      <c r="O81" s="376"/>
      <c r="P81" s="376"/>
      <c r="Q81" s="376"/>
      <c r="R81" s="376"/>
      <c r="S81" s="376"/>
      <c r="T81" s="376"/>
      <c r="U81" s="376"/>
      <c r="V81" s="376"/>
      <c r="W81" s="376"/>
      <c r="X81" s="376"/>
      <c r="Y81" s="376"/>
      <c r="Z81" s="376"/>
      <c r="AA81" s="376"/>
      <c r="AB81" s="376"/>
      <c r="AC81" s="376"/>
      <c r="AD81" s="376"/>
      <c r="AE81" s="376"/>
      <c r="AF81" s="376"/>
      <c r="AG81" s="376"/>
      <c r="AH81" s="376"/>
      <c r="AI81" s="376"/>
      <c r="AJ81" s="376"/>
      <c r="AK81" s="376"/>
      <c r="AL81" s="700">
        <v>0</v>
      </c>
      <c r="AM81" s="700">
        <v>0</v>
      </c>
      <c r="AN81" s="700">
        <v>0</v>
      </c>
      <c r="AO81" s="700">
        <v>0</v>
      </c>
      <c r="AP81" s="376"/>
      <c r="AQ81" s="700">
        <f>0.3*0.5</f>
        <v>0.15</v>
      </c>
      <c r="AR81" s="700">
        <f>0.5</f>
        <v>0.5</v>
      </c>
      <c r="AS81" s="700">
        <f>0.3*0.5</f>
        <v>0.15</v>
      </c>
      <c r="AT81" s="704">
        <f>0.5</f>
        <v>0.5</v>
      </c>
      <c r="AU81" s="376"/>
      <c r="AV81" s="376">
        <f>0.3*1</f>
        <v>0.3</v>
      </c>
      <c r="AW81" s="376">
        <v>1</v>
      </c>
      <c r="AX81" s="376">
        <f>0.3*1</f>
        <v>0.3</v>
      </c>
      <c r="AY81" s="376">
        <v>1</v>
      </c>
      <c r="AZ81" s="376"/>
      <c r="BA81" s="376">
        <v>0.3</v>
      </c>
      <c r="BB81" s="376">
        <v>1</v>
      </c>
      <c r="BC81" s="376">
        <v>0.3</v>
      </c>
      <c r="BD81" s="376">
        <v>1</v>
      </c>
      <c r="BE81" s="376"/>
      <c r="BF81" s="376">
        <v>0.3</v>
      </c>
      <c r="BG81" s="376">
        <v>1</v>
      </c>
      <c r="BH81" s="376">
        <v>0.3</v>
      </c>
      <c r="BI81" s="376">
        <v>1</v>
      </c>
    </row>
    <row r="82" spans="1:61">
      <c r="A82" s="686"/>
      <c r="B82" s="688"/>
      <c r="C82" s="688"/>
      <c r="D82" s="688"/>
      <c r="E82" s="689"/>
      <c r="F82" s="620"/>
      <c r="G82" s="711"/>
      <c r="H82" s="989"/>
      <c r="I82" s="696"/>
      <c r="J82" s="989"/>
      <c r="K82" s="289"/>
      <c r="L82" s="274"/>
      <c r="M82" s="376"/>
      <c r="N82" s="376"/>
      <c r="O82" s="376"/>
      <c r="P82" s="376"/>
      <c r="Q82" s="376"/>
      <c r="R82" s="376"/>
      <c r="S82" s="376"/>
      <c r="T82" s="376"/>
      <c r="U82" s="376"/>
      <c r="V82" s="376"/>
      <c r="W82" s="376"/>
      <c r="X82" s="376"/>
      <c r="Y82" s="376"/>
      <c r="Z82" s="376"/>
      <c r="AA82" s="376"/>
      <c r="AB82" s="376"/>
      <c r="AC82" s="376"/>
      <c r="AD82" s="376"/>
      <c r="AE82" s="376"/>
      <c r="AF82" s="376"/>
      <c r="AG82" s="376"/>
      <c r="AH82" s="376"/>
      <c r="AI82" s="376"/>
      <c r="AJ82" s="376"/>
      <c r="AK82" s="376"/>
      <c r="AL82" s="700"/>
      <c r="AM82" s="700"/>
      <c r="AN82" s="700"/>
      <c r="AO82" s="700"/>
      <c r="AP82" s="376"/>
      <c r="AQ82" s="700"/>
      <c r="AR82" s="700"/>
      <c r="AS82" s="700"/>
      <c r="AT82" s="704"/>
      <c r="AU82" s="376"/>
      <c r="AV82" s="376"/>
      <c r="AW82" s="376"/>
      <c r="AX82" s="376"/>
      <c r="AY82" s="376"/>
      <c r="AZ82" s="376"/>
      <c r="BA82" s="376"/>
      <c r="BB82" s="376"/>
      <c r="BC82" s="376"/>
      <c r="BD82" s="376"/>
      <c r="BE82" s="376"/>
      <c r="BF82" s="376"/>
      <c r="BG82" s="376"/>
      <c r="BH82" s="376"/>
      <c r="BI82" s="376"/>
    </row>
    <row r="83" spans="1:61">
      <c r="A83" s="686" t="s">
        <v>1138</v>
      </c>
      <c r="B83" s="688" t="s">
        <v>1141</v>
      </c>
      <c r="C83" s="26"/>
      <c r="D83" s="26"/>
      <c r="E83" s="27"/>
      <c r="F83" s="34"/>
      <c r="G83" s="27"/>
      <c r="H83" s="989">
        <f>SF!H83</f>
        <v>19.373390077688924</v>
      </c>
      <c r="I83" s="696"/>
      <c r="J83" s="989">
        <f>SF!J83</f>
        <v>37.512792074379419</v>
      </c>
      <c r="K83" s="289"/>
      <c r="L83" s="274"/>
      <c r="M83" s="376"/>
      <c r="N83" s="376"/>
      <c r="O83" s="376"/>
      <c r="P83" s="376"/>
      <c r="Q83" s="376"/>
      <c r="R83" s="376"/>
      <c r="S83" s="376"/>
      <c r="T83" s="376"/>
      <c r="U83" s="376"/>
      <c r="V83" s="376"/>
      <c r="W83" s="376"/>
      <c r="X83" s="376"/>
      <c r="Y83" s="376"/>
      <c r="Z83" s="376"/>
      <c r="AA83" s="376"/>
      <c r="AB83" s="376"/>
      <c r="AC83" s="376"/>
      <c r="AD83" s="376"/>
      <c r="AE83" s="376"/>
      <c r="AF83" s="376"/>
      <c r="AG83" s="376"/>
      <c r="AH83" s="376"/>
      <c r="AI83" s="376"/>
      <c r="AJ83" s="376"/>
      <c r="AK83" s="376"/>
      <c r="AL83" s="700">
        <v>0</v>
      </c>
      <c r="AM83" s="700">
        <v>0</v>
      </c>
      <c r="AN83" s="700">
        <v>0</v>
      </c>
      <c r="AO83" s="700">
        <v>0</v>
      </c>
      <c r="AP83" s="376"/>
      <c r="AQ83" s="700">
        <f>0.3*0.5</f>
        <v>0.15</v>
      </c>
      <c r="AR83" s="700">
        <f>0.5</f>
        <v>0.5</v>
      </c>
      <c r="AS83" s="700">
        <f>0.3*0.5</f>
        <v>0.15</v>
      </c>
      <c r="AT83" s="704">
        <f>0.5</f>
        <v>0.5</v>
      </c>
      <c r="AU83" s="376"/>
      <c r="AV83" s="376">
        <f>0.3*1</f>
        <v>0.3</v>
      </c>
      <c r="AW83" s="376">
        <v>1</v>
      </c>
      <c r="AX83" s="376">
        <f>0.3*1</f>
        <v>0.3</v>
      </c>
      <c r="AY83" s="376">
        <v>1</v>
      </c>
      <c r="AZ83" s="376"/>
      <c r="BA83" s="376">
        <v>0.3</v>
      </c>
      <c r="BB83" s="376">
        <v>1</v>
      </c>
      <c r="BC83" s="376">
        <v>0.3</v>
      </c>
      <c r="BD83" s="376">
        <v>1</v>
      </c>
      <c r="BE83" s="376"/>
      <c r="BF83" s="376"/>
      <c r="BG83" s="376"/>
      <c r="BH83" s="376"/>
      <c r="BI83" s="376"/>
    </row>
    <row r="84" spans="1:61">
      <c r="A84" s="283"/>
      <c r="B84" s="284"/>
      <c r="C84" s="284"/>
      <c r="D84" s="284"/>
      <c r="E84" s="285"/>
      <c r="F84" s="286"/>
      <c r="G84" s="285"/>
      <c r="H84" s="286"/>
      <c r="I84" s="286"/>
      <c r="J84" s="286"/>
      <c r="K84" s="287"/>
      <c r="L84" s="288"/>
      <c r="M84" s="378"/>
      <c r="N84" s="378"/>
      <c r="O84" s="378"/>
      <c r="P84" s="378"/>
      <c r="Q84" s="378"/>
      <c r="R84" s="378"/>
      <c r="S84" s="378"/>
      <c r="T84" s="378"/>
      <c r="U84" s="378"/>
      <c r="V84" s="378"/>
      <c r="W84" s="378"/>
      <c r="X84" s="378"/>
      <c r="Y84" s="378"/>
      <c r="Z84" s="378"/>
      <c r="AA84" s="378"/>
      <c r="AB84" s="378"/>
      <c r="AC84" s="378"/>
      <c r="AD84" s="378"/>
      <c r="AE84" s="378"/>
      <c r="AF84" s="378"/>
      <c r="AG84" s="378"/>
      <c r="AH84" s="378"/>
      <c r="AI84" s="378"/>
      <c r="AJ84" s="378"/>
      <c r="AK84" s="378"/>
      <c r="AL84" s="702"/>
      <c r="AM84" s="702"/>
      <c r="AN84" s="702"/>
      <c r="AO84" s="702"/>
      <c r="AP84" s="378"/>
      <c r="AQ84" s="702"/>
      <c r="AR84" s="702"/>
      <c r="AS84" s="702"/>
      <c r="AT84" s="709"/>
      <c r="AU84" s="378"/>
      <c r="AV84" s="378"/>
      <c r="AW84" s="378"/>
      <c r="AX84" s="378"/>
      <c r="AY84" s="378"/>
      <c r="AZ84" s="378"/>
      <c r="BA84" s="378"/>
      <c r="BB84" s="378"/>
      <c r="BC84" s="378"/>
      <c r="BD84" s="378"/>
      <c r="BE84" s="378"/>
      <c r="BF84" s="378"/>
      <c r="BG84" s="378"/>
      <c r="BH84" s="378"/>
      <c r="BI84" s="378"/>
    </row>
    <row r="85" spans="1:61">
      <c r="A85" s="290" t="s">
        <v>1137</v>
      </c>
      <c r="B85" s="11"/>
      <c r="C85" s="11"/>
      <c r="D85" s="11"/>
      <c r="E85" s="191"/>
      <c r="F85" s="197"/>
      <c r="G85" s="211"/>
      <c r="H85" s="89"/>
      <c r="I85" s="197"/>
      <c r="J85" s="89"/>
      <c r="K85" s="289"/>
      <c r="L85" s="274"/>
      <c r="M85" s="994">
        <f>MAX(MAX(M86:M98),ABS(MIN(M86:M98)))</f>
        <v>0</v>
      </c>
      <c r="N85" s="994">
        <f>MAX(MAX(N86:N98),ABS(MIN(N86:N98)))</f>
        <v>0</v>
      </c>
      <c r="O85" s="994">
        <f>MAX(MAX(O86:O98),ABS(MIN(O86:O98)))</f>
        <v>0</v>
      </c>
      <c r="P85" s="994">
        <f>MAX(MAX(P86:P98),ABS(MIN(P86:P98)))</f>
        <v>0</v>
      </c>
      <c r="Q85" s="994"/>
      <c r="R85" s="994">
        <f>MAX(MAX(R86:R98),ABS(MIN(R86:R98)))</f>
        <v>0.15</v>
      </c>
      <c r="S85" s="994">
        <f>MAX(MAX(S86:S98),ABS(MIN(S86:S98)))</f>
        <v>0.15</v>
      </c>
      <c r="T85" s="994">
        <f>MAX(MAX(T86:T98),ABS(MIN(T86:T98)))</f>
        <v>0.15</v>
      </c>
      <c r="U85" s="994">
        <f>MAX(MAX(U86:U98),ABS(MIN(U86:U98)))</f>
        <v>0.15</v>
      </c>
      <c r="V85" s="994"/>
      <c r="W85" s="994">
        <f>MAX(MAX(W86:W98),ABS(MIN(W86:W98)))</f>
        <v>0.3</v>
      </c>
      <c r="X85" s="994">
        <f>MAX(MAX(X86:X98),ABS(MIN(X86:X98)))</f>
        <v>0.3</v>
      </c>
      <c r="Y85" s="994">
        <f>MAX(MAX(Y86:Y98),ABS(MIN(Y86:Y98)))</f>
        <v>0.3</v>
      </c>
      <c r="Z85" s="994">
        <f>MAX(MAX(Z86:Z98),ABS(MIN(Z86:Z98)))</f>
        <v>0.3</v>
      </c>
      <c r="AA85" s="994"/>
      <c r="AB85" s="994">
        <f>MAX(MAX(AB86:AB98),ABS(MIN(AB86:AB98)))</f>
        <v>0.3</v>
      </c>
      <c r="AC85" s="994">
        <f>MAX(MAX(AC86:AC98),ABS(MIN(AC86:AC98)))</f>
        <v>0.3</v>
      </c>
      <c r="AD85" s="994">
        <f>MAX(MAX(AD86:AD98),ABS(MIN(AD86:AD98)))</f>
        <v>0.3</v>
      </c>
      <c r="AE85" s="994">
        <f>MAX(MAX(AE86:AE98),ABS(MIN(AE86:AE98)))</f>
        <v>0.3</v>
      </c>
      <c r="AF85" s="994"/>
      <c r="AG85" s="994">
        <f>MAX(MAX(AG86:AG98),ABS(MIN(AG86:AG98)))</f>
        <v>0.3</v>
      </c>
      <c r="AH85" s="994">
        <f>MAX(MAX(AH86:AH98),ABS(MIN(AH86:AH98)))</f>
        <v>0.3</v>
      </c>
      <c r="AI85" s="994">
        <f>MAX(MAX(AI86:AI98),ABS(MIN(AI86:AI98)))</f>
        <v>0.3</v>
      </c>
      <c r="AJ85" s="994">
        <f>MAX(MAX(AJ86:AJ98),ABS(MIN(AJ86:AJ98)))</f>
        <v>0.3</v>
      </c>
      <c r="AK85" s="981"/>
      <c r="AL85" s="994">
        <f>MAX(MAX(AL86:AL101),ABS(MIN(AL86:AL101)))</f>
        <v>0</v>
      </c>
      <c r="AM85" s="994">
        <f>MAX(MAX(AM86:AM101),ABS(MIN(AM86:AM101)))</f>
        <v>0</v>
      </c>
      <c r="AN85" s="994">
        <f>MAX(MAX(AN86:AN101),ABS(MIN(AN86:AN101)))</f>
        <v>0</v>
      </c>
      <c r="AO85" s="994">
        <f>MAX(MAX(AO86:AO101),ABS(MIN(AO86:AO101)))</f>
        <v>0</v>
      </c>
      <c r="AP85" s="708"/>
      <c r="AQ85" s="994">
        <f>MAX(MAX(AQ86:AQ101),ABS(MIN(AQ86:AQ101)))</f>
        <v>0.15</v>
      </c>
      <c r="AR85" s="994">
        <f>MAX(MAX(AR86:AR101),ABS(MIN(AR86:AR101)))</f>
        <v>0.15</v>
      </c>
      <c r="AS85" s="994">
        <f>MAX(MAX(AS86:AS101),ABS(MIN(AS86:AS101)))</f>
        <v>0.15</v>
      </c>
      <c r="AT85" s="994">
        <f>MAX(MAX(AT86:AT101),ABS(MIN(AT86:AT101)))</f>
        <v>0.15</v>
      </c>
      <c r="AU85" s="708"/>
      <c r="AV85" s="994">
        <f>MAX(MAX(AV86:AV101),ABS(MIN(AV86:AV101)))</f>
        <v>0.3</v>
      </c>
      <c r="AW85" s="994">
        <f>MAX(MAX(AW86:AW101),ABS(MIN(AW86:AW101)))</f>
        <v>0.3</v>
      </c>
      <c r="AX85" s="994">
        <f>MAX(MAX(AX86:AX101),ABS(MIN(AX86:AX101)))</f>
        <v>0.3</v>
      </c>
      <c r="AY85" s="994">
        <f>MAX(MAX(AY86:AY101),ABS(MIN(AY86:AY101)))</f>
        <v>0.3</v>
      </c>
      <c r="AZ85" s="708"/>
      <c r="BA85" s="994">
        <f>MAX(MAX(BA86:BA101),ABS(MIN(BA86:BA101)))</f>
        <v>0.3</v>
      </c>
      <c r="BB85" s="994">
        <f>MAX(MAX(BB86:BB101),ABS(MIN(BB86:BB101)))</f>
        <v>0.3</v>
      </c>
      <c r="BC85" s="994">
        <f>MAX(MAX(BC86:BC101),ABS(MIN(BC86:BC101)))</f>
        <v>0.3</v>
      </c>
      <c r="BD85" s="994">
        <f>MAX(MAX(BD86:BD101),ABS(MIN(BD86:BD101)))</f>
        <v>0.3</v>
      </c>
      <c r="BE85" s="708"/>
      <c r="BF85" s="994">
        <f>MAX(MAX(BF86:BF101),ABS(MIN(BF86:BF101)))</f>
        <v>0.3</v>
      </c>
      <c r="BG85" s="994">
        <f>MAX(MAX(BG86:BG101),ABS(MIN(BG86:BG101)))</f>
        <v>0.3</v>
      </c>
      <c r="BH85" s="994">
        <f>MAX(MAX(BH86:BH101),ABS(MIN(BH86:BH101)))</f>
        <v>0.3</v>
      </c>
      <c r="BI85" s="994">
        <f>MAX(MAX(BI86:BI101),ABS(MIN(BI86:BI101)))</f>
        <v>0.3</v>
      </c>
    </row>
    <row r="86" spans="1:61">
      <c r="A86" s="25" t="s">
        <v>992</v>
      </c>
      <c r="B86" s="26"/>
      <c r="C86" s="26"/>
      <c r="D86" s="26"/>
      <c r="E86" s="27"/>
      <c r="F86" s="197"/>
      <c r="G86" s="211"/>
      <c r="H86" s="34"/>
      <c r="I86" s="197"/>
      <c r="J86" s="89"/>
      <c r="K86" s="289"/>
      <c r="L86" s="274"/>
      <c r="M86" s="376"/>
      <c r="N86" s="376"/>
      <c r="O86" s="376"/>
      <c r="P86" s="376"/>
      <c r="Q86" s="376"/>
      <c r="R86" s="376"/>
      <c r="S86" s="376"/>
      <c r="T86" s="376"/>
      <c r="U86" s="376"/>
      <c r="V86" s="376"/>
      <c r="W86" s="376"/>
      <c r="X86" s="376"/>
      <c r="Y86" s="376"/>
      <c r="Z86" s="376"/>
      <c r="AA86" s="376"/>
      <c r="AB86" s="376"/>
      <c r="AC86" s="376"/>
      <c r="AD86" s="376"/>
      <c r="AE86" s="376"/>
      <c r="AF86" s="376"/>
      <c r="AG86" s="376"/>
      <c r="AH86" s="376"/>
      <c r="AI86" s="376"/>
      <c r="AJ86" s="376"/>
      <c r="AK86" s="376"/>
      <c r="AL86" s="700"/>
      <c r="AM86" s="700"/>
      <c r="AN86" s="700"/>
      <c r="AO86" s="700"/>
      <c r="AP86" s="268"/>
      <c r="AQ86" s="700"/>
      <c r="AR86" s="700"/>
      <c r="AS86" s="700"/>
      <c r="AT86" s="700"/>
      <c r="AU86" s="268"/>
      <c r="AV86" s="376"/>
      <c r="AW86" s="376"/>
      <c r="AX86" s="376"/>
      <c r="AY86" s="376"/>
      <c r="AZ86" s="268"/>
      <c r="BA86" s="376"/>
      <c r="BB86" s="376"/>
      <c r="BC86" s="376"/>
      <c r="BD86" s="376"/>
      <c r="BE86" s="268"/>
      <c r="BF86" s="376"/>
      <c r="BG86" s="376"/>
      <c r="BH86" s="376"/>
      <c r="BI86" s="376"/>
    </row>
    <row r="87" spans="1:61">
      <c r="A87" s="25" t="s">
        <v>1007</v>
      </c>
      <c r="B87" s="26" t="s">
        <v>988</v>
      </c>
      <c r="C87" s="26"/>
      <c r="D87" s="26"/>
      <c r="E87" s="27"/>
      <c r="F87" s="196">
        <f>SF!F87</f>
        <v>31.607279999999999</v>
      </c>
      <c r="G87" s="211"/>
      <c r="H87" s="34"/>
      <c r="I87" s="196">
        <f>SF!I87</f>
        <v>-15.140358000000003</v>
      </c>
      <c r="J87" s="196">
        <f>SF!J87</f>
        <v>0</v>
      </c>
      <c r="K87" s="289"/>
      <c r="L87" s="274"/>
      <c r="M87" s="376">
        <v>0</v>
      </c>
      <c r="N87" s="376">
        <v>0</v>
      </c>
      <c r="O87" s="376">
        <v>0</v>
      </c>
      <c r="P87" s="376">
        <v>0</v>
      </c>
      <c r="Q87" s="376"/>
      <c r="R87" s="268">
        <v>0</v>
      </c>
      <c r="S87" s="268">
        <v>0</v>
      </c>
      <c r="T87" s="268">
        <v>0</v>
      </c>
      <c r="U87" s="268">
        <v>0</v>
      </c>
      <c r="V87" s="268"/>
      <c r="W87" s="268">
        <f>-0.3*1</f>
        <v>-0.3</v>
      </c>
      <c r="X87" s="268">
        <f>-0.3*1</f>
        <v>-0.3</v>
      </c>
      <c r="Y87" s="268">
        <f>0.3*1</f>
        <v>0.3</v>
      </c>
      <c r="Z87" s="268">
        <f>0.3*1</f>
        <v>0.3</v>
      </c>
      <c r="AA87" s="268"/>
      <c r="AB87" s="376">
        <v>-0.3</v>
      </c>
      <c r="AC87" s="376">
        <v>-0.3</v>
      </c>
      <c r="AD87" s="376">
        <v>0.3</v>
      </c>
      <c r="AE87" s="376">
        <v>0.3</v>
      </c>
      <c r="AF87" s="376"/>
      <c r="AG87" s="376">
        <v>-0.3</v>
      </c>
      <c r="AH87" s="376">
        <v>-0.3</v>
      </c>
      <c r="AI87" s="376">
        <v>0.3</v>
      </c>
      <c r="AJ87" s="376">
        <v>0.3</v>
      </c>
      <c r="AK87" s="376"/>
      <c r="AL87" s="700">
        <v>0</v>
      </c>
      <c r="AM87" s="700">
        <v>0</v>
      </c>
      <c r="AN87" s="700">
        <v>0</v>
      </c>
      <c r="AO87" s="700">
        <v>0</v>
      </c>
      <c r="AP87" s="268"/>
      <c r="AQ87" s="699">
        <v>0</v>
      </c>
      <c r="AR87" s="699">
        <v>0</v>
      </c>
      <c r="AS87" s="699">
        <v>0</v>
      </c>
      <c r="AT87" s="699">
        <v>0</v>
      </c>
      <c r="AU87" s="268"/>
      <c r="AV87" s="268">
        <f>-0.3*1</f>
        <v>-0.3</v>
      </c>
      <c r="AW87" s="268">
        <f>-0.3*1</f>
        <v>-0.3</v>
      </c>
      <c r="AX87" s="268">
        <f>0.3*1</f>
        <v>0.3</v>
      </c>
      <c r="AY87" s="268">
        <f>0.3*1</f>
        <v>0.3</v>
      </c>
      <c r="AZ87" s="268"/>
      <c r="BA87" s="376">
        <v>-0.3</v>
      </c>
      <c r="BB87" s="376">
        <v>-0.3</v>
      </c>
      <c r="BC87" s="376">
        <v>0.3</v>
      </c>
      <c r="BD87" s="376">
        <v>0.3</v>
      </c>
      <c r="BE87" s="268"/>
      <c r="BF87" s="376">
        <v>-0.3</v>
      </c>
      <c r="BG87" s="376">
        <v>-0.3</v>
      </c>
      <c r="BH87" s="376">
        <v>0.3</v>
      </c>
      <c r="BI87" s="376">
        <v>0.3</v>
      </c>
    </row>
    <row r="88" spans="1:61">
      <c r="A88" s="25" t="s">
        <v>1008</v>
      </c>
      <c r="B88" s="26" t="s">
        <v>989</v>
      </c>
      <c r="C88" s="26"/>
      <c r="D88" s="26"/>
      <c r="E88" s="27"/>
      <c r="F88" s="196">
        <f>SF!F88</f>
        <v>31.607279999999999</v>
      </c>
      <c r="G88" s="211"/>
      <c r="H88" s="34"/>
      <c r="I88" s="196">
        <f>SF!I88</f>
        <v>15.140358000000003</v>
      </c>
      <c r="J88" s="196">
        <f>SF!J88</f>
        <v>0</v>
      </c>
      <c r="K88" s="275"/>
      <c r="L88" s="276"/>
      <c r="M88" s="268">
        <v>0</v>
      </c>
      <c r="N88" s="268">
        <v>0</v>
      </c>
      <c r="O88" s="268">
        <v>0</v>
      </c>
      <c r="P88" s="268">
        <v>0</v>
      </c>
      <c r="Q88" s="268"/>
      <c r="R88" s="376">
        <f>-0.3*0.5</f>
        <v>-0.15</v>
      </c>
      <c r="S88" s="376">
        <f>-0.3*0.5</f>
        <v>-0.15</v>
      </c>
      <c r="T88" s="376">
        <f>0.3*0.5</f>
        <v>0.15</v>
      </c>
      <c r="U88" s="376">
        <f>0.3*0.5</f>
        <v>0.15</v>
      </c>
      <c r="V88" s="376"/>
      <c r="W88" s="376">
        <f>-0.3*1</f>
        <v>-0.3</v>
      </c>
      <c r="X88" s="376">
        <f>-0.3*1</f>
        <v>-0.3</v>
      </c>
      <c r="Y88" s="376">
        <f>0.3*1</f>
        <v>0.3</v>
      </c>
      <c r="Z88" s="376">
        <f>0.3*1</f>
        <v>0.3</v>
      </c>
      <c r="AA88" s="376"/>
      <c r="AB88" s="268">
        <v>-0.3</v>
      </c>
      <c r="AC88" s="268">
        <v>-0.3</v>
      </c>
      <c r="AD88" s="268">
        <v>0.3</v>
      </c>
      <c r="AE88" s="268">
        <v>0.3</v>
      </c>
      <c r="AF88" s="268"/>
      <c r="AG88" s="268">
        <v>-0.3</v>
      </c>
      <c r="AH88" s="268">
        <v>-0.3</v>
      </c>
      <c r="AI88" s="268">
        <v>0.3</v>
      </c>
      <c r="AJ88" s="268">
        <v>0.3</v>
      </c>
      <c r="AK88" s="268"/>
      <c r="AL88" s="699">
        <v>0</v>
      </c>
      <c r="AM88" s="699">
        <v>0</v>
      </c>
      <c r="AN88" s="699">
        <v>0</v>
      </c>
      <c r="AO88" s="699">
        <v>0</v>
      </c>
      <c r="AP88" s="268"/>
      <c r="AQ88" s="700">
        <f>-0.3*0.5</f>
        <v>-0.15</v>
      </c>
      <c r="AR88" s="700">
        <f>-0.3*0.5</f>
        <v>-0.15</v>
      </c>
      <c r="AS88" s="700">
        <f>0.3*0.5</f>
        <v>0.15</v>
      </c>
      <c r="AT88" s="700">
        <f>0.3*0.5</f>
        <v>0.15</v>
      </c>
      <c r="AU88" s="268"/>
      <c r="AV88" s="376">
        <f>-0.3*1</f>
        <v>-0.3</v>
      </c>
      <c r="AW88" s="376">
        <f>-0.3*1</f>
        <v>-0.3</v>
      </c>
      <c r="AX88" s="376">
        <f>0.3*1</f>
        <v>0.3</v>
      </c>
      <c r="AY88" s="376">
        <f>0.3*1</f>
        <v>0.3</v>
      </c>
      <c r="AZ88" s="268"/>
      <c r="BA88" s="268">
        <v>-0.3</v>
      </c>
      <c r="BB88" s="268">
        <v>-0.3</v>
      </c>
      <c r="BC88" s="268">
        <v>0.3</v>
      </c>
      <c r="BD88" s="268">
        <v>0.3</v>
      </c>
      <c r="BE88" s="268"/>
      <c r="BF88" s="268">
        <v>-0.3</v>
      </c>
      <c r="BG88" s="268">
        <v>-0.3</v>
      </c>
      <c r="BH88" s="268">
        <v>0.3</v>
      </c>
      <c r="BI88" s="268">
        <v>0.3</v>
      </c>
    </row>
    <row r="89" spans="1:61">
      <c r="A89" s="69"/>
      <c r="B89" s="26"/>
      <c r="C89" s="26"/>
      <c r="D89" s="26"/>
      <c r="E89" s="27"/>
      <c r="F89" s="197"/>
      <c r="G89" s="211"/>
      <c r="H89" s="34"/>
      <c r="I89" s="197"/>
      <c r="J89" s="89"/>
      <c r="K89" s="275"/>
      <c r="L89" s="276"/>
      <c r="M89" s="268"/>
      <c r="N89" s="268"/>
      <c r="O89" s="268"/>
      <c r="P89" s="268"/>
      <c r="Q89" s="268"/>
      <c r="R89" s="268"/>
      <c r="S89" s="268"/>
      <c r="T89" s="268"/>
      <c r="U89" s="268"/>
      <c r="V89" s="268"/>
      <c r="W89" s="268"/>
      <c r="X89" s="268"/>
      <c r="Y89" s="268"/>
      <c r="Z89" s="268"/>
      <c r="AA89" s="268"/>
      <c r="AB89" s="268"/>
      <c r="AC89" s="268"/>
      <c r="AD89" s="268"/>
      <c r="AE89" s="268"/>
      <c r="AF89" s="268"/>
      <c r="AG89" s="268"/>
      <c r="AH89" s="268"/>
      <c r="AI89" s="268"/>
      <c r="AJ89" s="268"/>
      <c r="AK89" s="268"/>
      <c r="AL89" s="699"/>
      <c r="AM89" s="699"/>
      <c r="AN89" s="699"/>
      <c r="AO89" s="699"/>
      <c r="AP89" s="268"/>
      <c r="AQ89" s="699"/>
      <c r="AR89" s="699"/>
      <c r="AS89" s="699"/>
      <c r="AT89" s="699"/>
      <c r="AU89" s="268"/>
      <c r="AV89" s="268"/>
      <c r="AW89" s="268"/>
      <c r="AX89" s="268"/>
      <c r="AY89" s="268"/>
      <c r="AZ89" s="268"/>
      <c r="BA89" s="268"/>
      <c r="BB89" s="268"/>
      <c r="BC89" s="268"/>
      <c r="BD89" s="268"/>
      <c r="BE89" s="268"/>
      <c r="BF89" s="268"/>
      <c r="BG89" s="268"/>
      <c r="BH89" s="268"/>
      <c r="BI89" s="268"/>
    </row>
    <row r="90" spans="1:61">
      <c r="A90" s="25" t="s">
        <v>999</v>
      </c>
      <c r="B90" s="26"/>
      <c r="C90" s="26"/>
      <c r="D90" s="26"/>
      <c r="E90" s="27"/>
      <c r="F90" s="197"/>
      <c r="G90" s="211"/>
      <c r="H90" s="34"/>
      <c r="I90" s="197"/>
      <c r="J90" s="89"/>
      <c r="K90" s="275"/>
      <c r="L90" s="276"/>
      <c r="M90" s="268"/>
      <c r="N90" s="268"/>
      <c r="O90" s="268"/>
      <c r="P90" s="268"/>
      <c r="Q90" s="268"/>
      <c r="R90" s="268"/>
      <c r="S90" s="268"/>
      <c r="T90" s="268"/>
      <c r="U90" s="268"/>
      <c r="V90" s="268"/>
      <c r="W90" s="268"/>
      <c r="X90" s="268"/>
      <c r="Y90" s="268"/>
      <c r="Z90" s="268"/>
      <c r="AA90" s="268"/>
      <c r="AB90" s="268"/>
      <c r="AC90" s="268"/>
      <c r="AD90" s="268"/>
      <c r="AE90" s="268"/>
      <c r="AF90" s="268"/>
      <c r="AG90" s="268"/>
      <c r="AH90" s="268"/>
      <c r="AI90" s="268"/>
      <c r="AJ90" s="268"/>
      <c r="AK90" s="268"/>
      <c r="AL90" s="699"/>
      <c r="AM90" s="699"/>
      <c r="AN90" s="699"/>
      <c r="AO90" s="699"/>
      <c r="AP90" s="268"/>
      <c r="AQ90" s="699"/>
      <c r="AR90" s="699"/>
      <c r="AS90" s="699"/>
      <c r="AT90" s="699"/>
      <c r="AU90" s="268"/>
      <c r="AV90" s="268"/>
      <c r="AW90" s="268"/>
      <c r="AX90" s="268"/>
      <c r="AY90" s="268"/>
      <c r="AZ90" s="268"/>
      <c r="BA90" s="268"/>
      <c r="BB90" s="268"/>
      <c r="BC90" s="268"/>
      <c r="BD90" s="268"/>
      <c r="BE90" s="268"/>
      <c r="BF90" s="268"/>
      <c r="BG90" s="268"/>
      <c r="BH90" s="268"/>
      <c r="BI90" s="268"/>
    </row>
    <row r="91" spans="1:61">
      <c r="A91" s="25" t="s">
        <v>1002</v>
      </c>
      <c r="B91" s="26"/>
      <c r="C91" s="26"/>
      <c r="D91" s="26"/>
      <c r="E91" s="27"/>
      <c r="F91" s="197"/>
      <c r="G91" s="211"/>
      <c r="H91" s="34"/>
      <c r="I91" s="197"/>
      <c r="J91" s="89"/>
      <c r="K91" s="275"/>
      <c r="L91" s="276"/>
      <c r="M91" s="268"/>
      <c r="N91" s="268"/>
      <c r="O91" s="268"/>
      <c r="P91" s="268"/>
      <c r="Q91" s="268"/>
      <c r="R91" s="268"/>
      <c r="S91" s="268"/>
      <c r="T91" s="268"/>
      <c r="U91" s="268"/>
      <c r="V91" s="268"/>
      <c r="W91" s="268"/>
      <c r="X91" s="268"/>
      <c r="Y91" s="268"/>
      <c r="Z91" s="268"/>
      <c r="AA91" s="268"/>
      <c r="AB91" s="268"/>
      <c r="AC91" s="268"/>
      <c r="AD91" s="268"/>
      <c r="AE91" s="268"/>
      <c r="AF91" s="268"/>
      <c r="AG91" s="268"/>
      <c r="AH91" s="268"/>
      <c r="AI91" s="268"/>
      <c r="AJ91" s="268"/>
      <c r="AK91" s="268"/>
      <c r="AL91" s="699"/>
      <c r="AM91" s="699"/>
      <c r="AN91" s="699"/>
      <c r="AO91" s="699"/>
      <c r="AP91" s="268"/>
      <c r="AQ91" s="699"/>
      <c r="AR91" s="699"/>
      <c r="AS91" s="699"/>
      <c r="AT91" s="699"/>
      <c r="AU91" s="268"/>
      <c r="AV91" s="268"/>
      <c r="AW91" s="268"/>
      <c r="AX91" s="268"/>
      <c r="AY91" s="268"/>
      <c r="AZ91" s="268"/>
      <c r="BA91" s="268"/>
      <c r="BB91" s="268"/>
      <c r="BC91" s="268"/>
      <c r="BD91" s="268"/>
      <c r="BE91" s="268"/>
      <c r="BF91" s="268"/>
      <c r="BG91" s="268"/>
      <c r="BH91" s="268"/>
      <c r="BI91" s="268"/>
    </row>
    <row r="92" spans="1:61">
      <c r="A92" s="25" t="s">
        <v>1009</v>
      </c>
      <c r="B92" s="26" t="s">
        <v>1000</v>
      </c>
      <c r="C92" s="26"/>
      <c r="D92" s="26"/>
      <c r="E92" s="27"/>
      <c r="F92" s="196">
        <f>SF!F92</f>
        <v>7.0373232000000003</v>
      </c>
      <c r="G92" s="211"/>
      <c r="H92" s="34"/>
      <c r="I92" s="196">
        <f>SF!I92</f>
        <v>-3.5186616000000002</v>
      </c>
      <c r="J92" s="196">
        <f>SF!J92</f>
        <v>-1.0914190890810807</v>
      </c>
      <c r="K92" s="275"/>
      <c r="L92" s="276"/>
      <c r="M92" s="268">
        <v>0</v>
      </c>
      <c r="N92" s="268">
        <v>0</v>
      </c>
      <c r="O92" s="268">
        <v>0</v>
      </c>
      <c r="P92" s="268">
        <v>0</v>
      </c>
      <c r="Q92" s="268"/>
      <c r="R92" s="268">
        <v>0</v>
      </c>
      <c r="S92" s="268">
        <v>0</v>
      </c>
      <c r="T92" s="268">
        <v>0</v>
      </c>
      <c r="U92" s="268">
        <v>0</v>
      </c>
      <c r="V92" s="268"/>
      <c r="W92" s="268">
        <v>0</v>
      </c>
      <c r="X92" s="268">
        <v>0</v>
      </c>
      <c r="Y92" s="268">
        <v>0</v>
      </c>
      <c r="Z92" s="268">
        <v>0</v>
      </c>
      <c r="AA92" s="268"/>
      <c r="AB92" s="268">
        <f>-0.3*0.2</f>
        <v>-0.06</v>
      </c>
      <c r="AC92" s="268">
        <f>-0.3*0.2</f>
        <v>-0.06</v>
      </c>
      <c r="AD92" s="268">
        <f>0.3*0.2</f>
        <v>0.06</v>
      </c>
      <c r="AE92" s="268">
        <f>0.3*0.2</f>
        <v>0.06</v>
      </c>
      <c r="AF92" s="268"/>
      <c r="AG92" s="268">
        <v>0</v>
      </c>
      <c r="AH92" s="268">
        <v>0</v>
      </c>
      <c r="AI92" s="268">
        <v>0</v>
      </c>
      <c r="AJ92" s="268">
        <v>0</v>
      </c>
      <c r="AK92" s="268"/>
      <c r="AL92" s="699">
        <v>0</v>
      </c>
      <c r="AM92" s="699">
        <v>0</v>
      </c>
      <c r="AN92" s="699">
        <v>0</v>
      </c>
      <c r="AO92" s="699">
        <v>0</v>
      </c>
      <c r="AP92" s="268"/>
      <c r="AQ92" s="699">
        <v>0</v>
      </c>
      <c r="AR92" s="699">
        <v>0</v>
      </c>
      <c r="AS92" s="699">
        <v>0</v>
      </c>
      <c r="AT92" s="699">
        <v>0</v>
      </c>
      <c r="AU92" s="268"/>
      <c r="AV92" s="268">
        <v>0</v>
      </c>
      <c r="AW92" s="268">
        <v>0</v>
      </c>
      <c r="AX92" s="268">
        <v>0</v>
      </c>
      <c r="AY92" s="268">
        <v>0</v>
      </c>
      <c r="AZ92" s="268"/>
      <c r="BA92" s="268">
        <f>-0.3*0.2</f>
        <v>-0.06</v>
      </c>
      <c r="BB92" s="268">
        <f>-0.3*0.2</f>
        <v>-0.06</v>
      </c>
      <c r="BC92" s="268">
        <f>0.3*0.2</f>
        <v>0.06</v>
      </c>
      <c r="BD92" s="268">
        <f>0.3*0.2</f>
        <v>0.06</v>
      </c>
      <c r="BE92" s="268"/>
      <c r="BF92" s="268">
        <v>0</v>
      </c>
      <c r="BG92" s="268">
        <v>0</v>
      </c>
      <c r="BH92" s="268">
        <v>0</v>
      </c>
      <c r="BI92" s="268">
        <v>0</v>
      </c>
    </row>
    <row r="93" spans="1:61">
      <c r="A93" s="25" t="s">
        <v>1010</v>
      </c>
      <c r="B93" s="26" t="s">
        <v>1001</v>
      </c>
      <c r="C93" s="26"/>
      <c r="D93" s="26"/>
      <c r="E93" s="27"/>
      <c r="F93" s="196">
        <f>SF!F93</f>
        <v>8.1200139428571472</v>
      </c>
      <c r="G93" s="211"/>
      <c r="H93" s="34"/>
      <c r="I93" s="196">
        <f>SF!I93</f>
        <v>4.0600069714285736</v>
      </c>
      <c r="J93" s="196">
        <f>SF!J93</f>
        <v>-1.259333693930502</v>
      </c>
      <c r="K93" s="275"/>
      <c r="L93" s="276"/>
      <c r="M93" s="268">
        <v>0</v>
      </c>
      <c r="N93" s="268">
        <v>0</v>
      </c>
      <c r="O93" s="268">
        <v>0</v>
      </c>
      <c r="P93" s="268">
        <v>0</v>
      </c>
      <c r="Q93" s="268"/>
      <c r="R93" s="268">
        <v>0</v>
      </c>
      <c r="S93" s="268">
        <v>0</v>
      </c>
      <c r="T93" s="268">
        <v>0</v>
      </c>
      <c r="U93" s="268">
        <v>0</v>
      </c>
      <c r="V93" s="268"/>
      <c r="W93" s="268">
        <v>0</v>
      </c>
      <c r="X93" s="268">
        <v>0</v>
      </c>
      <c r="Y93" s="268">
        <v>0</v>
      </c>
      <c r="Z93" s="268">
        <v>0</v>
      </c>
      <c r="AA93" s="268"/>
      <c r="AB93" s="268">
        <f>-0.3*0.2</f>
        <v>-0.06</v>
      </c>
      <c r="AC93" s="268">
        <f>-0.3*0.2</f>
        <v>-0.06</v>
      </c>
      <c r="AD93" s="268">
        <f>0.3*0.2</f>
        <v>0.06</v>
      </c>
      <c r="AE93" s="268">
        <f>0.3*0.2</f>
        <v>0.06</v>
      </c>
      <c r="AF93" s="268"/>
      <c r="AG93" s="268">
        <v>0</v>
      </c>
      <c r="AH93" s="268">
        <v>0</v>
      </c>
      <c r="AI93" s="268">
        <v>0</v>
      </c>
      <c r="AJ93" s="268">
        <v>0</v>
      </c>
      <c r="AK93" s="268"/>
      <c r="AL93" s="699">
        <v>0</v>
      </c>
      <c r="AM93" s="699">
        <v>0</v>
      </c>
      <c r="AN93" s="699">
        <v>0</v>
      </c>
      <c r="AO93" s="699">
        <v>0</v>
      </c>
      <c r="AP93" s="268"/>
      <c r="AQ93" s="699">
        <v>0</v>
      </c>
      <c r="AR93" s="699">
        <v>0</v>
      </c>
      <c r="AS93" s="699">
        <v>0</v>
      </c>
      <c r="AT93" s="699">
        <v>0</v>
      </c>
      <c r="AU93" s="268"/>
      <c r="AV93" s="268">
        <v>0</v>
      </c>
      <c r="AW93" s="268">
        <v>0</v>
      </c>
      <c r="AX93" s="268">
        <v>0</v>
      </c>
      <c r="AY93" s="268">
        <v>0</v>
      </c>
      <c r="AZ93" s="268"/>
      <c r="BA93" s="268">
        <f>-0.3*0.2</f>
        <v>-0.06</v>
      </c>
      <c r="BB93" s="268">
        <f>-0.3*0.2</f>
        <v>-0.06</v>
      </c>
      <c r="BC93" s="268">
        <f>0.3*0.2</f>
        <v>0.06</v>
      </c>
      <c r="BD93" s="268">
        <f>0.3*0.2</f>
        <v>0.06</v>
      </c>
      <c r="BE93" s="268"/>
      <c r="BF93" s="268">
        <v>0</v>
      </c>
      <c r="BG93" s="268">
        <v>0</v>
      </c>
      <c r="BH93" s="268">
        <v>0</v>
      </c>
      <c r="BI93" s="268">
        <v>0</v>
      </c>
    </row>
    <row r="94" spans="1:61">
      <c r="A94" s="25" t="s">
        <v>1003</v>
      </c>
      <c r="B94" s="26"/>
      <c r="C94" s="26"/>
      <c r="D94" s="26"/>
      <c r="E94" s="27"/>
      <c r="F94" s="197"/>
      <c r="G94" s="211"/>
      <c r="H94" s="34"/>
      <c r="I94" s="197"/>
      <c r="J94" s="89"/>
      <c r="K94" s="275"/>
      <c r="L94" s="276"/>
      <c r="M94" s="268"/>
      <c r="N94" s="268"/>
      <c r="O94" s="268"/>
      <c r="P94" s="268"/>
      <c r="Q94" s="268"/>
      <c r="R94" s="268"/>
      <c r="S94" s="268"/>
      <c r="T94" s="268"/>
      <c r="U94" s="268"/>
      <c r="V94" s="268"/>
      <c r="W94" s="268"/>
      <c r="X94" s="268"/>
      <c r="Y94" s="268"/>
      <c r="Z94" s="268"/>
      <c r="AA94" s="268"/>
      <c r="AB94" s="268"/>
      <c r="AC94" s="268"/>
      <c r="AD94" s="268"/>
      <c r="AE94" s="268"/>
      <c r="AF94" s="268"/>
      <c r="AG94" s="268"/>
      <c r="AH94" s="268"/>
      <c r="AI94" s="268"/>
      <c r="AJ94" s="268"/>
      <c r="AK94" s="268"/>
      <c r="AL94" s="699"/>
      <c r="AM94" s="699"/>
      <c r="AN94" s="699"/>
      <c r="AO94" s="699"/>
      <c r="AP94" s="268"/>
      <c r="AQ94" s="699"/>
      <c r="AR94" s="699"/>
      <c r="AS94" s="699"/>
      <c r="AT94" s="699"/>
      <c r="AU94" s="268"/>
      <c r="AV94" s="268"/>
      <c r="AW94" s="268"/>
      <c r="AX94" s="268"/>
      <c r="AY94" s="268"/>
      <c r="AZ94" s="268"/>
      <c r="BA94" s="268"/>
      <c r="BB94" s="268"/>
      <c r="BC94" s="268"/>
      <c r="BD94" s="268"/>
      <c r="BE94" s="268"/>
      <c r="BF94" s="268"/>
      <c r="BG94" s="268"/>
      <c r="BH94" s="268"/>
      <c r="BI94" s="268"/>
    </row>
    <row r="95" spans="1:61">
      <c r="A95" s="25" t="s">
        <v>1009</v>
      </c>
      <c r="B95" s="26" t="s">
        <v>1000</v>
      </c>
      <c r="C95" s="26"/>
      <c r="D95" s="26"/>
      <c r="E95" s="27"/>
      <c r="F95" s="196">
        <f>SF!F95</f>
        <v>0</v>
      </c>
      <c r="G95" s="211"/>
      <c r="H95" s="34"/>
      <c r="I95" s="196">
        <f>SF!I95</f>
        <v>0</v>
      </c>
      <c r="J95" s="196">
        <f>SF!J95</f>
        <v>0</v>
      </c>
      <c r="K95" s="275"/>
      <c r="L95" s="276"/>
      <c r="M95" s="268">
        <v>0</v>
      </c>
      <c r="N95" s="268">
        <v>0</v>
      </c>
      <c r="O95" s="268">
        <v>0</v>
      </c>
      <c r="P95" s="268">
        <v>0</v>
      </c>
      <c r="Q95" s="268"/>
      <c r="R95" s="268">
        <v>0</v>
      </c>
      <c r="S95" s="268">
        <v>0</v>
      </c>
      <c r="T95" s="268">
        <v>0</v>
      </c>
      <c r="U95" s="268">
        <v>0</v>
      </c>
      <c r="V95" s="268"/>
      <c r="W95" s="268">
        <v>0</v>
      </c>
      <c r="X95" s="268">
        <v>0</v>
      </c>
      <c r="Y95" s="268">
        <v>0</v>
      </c>
      <c r="Z95" s="268">
        <v>0</v>
      </c>
      <c r="AA95" s="268"/>
      <c r="AB95" s="268">
        <v>0</v>
      </c>
      <c r="AC95" s="268">
        <v>0</v>
      </c>
      <c r="AD95" s="268">
        <v>0</v>
      </c>
      <c r="AE95" s="268">
        <v>0</v>
      </c>
      <c r="AF95" s="268"/>
      <c r="AG95" s="268">
        <f>-0.3*0.2</f>
        <v>-0.06</v>
      </c>
      <c r="AH95" s="268">
        <f>-0.3*0.2</f>
        <v>-0.06</v>
      </c>
      <c r="AI95" s="268">
        <f>0.3*0.2</f>
        <v>0.06</v>
      </c>
      <c r="AJ95" s="268">
        <f>0.3*0.2</f>
        <v>0.06</v>
      </c>
      <c r="AK95" s="268"/>
      <c r="AL95" s="699">
        <v>0</v>
      </c>
      <c r="AM95" s="699">
        <v>0</v>
      </c>
      <c r="AN95" s="699">
        <v>0</v>
      </c>
      <c r="AO95" s="699">
        <v>0</v>
      </c>
      <c r="AP95" s="268"/>
      <c r="AQ95" s="699">
        <v>0</v>
      </c>
      <c r="AR95" s="699">
        <v>0</v>
      </c>
      <c r="AS95" s="699">
        <v>0</v>
      </c>
      <c r="AT95" s="699">
        <v>0</v>
      </c>
      <c r="AU95" s="268"/>
      <c r="AV95" s="268">
        <v>0</v>
      </c>
      <c r="AW95" s="268">
        <v>0</v>
      </c>
      <c r="AX95" s="268">
        <v>0</v>
      </c>
      <c r="AY95" s="268">
        <v>0</v>
      </c>
      <c r="AZ95" s="268"/>
      <c r="BA95" s="268">
        <v>0</v>
      </c>
      <c r="BB95" s="268">
        <v>0</v>
      </c>
      <c r="BC95" s="268">
        <v>0</v>
      </c>
      <c r="BD95" s="268">
        <v>0</v>
      </c>
      <c r="BE95" s="268"/>
      <c r="BF95" s="268">
        <f>-0.3*0.2</f>
        <v>-0.06</v>
      </c>
      <c r="BG95" s="268">
        <f>-0.3*0.2</f>
        <v>-0.06</v>
      </c>
      <c r="BH95" s="268">
        <f>0.3*0.2</f>
        <v>0.06</v>
      </c>
      <c r="BI95" s="268">
        <f>0.3*0.2</f>
        <v>0.06</v>
      </c>
    </row>
    <row r="96" spans="1:61">
      <c r="A96" s="25" t="s">
        <v>1010</v>
      </c>
      <c r="B96" s="26" t="s">
        <v>1001</v>
      </c>
      <c r="C96" s="26"/>
      <c r="D96" s="26"/>
      <c r="E96" s="27"/>
      <c r="F96" s="196">
        <f>SF!F96</f>
        <v>13.813144457142862</v>
      </c>
      <c r="G96" s="211"/>
      <c r="H96" s="34"/>
      <c r="I96" s="196">
        <f>SF!I96</f>
        <v>6.9065722285714308</v>
      </c>
      <c r="J96" s="196">
        <f>SF!J96</f>
        <v>-2.142281818285714</v>
      </c>
      <c r="K96" s="275"/>
      <c r="L96" s="276"/>
      <c r="M96" s="268">
        <v>0</v>
      </c>
      <c r="N96" s="268">
        <v>0</v>
      </c>
      <c r="O96" s="268">
        <v>0</v>
      </c>
      <c r="P96" s="268">
        <v>0</v>
      </c>
      <c r="Q96" s="268"/>
      <c r="R96" s="268">
        <v>0</v>
      </c>
      <c r="S96" s="268">
        <v>0</v>
      </c>
      <c r="T96" s="268">
        <v>0</v>
      </c>
      <c r="U96" s="268">
        <v>0</v>
      </c>
      <c r="V96" s="268"/>
      <c r="W96" s="268">
        <v>0</v>
      </c>
      <c r="X96" s="268">
        <v>0</v>
      </c>
      <c r="Y96" s="268">
        <v>0</v>
      </c>
      <c r="Z96" s="268">
        <v>0</v>
      </c>
      <c r="AA96" s="268"/>
      <c r="AB96" s="268">
        <v>0</v>
      </c>
      <c r="AC96" s="268">
        <v>0</v>
      </c>
      <c r="AD96" s="268">
        <v>0</v>
      </c>
      <c r="AE96" s="268">
        <v>0</v>
      </c>
      <c r="AF96" s="268"/>
      <c r="AG96" s="268">
        <f>-0.3*0.2</f>
        <v>-0.06</v>
      </c>
      <c r="AH96" s="268">
        <f>-0.3*0.2</f>
        <v>-0.06</v>
      </c>
      <c r="AI96" s="268">
        <f>0.3*0.2</f>
        <v>0.06</v>
      </c>
      <c r="AJ96" s="268">
        <f>0.3*0.2</f>
        <v>0.06</v>
      </c>
      <c r="AK96" s="268"/>
      <c r="AL96" s="699">
        <v>0</v>
      </c>
      <c r="AM96" s="699">
        <v>0</v>
      </c>
      <c r="AN96" s="699">
        <v>0</v>
      </c>
      <c r="AO96" s="699">
        <v>0</v>
      </c>
      <c r="AP96" s="268"/>
      <c r="AQ96" s="699">
        <v>0</v>
      </c>
      <c r="AR96" s="699">
        <v>0</v>
      </c>
      <c r="AS96" s="699">
        <v>0</v>
      </c>
      <c r="AT96" s="699">
        <v>0</v>
      </c>
      <c r="AU96" s="268"/>
      <c r="AV96" s="268">
        <v>0</v>
      </c>
      <c r="AW96" s="268">
        <v>0</v>
      </c>
      <c r="AX96" s="268">
        <v>0</v>
      </c>
      <c r="AY96" s="268">
        <v>0</v>
      </c>
      <c r="AZ96" s="268"/>
      <c r="BA96" s="268">
        <v>0</v>
      </c>
      <c r="BB96" s="268">
        <v>0</v>
      </c>
      <c r="BC96" s="268">
        <v>0</v>
      </c>
      <c r="BD96" s="268">
        <v>0</v>
      </c>
      <c r="BE96" s="268"/>
      <c r="BF96" s="268">
        <f>-0.3*0.2</f>
        <v>-0.06</v>
      </c>
      <c r="BG96" s="268">
        <f>-0.3*0.2</f>
        <v>-0.06</v>
      </c>
      <c r="BH96" s="268">
        <f>0.3*0.2</f>
        <v>0.06</v>
      </c>
      <c r="BI96" s="268">
        <f>0.3*0.2</f>
        <v>0.06</v>
      </c>
    </row>
    <row r="97" spans="1:61">
      <c r="A97" s="69"/>
      <c r="B97" s="26"/>
      <c r="C97" s="26"/>
      <c r="D97" s="26"/>
      <c r="E97" s="27"/>
      <c r="F97" s="197"/>
      <c r="G97" s="211"/>
      <c r="H97" s="34"/>
      <c r="I97" s="197"/>
      <c r="J97" s="89"/>
      <c r="K97" s="275"/>
      <c r="L97" s="276"/>
      <c r="M97" s="268"/>
      <c r="N97" s="268"/>
      <c r="O97" s="268"/>
      <c r="P97" s="268"/>
      <c r="Q97" s="268"/>
      <c r="R97" s="268"/>
      <c r="S97" s="268"/>
      <c r="T97" s="268"/>
      <c r="U97" s="268"/>
      <c r="V97" s="268"/>
      <c r="W97" s="268"/>
      <c r="X97" s="268"/>
      <c r="Y97" s="268"/>
      <c r="Z97" s="268"/>
      <c r="AA97" s="268"/>
      <c r="AB97" s="268"/>
      <c r="AC97" s="268"/>
      <c r="AD97" s="268"/>
      <c r="AE97" s="268"/>
      <c r="AF97" s="268"/>
      <c r="AG97" s="268"/>
      <c r="AH97" s="268"/>
      <c r="AI97" s="268"/>
      <c r="AJ97" s="268"/>
      <c r="AK97" s="268"/>
      <c r="AL97" s="699"/>
      <c r="AM97" s="699"/>
      <c r="AN97" s="699"/>
      <c r="AO97" s="699"/>
      <c r="AP97" s="268"/>
      <c r="AQ97" s="699"/>
      <c r="AR97" s="699"/>
      <c r="AS97" s="699"/>
      <c r="AT97" s="699"/>
      <c r="AU97" s="268"/>
      <c r="AV97" s="268"/>
      <c r="AW97" s="268"/>
      <c r="AX97" s="268"/>
      <c r="AY97" s="268"/>
      <c r="AZ97" s="268"/>
      <c r="BA97" s="268"/>
      <c r="BB97" s="268"/>
      <c r="BC97" s="268"/>
      <c r="BD97" s="268"/>
      <c r="BE97" s="268"/>
      <c r="BF97" s="268"/>
      <c r="BG97" s="268"/>
      <c r="BH97" s="268"/>
      <c r="BI97" s="268"/>
    </row>
    <row r="98" spans="1:61">
      <c r="A98" s="25" t="s">
        <v>1011</v>
      </c>
      <c r="B98" s="26" t="s">
        <v>211</v>
      </c>
      <c r="C98" s="26"/>
      <c r="D98" s="26"/>
      <c r="E98" s="27"/>
      <c r="F98" s="196">
        <f>SF!F98</f>
        <v>17.865688175801139</v>
      </c>
      <c r="G98" s="211"/>
      <c r="H98" s="197"/>
      <c r="I98" s="196">
        <f>SF!I98</f>
        <v>0</v>
      </c>
      <c r="J98" s="196">
        <f>SF!J98</f>
        <v>0</v>
      </c>
      <c r="K98" s="275"/>
      <c r="L98" s="276"/>
      <c r="M98" s="268">
        <v>0</v>
      </c>
      <c r="N98" s="268">
        <v>0</v>
      </c>
      <c r="O98" s="268">
        <v>0</v>
      </c>
      <c r="P98" s="268">
        <v>0</v>
      </c>
      <c r="Q98" s="268"/>
      <c r="R98" s="376">
        <f>-0.3*0.5</f>
        <v>-0.15</v>
      </c>
      <c r="S98" s="376">
        <f>-0.3*0.5</f>
        <v>-0.15</v>
      </c>
      <c r="T98" s="376">
        <f>0.3*0.5</f>
        <v>0.15</v>
      </c>
      <c r="U98" s="376">
        <f>0.3*0.5</f>
        <v>0.15</v>
      </c>
      <c r="V98" s="376"/>
      <c r="W98" s="376">
        <f>-0.3*1</f>
        <v>-0.3</v>
      </c>
      <c r="X98" s="376">
        <f>-0.3*1</f>
        <v>-0.3</v>
      </c>
      <c r="Y98" s="376">
        <f>0.3*1</f>
        <v>0.3</v>
      </c>
      <c r="Z98" s="376">
        <f>0.3*1</f>
        <v>0.3</v>
      </c>
      <c r="AA98" s="376"/>
      <c r="AB98" s="268">
        <v>-0.3</v>
      </c>
      <c r="AC98" s="268">
        <v>-0.3</v>
      </c>
      <c r="AD98" s="268">
        <v>0.3</v>
      </c>
      <c r="AE98" s="268">
        <v>0.3</v>
      </c>
      <c r="AF98" s="268"/>
      <c r="AG98" s="268">
        <v>-0.3</v>
      </c>
      <c r="AH98" s="268">
        <v>-0.3</v>
      </c>
      <c r="AI98" s="268">
        <v>0.3</v>
      </c>
      <c r="AJ98" s="268">
        <v>0.3</v>
      </c>
      <c r="AK98" s="268"/>
      <c r="AL98" s="699">
        <v>0</v>
      </c>
      <c r="AM98" s="699">
        <v>0</v>
      </c>
      <c r="AN98" s="699">
        <v>0</v>
      </c>
      <c r="AO98" s="699">
        <v>0</v>
      </c>
      <c r="AP98" s="268"/>
      <c r="AQ98" s="700">
        <f>-0.3*0.5</f>
        <v>-0.15</v>
      </c>
      <c r="AR98" s="700">
        <f>-0.3*0.5</f>
        <v>-0.15</v>
      </c>
      <c r="AS98" s="700">
        <f>0.3*0.5</f>
        <v>0.15</v>
      </c>
      <c r="AT98" s="700">
        <f>0.3*0.5</f>
        <v>0.15</v>
      </c>
      <c r="AU98" s="268"/>
      <c r="AV98" s="376">
        <f>-0.3*1</f>
        <v>-0.3</v>
      </c>
      <c r="AW98" s="376">
        <f>-0.3*1</f>
        <v>-0.3</v>
      </c>
      <c r="AX98" s="376">
        <f>0.3*1</f>
        <v>0.3</v>
      </c>
      <c r="AY98" s="376">
        <f>0.3*1</f>
        <v>0.3</v>
      </c>
      <c r="AZ98" s="268"/>
      <c r="BA98" s="268">
        <v>-0.3</v>
      </c>
      <c r="BB98" s="268">
        <v>-0.3</v>
      </c>
      <c r="BC98" s="268">
        <v>0.3</v>
      </c>
      <c r="BD98" s="268">
        <v>0.3</v>
      </c>
      <c r="BE98" s="268"/>
      <c r="BF98" s="268">
        <v>-0.3</v>
      </c>
      <c r="BG98" s="268">
        <v>-0.3</v>
      </c>
      <c r="BH98" s="268">
        <v>0.3</v>
      </c>
      <c r="BI98" s="268">
        <v>0.3</v>
      </c>
    </row>
    <row r="99" spans="1:61">
      <c r="A99" s="25"/>
      <c r="B99" s="26"/>
      <c r="C99" s="26"/>
      <c r="D99" s="26"/>
      <c r="E99" s="27"/>
      <c r="F99" s="199"/>
      <c r="G99" s="211"/>
      <c r="H99" s="197"/>
      <c r="I99" s="195"/>
      <c r="J99" s="195"/>
      <c r="K99" s="275"/>
      <c r="L99" s="276"/>
      <c r="M99" s="268"/>
      <c r="N99" s="268"/>
      <c r="O99" s="268"/>
      <c r="P99" s="268"/>
      <c r="Q99" s="268"/>
      <c r="R99" s="376"/>
      <c r="S99" s="376"/>
      <c r="T99" s="376"/>
      <c r="U99" s="376"/>
      <c r="V99" s="376"/>
      <c r="W99" s="376"/>
      <c r="X99" s="376"/>
      <c r="Y99" s="376"/>
      <c r="Z99" s="376"/>
      <c r="AA99" s="376"/>
      <c r="AB99" s="268"/>
      <c r="AC99" s="268"/>
      <c r="AD99" s="268"/>
      <c r="AE99" s="268"/>
      <c r="AF99" s="268"/>
      <c r="AG99" s="268"/>
      <c r="AH99" s="268"/>
      <c r="AI99" s="268"/>
      <c r="AJ99" s="268"/>
      <c r="AK99" s="268"/>
      <c r="AL99" s="705"/>
      <c r="AM99" s="705"/>
      <c r="AN99" s="705"/>
      <c r="AO99" s="705"/>
      <c r="AP99" s="268"/>
      <c r="AQ99" s="700"/>
      <c r="AR99" s="700"/>
      <c r="AS99" s="700"/>
      <c r="AT99" s="704"/>
      <c r="AU99" s="268"/>
      <c r="AV99" s="376"/>
      <c r="AW99" s="376"/>
      <c r="AX99" s="376"/>
      <c r="AY99" s="376"/>
      <c r="AZ99" s="268"/>
      <c r="BA99" s="705"/>
      <c r="BB99" s="705"/>
      <c r="BC99" s="705"/>
      <c r="BD99" s="705"/>
      <c r="BE99" s="268"/>
      <c r="BF99" s="705"/>
      <c r="BG99" s="705"/>
      <c r="BH99" s="705"/>
      <c r="BI99" s="705"/>
    </row>
    <row r="100" spans="1:61">
      <c r="A100" s="693" t="s">
        <v>1136</v>
      </c>
      <c r="B100" s="688"/>
      <c r="C100" s="688"/>
      <c r="D100" s="688"/>
      <c r="E100" s="689"/>
      <c r="F100" s="195"/>
      <c r="G100" s="211"/>
      <c r="H100" s="197"/>
      <c r="I100" s="195"/>
      <c r="J100" s="195"/>
      <c r="K100" s="275"/>
      <c r="L100" s="276"/>
      <c r="M100" s="268"/>
      <c r="N100" s="268"/>
      <c r="O100" s="268"/>
      <c r="P100" s="268"/>
      <c r="Q100" s="268"/>
      <c r="R100" s="376"/>
      <c r="S100" s="376"/>
      <c r="T100" s="376"/>
      <c r="U100" s="376"/>
      <c r="V100" s="376"/>
      <c r="W100" s="376"/>
      <c r="X100" s="376"/>
      <c r="Y100" s="376"/>
      <c r="Z100" s="376"/>
      <c r="AA100" s="376"/>
      <c r="AB100" s="268"/>
      <c r="AC100" s="268"/>
      <c r="AD100" s="268"/>
      <c r="AE100" s="268"/>
      <c r="AF100" s="268"/>
      <c r="AG100" s="268"/>
      <c r="AH100" s="268"/>
      <c r="AI100" s="268"/>
      <c r="AJ100" s="268"/>
      <c r="AK100" s="268"/>
      <c r="AL100" s="705"/>
      <c r="AM100" s="705"/>
      <c r="AN100" s="705"/>
      <c r="AO100" s="705"/>
      <c r="AP100" s="268"/>
      <c r="AQ100" s="700"/>
      <c r="AR100" s="700"/>
      <c r="AS100" s="700"/>
      <c r="AT100" s="704"/>
      <c r="AU100" s="268"/>
      <c r="AV100" s="376"/>
      <c r="AW100" s="376"/>
      <c r="AX100" s="376"/>
      <c r="AY100" s="376"/>
      <c r="AZ100" s="268"/>
      <c r="BA100" s="705"/>
      <c r="BB100" s="705"/>
      <c r="BC100" s="705"/>
      <c r="BD100" s="705"/>
      <c r="BE100" s="268"/>
      <c r="BF100" s="705"/>
      <c r="BG100" s="705"/>
      <c r="BH100" s="705"/>
      <c r="BI100" s="705"/>
    </row>
    <row r="101" spans="1:61">
      <c r="A101" s="686" t="s">
        <v>1473</v>
      </c>
      <c r="B101" s="688" t="s">
        <v>1045</v>
      </c>
      <c r="C101" s="688"/>
      <c r="D101" s="688"/>
      <c r="E101" s="689"/>
      <c r="F101" s="695">
        <f>SF!F101</f>
        <v>21.56382</v>
      </c>
      <c r="G101" s="621"/>
      <c r="H101" s="620"/>
      <c r="I101" s="695">
        <f>SF!I101</f>
        <v>0</v>
      </c>
      <c r="J101" s="695">
        <f>SF!J101</f>
        <v>0</v>
      </c>
      <c r="K101" s="275"/>
      <c r="L101" s="276"/>
      <c r="M101" s="268"/>
      <c r="N101" s="268"/>
      <c r="O101" s="268"/>
      <c r="P101" s="268"/>
      <c r="Q101" s="268"/>
      <c r="R101" s="376"/>
      <c r="S101" s="376"/>
      <c r="T101" s="376"/>
      <c r="U101" s="376"/>
      <c r="V101" s="376"/>
      <c r="W101" s="376"/>
      <c r="X101" s="376"/>
      <c r="Y101" s="376"/>
      <c r="Z101" s="376"/>
      <c r="AA101" s="376"/>
      <c r="AB101" s="268"/>
      <c r="AC101" s="268"/>
      <c r="AD101" s="268"/>
      <c r="AE101" s="268"/>
      <c r="AF101" s="268"/>
      <c r="AG101" s="268"/>
      <c r="AH101" s="268"/>
      <c r="AI101" s="268"/>
      <c r="AJ101" s="268"/>
      <c r="AK101" s="268"/>
      <c r="AL101" s="699">
        <v>0</v>
      </c>
      <c r="AM101" s="699">
        <v>0</v>
      </c>
      <c r="AN101" s="699">
        <v>0</v>
      </c>
      <c r="AO101" s="699">
        <v>0</v>
      </c>
      <c r="AP101" s="268"/>
      <c r="AQ101" s="700">
        <f>-0.3*0.5</f>
        <v>-0.15</v>
      </c>
      <c r="AR101" s="700">
        <f>-0.3*0.5</f>
        <v>-0.15</v>
      </c>
      <c r="AS101" s="700">
        <f>0.3*0.5</f>
        <v>0.15</v>
      </c>
      <c r="AT101" s="700">
        <f>0.3*0.5</f>
        <v>0.15</v>
      </c>
      <c r="AU101" s="268"/>
      <c r="AV101" s="376">
        <f>-0.3*1</f>
        <v>-0.3</v>
      </c>
      <c r="AW101" s="376">
        <f>-0.3*1</f>
        <v>-0.3</v>
      </c>
      <c r="AX101" s="376">
        <f>0.3*1</f>
        <v>0.3</v>
      </c>
      <c r="AY101" s="376">
        <f>0.3*1</f>
        <v>0.3</v>
      </c>
      <c r="AZ101" s="268"/>
      <c r="BA101" s="268">
        <v>-0.3</v>
      </c>
      <c r="BB101" s="268">
        <v>-0.3</v>
      </c>
      <c r="BC101" s="268">
        <v>0.3</v>
      </c>
      <c r="BD101" s="268">
        <v>0.3</v>
      </c>
      <c r="BE101" s="268"/>
      <c r="BF101" s="268">
        <v>-0.3</v>
      </c>
      <c r="BG101" s="268">
        <v>-0.3</v>
      </c>
      <c r="BH101" s="268">
        <v>0.3</v>
      </c>
      <c r="BI101" s="268">
        <v>0.3</v>
      </c>
    </row>
    <row r="102" spans="1:61">
      <c r="A102" s="686"/>
      <c r="B102" s="688"/>
      <c r="C102" s="688"/>
      <c r="D102" s="688"/>
      <c r="E102" s="689"/>
      <c r="F102" s="695"/>
      <c r="G102" s="621"/>
      <c r="H102" s="620"/>
      <c r="I102" s="695"/>
      <c r="J102" s="695"/>
      <c r="K102" s="275"/>
      <c r="L102" s="276"/>
      <c r="M102" s="268"/>
      <c r="N102" s="268"/>
      <c r="O102" s="268"/>
      <c r="P102" s="268"/>
      <c r="Q102" s="268"/>
      <c r="R102" s="376"/>
      <c r="S102" s="376"/>
      <c r="T102" s="376"/>
      <c r="U102" s="376"/>
      <c r="V102" s="376"/>
      <c r="W102" s="376"/>
      <c r="X102" s="376"/>
      <c r="Y102" s="376"/>
      <c r="Z102" s="376"/>
      <c r="AA102" s="376"/>
      <c r="AB102" s="268"/>
      <c r="AC102" s="268"/>
      <c r="AD102" s="268"/>
      <c r="AE102" s="268"/>
      <c r="AF102" s="268"/>
      <c r="AG102" s="268"/>
      <c r="AH102" s="268"/>
      <c r="AI102" s="268"/>
      <c r="AJ102" s="268"/>
      <c r="AK102" s="268"/>
      <c r="AL102" s="699"/>
      <c r="AM102" s="699"/>
      <c r="AN102" s="699"/>
      <c r="AO102" s="699"/>
      <c r="AP102" s="268"/>
      <c r="AQ102" s="700"/>
      <c r="AR102" s="700"/>
      <c r="AS102" s="700"/>
      <c r="AT102" s="700"/>
      <c r="AU102" s="268"/>
      <c r="AV102" s="376"/>
      <c r="AW102" s="376"/>
      <c r="AX102" s="376"/>
      <c r="AY102" s="376"/>
      <c r="AZ102" s="268"/>
      <c r="BA102" s="268"/>
      <c r="BB102" s="268"/>
      <c r="BC102" s="268"/>
      <c r="BD102" s="268"/>
      <c r="BE102" s="268"/>
      <c r="BF102" s="268"/>
      <c r="BG102" s="268"/>
      <c r="BH102" s="268"/>
      <c r="BI102" s="268"/>
    </row>
    <row r="103" spans="1:61">
      <c r="A103" s="25"/>
      <c r="B103" s="26"/>
      <c r="C103" s="26"/>
      <c r="D103" s="11"/>
      <c r="E103" s="191"/>
      <c r="F103" s="197"/>
      <c r="G103" s="211"/>
      <c r="H103" s="197"/>
      <c r="I103" s="197"/>
      <c r="J103" s="89"/>
      <c r="K103" s="289"/>
      <c r="L103" s="274"/>
      <c r="M103" s="376"/>
      <c r="N103" s="376"/>
      <c r="O103" s="376"/>
      <c r="P103" s="376"/>
      <c r="Q103" s="376"/>
      <c r="R103" s="376"/>
      <c r="S103" s="376"/>
      <c r="T103" s="376"/>
      <c r="U103" s="376"/>
      <c r="V103" s="376"/>
      <c r="W103" s="376"/>
      <c r="X103" s="376"/>
      <c r="Y103" s="376"/>
      <c r="Z103" s="376"/>
      <c r="AA103" s="376"/>
      <c r="AB103" s="376"/>
      <c r="AC103" s="376"/>
      <c r="AD103" s="376"/>
      <c r="AE103" s="376"/>
      <c r="AF103" s="376"/>
      <c r="AG103" s="376"/>
      <c r="AH103" s="376"/>
      <c r="AI103" s="376"/>
      <c r="AJ103" s="376"/>
      <c r="AK103" s="376"/>
      <c r="AL103" s="699"/>
      <c r="AM103" s="699"/>
      <c r="AN103" s="699"/>
      <c r="AO103" s="699"/>
      <c r="AP103" s="376"/>
      <c r="AQ103" s="700"/>
      <c r="AR103" s="700"/>
      <c r="AS103" s="700"/>
      <c r="AT103" s="700"/>
      <c r="AU103" s="376"/>
      <c r="AV103" s="376"/>
      <c r="AW103" s="376"/>
      <c r="AX103" s="376"/>
      <c r="AY103" s="376"/>
      <c r="AZ103" s="376"/>
      <c r="BA103" s="268"/>
      <c r="BB103" s="268"/>
      <c r="BC103" s="268"/>
      <c r="BD103" s="268"/>
      <c r="BE103" s="376"/>
      <c r="BF103" s="268"/>
      <c r="BG103" s="268"/>
      <c r="BH103" s="268"/>
      <c r="BI103" s="268"/>
    </row>
    <row r="104" spans="1:61">
      <c r="A104" s="253"/>
      <c r="B104" s="15"/>
      <c r="C104" s="15"/>
      <c r="D104" s="15"/>
      <c r="E104" s="22"/>
      <c r="F104" s="212"/>
      <c r="G104" s="213"/>
      <c r="H104" s="198"/>
      <c r="I104" s="198"/>
      <c r="J104" s="58"/>
      <c r="K104" s="74"/>
      <c r="L104" s="277"/>
      <c r="M104" s="379"/>
      <c r="N104" s="379"/>
      <c r="O104" s="379"/>
      <c r="P104" s="379"/>
      <c r="Q104" s="379"/>
      <c r="R104" s="379"/>
      <c r="S104" s="379"/>
      <c r="T104" s="379"/>
      <c r="U104" s="379"/>
      <c r="V104" s="379"/>
      <c r="W104" s="379"/>
      <c r="X104" s="379"/>
      <c r="Y104" s="379"/>
      <c r="Z104" s="379"/>
      <c r="AA104" s="379"/>
      <c r="AB104" s="379"/>
      <c r="AC104" s="379"/>
      <c r="AD104" s="379"/>
      <c r="AE104" s="379"/>
      <c r="AF104" s="379"/>
      <c r="AG104" s="379"/>
      <c r="AH104" s="379"/>
      <c r="AI104" s="379"/>
      <c r="AJ104" s="379"/>
      <c r="AK104" s="379"/>
      <c r="AL104" s="703"/>
      <c r="AM104" s="703"/>
      <c r="AN104" s="703"/>
      <c r="AO104" s="703"/>
      <c r="AP104" s="379"/>
      <c r="AQ104" s="703"/>
      <c r="AR104" s="703"/>
      <c r="AS104" s="703"/>
      <c r="AT104" s="703"/>
      <c r="AU104" s="379"/>
      <c r="AV104" s="379"/>
      <c r="AW104" s="379"/>
      <c r="AX104" s="379"/>
      <c r="AY104" s="379"/>
      <c r="AZ104" s="379"/>
      <c r="BA104" s="379"/>
      <c r="BB104" s="379"/>
      <c r="BC104" s="379"/>
      <c r="BD104" s="379"/>
      <c r="BE104" s="379"/>
      <c r="BF104" s="379"/>
      <c r="BG104" s="379"/>
      <c r="BH104" s="379"/>
      <c r="BI104" s="379"/>
    </row>
    <row r="105" spans="1:61">
      <c r="A105" s="46"/>
      <c r="B105" s="46"/>
      <c r="C105" s="46"/>
      <c r="D105" s="46"/>
      <c r="E105" s="46"/>
      <c r="F105" s="46"/>
      <c r="G105" s="46"/>
      <c r="H105" s="46"/>
      <c r="I105" s="46"/>
      <c r="J105" s="46"/>
    </row>
    <row r="106" spans="1:61">
      <c r="A106" s="220" t="s">
        <v>73</v>
      </c>
      <c r="B106" s="220" t="s">
        <v>74</v>
      </c>
      <c r="C106" s="200"/>
      <c r="D106" s="200"/>
      <c r="E106" s="217"/>
      <c r="F106" s="1636" t="s">
        <v>72</v>
      </c>
      <c r="G106" s="1637"/>
      <c r="H106" s="1637"/>
      <c r="I106" s="1637"/>
      <c r="J106" s="1638"/>
    </row>
    <row r="107" spans="1:61" ht="18">
      <c r="A107" s="221"/>
      <c r="B107" s="221"/>
      <c r="C107" s="201"/>
      <c r="D107" s="201"/>
      <c r="E107" s="219"/>
      <c r="F107" s="223" t="s">
        <v>23</v>
      </c>
      <c r="G107" s="223" t="s">
        <v>87</v>
      </c>
      <c r="H107" s="223" t="s">
        <v>212</v>
      </c>
      <c r="I107" s="223" t="s">
        <v>80</v>
      </c>
      <c r="J107" s="223" t="s">
        <v>81</v>
      </c>
    </row>
    <row r="108" spans="1:61">
      <c r="A108" s="222"/>
      <c r="B108" s="222"/>
      <c r="C108" s="203"/>
      <c r="D108" s="203"/>
      <c r="E108" s="218"/>
      <c r="F108" s="204" t="s">
        <v>34</v>
      </c>
      <c r="G108" s="204" t="s">
        <v>34</v>
      </c>
      <c r="H108" s="203" t="s">
        <v>34</v>
      </c>
      <c r="I108" s="204" t="s">
        <v>77</v>
      </c>
      <c r="J108" s="204" t="s">
        <v>77</v>
      </c>
    </row>
    <row r="109" spans="1:61">
      <c r="A109" s="202"/>
      <c r="B109" s="200"/>
      <c r="C109" s="200"/>
      <c r="D109" s="200"/>
      <c r="E109" s="217"/>
      <c r="F109" s="205"/>
      <c r="G109" s="205"/>
      <c r="H109" s="201"/>
      <c r="I109" s="205"/>
      <c r="J109" s="205"/>
    </row>
    <row r="110" spans="1:61">
      <c r="A110" s="205" t="str">
        <f>A10</f>
        <v>LC-1</v>
      </c>
      <c r="B110" s="201" t="str">
        <f>B10</f>
        <v>NS LWL Span dislodge case</v>
      </c>
      <c r="C110" s="201"/>
      <c r="D110" s="201"/>
      <c r="E110" s="219"/>
      <c r="F110" s="205">
        <f>SUMPRODUCT(F13:F103,$M$13:$M$103)</f>
        <v>694.38706530953289</v>
      </c>
      <c r="G110" s="1080">
        <f>SUMPRODUCT(G13:G103,$M$13:$M$103)</f>
        <v>14.632999999999999</v>
      </c>
      <c r="H110" s="1080">
        <f>SUMPRODUCT(H13:H103,$M$13:$M$103)</f>
        <v>0</v>
      </c>
      <c r="I110" s="1080">
        <f>SUMPRODUCT(I13:I103,$M$13:$M$103)</f>
        <v>261.34974</v>
      </c>
      <c r="J110" s="1080">
        <f>SUMPRODUCT(J13:J103,$M$13:$M$103)</f>
        <v>0</v>
      </c>
    </row>
    <row r="111" spans="1:61">
      <c r="A111" s="204"/>
      <c r="B111" s="203"/>
      <c r="C111" s="203"/>
      <c r="D111" s="203"/>
      <c r="E111" s="218"/>
      <c r="F111" s="204"/>
      <c r="G111" s="204"/>
      <c r="H111" s="203"/>
      <c r="I111" s="204"/>
      <c r="J111" s="204"/>
    </row>
    <row r="113" spans="1:5">
      <c r="A113" s="112" t="str">
        <f>A110</f>
        <v>LC-1</v>
      </c>
      <c r="B113" s="112" t="str">
        <f>B110</f>
        <v>NS LWL Span dislodge case</v>
      </c>
      <c r="C113" s="11"/>
      <c r="D113" s="11"/>
      <c r="E113" s="191"/>
    </row>
  </sheetData>
  <mergeCells count="2">
    <mergeCell ref="F10:J10"/>
    <mergeCell ref="F106:J106"/>
  </mergeCell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sheetPr codeName="Sheet31">
    <tabColor theme="4" tint="0.59999389629810485"/>
  </sheetPr>
  <dimension ref="A1:M1408"/>
  <sheetViews>
    <sheetView view="pageBreakPreview" zoomScaleSheetLayoutView="100" workbookViewId="0">
      <selection activeCell="M804" sqref="M804"/>
    </sheetView>
  </sheetViews>
  <sheetFormatPr defaultColWidth="7.7109375" defaultRowHeight="15"/>
  <cols>
    <col min="1" max="16384" width="7.7109375" style="1"/>
  </cols>
  <sheetData>
    <row r="1" spans="1:11">
      <c r="A1" s="1" t="s">
        <v>1032</v>
      </c>
    </row>
    <row r="2" spans="1:11">
      <c r="A2" s="1" t="s">
        <v>221</v>
      </c>
    </row>
    <row r="3" spans="1:11">
      <c r="A3" s="1" t="s">
        <v>1033</v>
      </c>
    </row>
    <row r="7" spans="1:11">
      <c r="A7" s="1318" t="str">
        <f>K7</f>
        <v>LC-1</v>
      </c>
      <c r="B7" s="24" t="str">
        <f>VLOOKUP(A7,LC_DEF_2!A3:B42,2,FALSE)</f>
        <v>NS LWL Span dislodge case</v>
      </c>
      <c r="C7" s="24"/>
      <c r="D7" s="24"/>
      <c r="E7" s="21"/>
      <c r="F7" s="1635" t="s">
        <v>742</v>
      </c>
      <c r="G7" s="1635"/>
      <c r="H7" s="1635"/>
      <c r="I7" s="1635"/>
      <c r="J7" s="1600"/>
      <c r="K7" s="413" t="s">
        <v>122</v>
      </c>
    </row>
    <row r="8" spans="1:11" ht="18">
      <c r="A8" s="25" t="s">
        <v>73</v>
      </c>
      <c r="B8" s="26" t="s">
        <v>74</v>
      </c>
      <c r="C8" s="26"/>
      <c r="D8" s="26"/>
      <c r="E8" s="27"/>
      <c r="F8" s="32" t="s">
        <v>23</v>
      </c>
      <c r="G8" s="33" t="s">
        <v>87</v>
      </c>
      <c r="H8" s="33" t="s">
        <v>212</v>
      </c>
      <c r="I8" s="33" t="s">
        <v>80</v>
      </c>
      <c r="J8" s="33" t="s">
        <v>81</v>
      </c>
      <c r="K8" s="376"/>
    </row>
    <row r="9" spans="1:11">
      <c r="A9" s="28"/>
      <c r="B9" s="15"/>
      <c r="C9" s="15"/>
      <c r="D9" s="15"/>
      <c r="E9" s="22"/>
      <c r="F9" s="21" t="s">
        <v>34</v>
      </c>
      <c r="G9" s="36" t="s">
        <v>34</v>
      </c>
      <c r="H9" s="36" t="s">
        <v>34</v>
      </c>
      <c r="I9" s="36" t="s">
        <v>77</v>
      </c>
      <c r="J9" s="36" t="s">
        <v>77</v>
      </c>
      <c r="K9" s="376"/>
    </row>
    <row r="10" spans="1:11">
      <c r="A10" s="25" t="s">
        <v>88</v>
      </c>
      <c r="B10" s="26" t="s">
        <v>75</v>
      </c>
      <c r="C10" s="26"/>
      <c r="D10" s="26"/>
      <c r="E10" s="27"/>
      <c r="F10" s="195">
        <f>SF!F14</f>
        <v>365.08803866482532</v>
      </c>
      <c r="G10" s="210"/>
      <c r="H10" s="34"/>
      <c r="I10" s="195">
        <f>SF!I14</f>
        <v>0</v>
      </c>
      <c r="J10" s="195">
        <f>SF!J14</f>
        <v>0</v>
      </c>
      <c r="K10" s="268">
        <v>1</v>
      </c>
    </row>
    <row r="11" spans="1:11">
      <c r="A11" s="25" t="s">
        <v>90</v>
      </c>
      <c r="B11" s="26" t="s">
        <v>249</v>
      </c>
      <c r="C11" s="26"/>
      <c r="D11" s="26"/>
      <c r="E11" s="27"/>
      <c r="F11" s="195">
        <f>SF!F16</f>
        <v>36.639026644707663</v>
      </c>
      <c r="G11" s="210"/>
      <c r="H11" s="34"/>
      <c r="I11" s="195">
        <f>SF!I16</f>
        <v>0</v>
      </c>
      <c r="J11" s="195">
        <f>SF!J16</f>
        <v>0</v>
      </c>
      <c r="K11" s="268">
        <v>1</v>
      </c>
    </row>
    <row r="12" spans="1:11">
      <c r="A12" s="25" t="s">
        <v>250</v>
      </c>
      <c r="B12" s="26" t="s">
        <v>970</v>
      </c>
      <c r="C12" s="26"/>
      <c r="D12" s="26"/>
      <c r="E12" s="27"/>
      <c r="F12" s="195">
        <f>SF!F23</f>
        <v>230</v>
      </c>
      <c r="G12" s="27"/>
      <c r="H12" s="34"/>
      <c r="I12" s="195">
        <f>SF!I23</f>
        <v>115</v>
      </c>
      <c r="J12" s="195">
        <f>SF!J23</f>
        <v>0</v>
      </c>
      <c r="K12" s="376">
        <v>1</v>
      </c>
    </row>
    <row r="13" spans="1:11">
      <c r="A13" s="25" t="s">
        <v>251</v>
      </c>
      <c r="B13" s="26" t="s">
        <v>971</v>
      </c>
      <c r="C13" s="26"/>
      <c r="D13" s="26"/>
      <c r="E13" s="27"/>
      <c r="F13" s="195">
        <f>SF!F24</f>
        <v>20.660000000000004</v>
      </c>
      <c r="G13" s="27"/>
      <c r="H13" s="34"/>
      <c r="I13" s="195">
        <f>SF!I24</f>
        <v>10.330000000000002</v>
      </c>
      <c r="J13" s="195">
        <f>SF!J24</f>
        <v>0</v>
      </c>
      <c r="K13" s="268">
        <v>1</v>
      </c>
    </row>
    <row r="14" spans="1:11">
      <c r="A14" s="25" t="s">
        <v>97</v>
      </c>
      <c r="B14" s="26" t="s">
        <v>972</v>
      </c>
      <c r="C14" s="26"/>
      <c r="D14" s="26"/>
      <c r="E14" s="27"/>
      <c r="F14" s="195">
        <f>SF!F25</f>
        <v>42</v>
      </c>
      <c r="G14" s="27"/>
      <c r="H14" s="34"/>
      <c r="I14" s="195">
        <f>SF!I25</f>
        <v>14.858499999999999</v>
      </c>
      <c r="J14" s="195">
        <f>SF!J25</f>
        <v>0</v>
      </c>
      <c r="K14" s="376">
        <v>1</v>
      </c>
    </row>
    <row r="15" spans="1:11">
      <c r="A15" s="25" t="s">
        <v>987</v>
      </c>
      <c r="B15" s="163" t="s">
        <v>957</v>
      </c>
      <c r="C15" s="26"/>
      <c r="D15" s="26"/>
      <c r="E15" s="27"/>
      <c r="F15" s="34"/>
      <c r="G15" s="195">
        <f>SF!G41</f>
        <v>14.632999999999999</v>
      </c>
      <c r="H15" s="34"/>
      <c r="I15" s="195">
        <f>SF!I41</f>
        <v>121.16124000000001</v>
      </c>
      <c r="J15" s="34"/>
      <c r="K15" s="376">
        <v>1</v>
      </c>
    </row>
    <row r="16" spans="1:11">
      <c r="A16" s="253"/>
      <c r="B16" s="15"/>
      <c r="C16" s="15"/>
      <c r="D16" s="15"/>
      <c r="E16" s="22"/>
      <c r="F16" s="212"/>
      <c r="G16" s="213"/>
      <c r="H16" s="198"/>
      <c r="I16" s="198"/>
      <c r="J16" s="58"/>
      <c r="K16" s="379"/>
    </row>
    <row r="17" spans="1:11">
      <c r="A17" s="46"/>
      <c r="B17" s="46"/>
      <c r="C17" s="46"/>
      <c r="D17" s="46"/>
      <c r="E17" s="46"/>
      <c r="F17" s="46"/>
      <c r="G17" s="46"/>
      <c r="H17" s="46"/>
      <c r="I17" s="46"/>
      <c r="J17" s="46"/>
      <c r="K17" s="87"/>
    </row>
    <row r="18" spans="1:11">
      <c r="A18" s="220" t="s">
        <v>73</v>
      </c>
      <c r="B18" s="220" t="s">
        <v>74</v>
      </c>
      <c r="C18" s="200"/>
      <c r="D18" s="200"/>
      <c r="E18" s="217"/>
      <c r="F18" s="1636" t="s">
        <v>72</v>
      </c>
      <c r="G18" s="1637"/>
      <c r="H18" s="1637"/>
      <c r="I18" s="1637"/>
      <c r="J18" s="1638"/>
      <c r="K18" s="87"/>
    </row>
    <row r="19" spans="1:11" ht="18">
      <c r="A19" s="221"/>
      <c r="B19" s="221"/>
      <c r="C19" s="201"/>
      <c r="D19" s="201"/>
      <c r="E19" s="219"/>
      <c r="F19" s="223" t="s">
        <v>23</v>
      </c>
      <c r="G19" s="223" t="s">
        <v>87</v>
      </c>
      <c r="H19" s="223" t="s">
        <v>212</v>
      </c>
      <c r="I19" s="223" t="s">
        <v>80</v>
      </c>
      <c r="J19" s="223" t="s">
        <v>81</v>
      </c>
      <c r="K19" s="87"/>
    </row>
    <row r="20" spans="1:11">
      <c r="A20" s="222"/>
      <c r="B20" s="222"/>
      <c r="C20" s="203"/>
      <c r="D20" s="203"/>
      <c r="E20" s="218"/>
      <c r="F20" s="204" t="s">
        <v>34</v>
      </c>
      <c r="G20" s="204" t="s">
        <v>34</v>
      </c>
      <c r="H20" s="203" t="s">
        <v>34</v>
      </c>
      <c r="I20" s="204" t="s">
        <v>77</v>
      </c>
      <c r="J20" s="204" t="s">
        <v>77</v>
      </c>
      <c r="K20" s="87"/>
    </row>
    <row r="21" spans="1:11">
      <c r="A21" s="202"/>
      <c r="B21" s="200"/>
      <c r="C21" s="200"/>
      <c r="D21" s="200"/>
      <c r="E21" s="217"/>
      <c r="F21" s="205"/>
      <c r="G21" s="205"/>
      <c r="H21" s="201"/>
      <c r="I21" s="205"/>
      <c r="J21" s="205"/>
      <c r="K21" s="87"/>
    </row>
    <row r="22" spans="1:11">
      <c r="A22" s="205" t="str">
        <f>A7</f>
        <v>LC-1</v>
      </c>
      <c r="B22" s="201" t="str">
        <f>B7</f>
        <v>NS LWL Span dislodge case</v>
      </c>
      <c r="C22" s="201"/>
      <c r="D22" s="201"/>
      <c r="E22" s="219"/>
      <c r="F22" s="205">
        <f>SUMPRODUCT(F10:F15,$K$10:$K$15)</f>
        <v>694.38706530953289</v>
      </c>
      <c r="G22" s="1080">
        <f>SUMPRODUCT(G10:G15,$K$10:$K$15)</f>
        <v>14.632999999999999</v>
      </c>
      <c r="H22" s="1080">
        <f>SUMPRODUCT(H10:H15,$K$10:$K$15)</f>
        <v>0</v>
      </c>
      <c r="I22" s="1080">
        <f>SUMPRODUCT(I10:I15,$K$10:$K$15)</f>
        <v>261.34974</v>
      </c>
      <c r="J22" s="1080">
        <f>SUMPRODUCT(J10:J15,$K$10:$K$15)</f>
        <v>0</v>
      </c>
      <c r="K22" s="87"/>
    </row>
    <row r="23" spans="1:11">
      <c r="A23" s="204"/>
      <c r="B23" s="203"/>
      <c r="C23" s="203"/>
      <c r="D23" s="203"/>
      <c r="E23" s="218"/>
      <c r="F23" s="204"/>
      <c r="G23" s="204"/>
      <c r="H23" s="203"/>
      <c r="I23" s="204"/>
      <c r="J23" s="204"/>
      <c r="K23" s="87"/>
    </row>
    <row r="26" spans="1:11">
      <c r="A26" s="1318" t="str">
        <f>K26</f>
        <v>LC-2</v>
      </c>
      <c r="B26" s="24" t="str">
        <f>VLOOKUP(A26,LC_DEF_2!A3:B42,2,FALSE)</f>
        <v>NS LWL No Live load</v>
      </c>
      <c r="C26" s="24"/>
      <c r="D26" s="24"/>
      <c r="E26" s="21"/>
      <c r="F26" s="1635" t="s">
        <v>742</v>
      </c>
      <c r="G26" s="1635"/>
      <c r="H26" s="1635"/>
      <c r="I26" s="1635"/>
      <c r="J26" s="1600"/>
      <c r="K26" s="413" t="s">
        <v>123</v>
      </c>
    </row>
    <row r="27" spans="1:11" ht="18">
      <c r="A27" s="25" t="s">
        <v>73</v>
      </c>
      <c r="B27" s="26" t="s">
        <v>74</v>
      </c>
      <c r="C27" s="26"/>
      <c r="D27" s="26"/>
      <c r="E27" s="27"/>
      <c r="F27" s="32" t="s">
        <v>23</v>
      </c>
      <c r="G27" s="33" t="s">
        <v>87</v>
      </c>
      <c r="H27" s="33" t="s">
        <v>212</v>
      </c>
      <c r="I27" s="33" t="s">
        <v>80</v>
      </c>
      <c r="J27" s="33" t="s">
        <v>81</v>
      </c>
      <c r="K27" s="376"/>
    </row>
    <row r="28" spans="1:11">
      <c r="A28" s="28"/>
      <c r="B28" s="15"/>
      <c r="C28" s="15"/>
      <c r="D28" s="15"/>
      <c r="E28" s="22"/>
      <c r="F28" s="21" t="s">
        <v>34</v>
      </c>
      <c r="G28" s="36" t="s">
        <v>34</v>
      </c>
      <c r="H28" s="36" t="s">
        <v>34</v>
      </c>
      <c r="I28" s="36" t="s">
        <v>77</v>
      </c>
      <c r="J28" s="36" t="s">
        <v>77</v>
      </c>
      <c r="K28" s="376"/>
    </row>
    <row r="29" spans="1:11">
      <c r="A29" s="25" t="s">
        <v>88</v>
      </c>
      <c r="B29" s="26" t="s">
        <v>75</v>
      </c>
      <c r="C29" s="26"/>
      <c r="D29" s="26"/>
      <c r="E29" s="27"/>
      <c r="F29" s="195">
        <f>SF!F14</f>
        <v>365.08803866482532</v>
      </c>
      <c r="G29" s="210"/>
      <c r="H29" s="34"/>
      <c r="I29" s="195">
        <f>SF!I14</f>
        <v>0</v>
      </c>
      <c r="J29" s="195">
        <f>SF!J14</f>
        <v>0</v>
      </c>
      <c r="K29" s="268">
        <v>1</v>
      </c>
    </row>
    <row r="30" spans="1:11">
      <c r="A30" s="25" t="s">
        <v>90</v>
      </c>
      <c r="B30" s="26" t="s">
        <v>249</v>
      </c>
      <c r="C30" s="26"/>
      <c r="D30" s="26"/>
      <c r="E30" s="27"/>
      <c r="F30" s="195">
        <f>SF!F16</f>
        <v>36.639026644707663</v>
      </c>
      <c r="G30" s="210"/>
      <c r="H30" s="34"/>
      <c r="I30" s="195">
        <f>SF!I16</f>
        <v>0</v>
      </c>
      <c r="J30" s="195">
        <f>SF!J16</f>
        <v>0</v>
      </c>
      <c r="K30" s="268">
        <v>1</v>
      </c>
    </row>
    <row r="31" spans="1:11">
      <c r="A31" s="25" t="s">
        <v>250</v>
      </c>
      <c r="B31" s="26" t="s">
        <v>967</v>
      </c>
      <c r="C31" s="26"/>
      <c r="D31" s="26"/>
      <c r="E31" s="27"/>
      <c r="F31" s="195">
        <f>SF!F19</f>
        <v>230</v>
      </c>
      <c r="G31" s="27"/>
      <c r="H31" s="34"/>
      <c r="I31" s="195">
        <f>SF!I19</f>
        <v>-115</v>
      </c>
      <c r="J31" s="195">
        <f>SF!J19</f>
        <v>0</v>
      </c>
      <c r="K31" s="376">
        <v>1</v>
      </c>
    </row>
    <row r="32" spans="1:11">
      <c r="A32" s="25" t="s">
        <v>251</v>
      </c>
      <c r="B32" s="26" t="s">
        <v>968</v>
      </c>
      <c r="C32" s="26"/>
      <c r="D32" s="26"/>
      <c r="E32" s="27"/>
      <c r="F32" s="195">
        <f>SF!F20</f>
        <v>20.660000000000004</v>
      </c>
      <c r="G32" s="27"/>
      <c r="H32" s="34"/>
      <c r="I32" s="195">
        <f>SF!I20</f>
        <v>-10.330000000000002</v>
      </c>
      <c r="J32" s="195">
        <f>SF!J20</f>
        <v>0</v>
      </c>
      <c r="K32" s="376">
        <v>1</v>
      </c>
    </row>
    <row r="33" spans="1:11">
      <c r="A33" s="25" t="s">
        <v>97</v>
      </c>
      <c r="B33" s="26" t="s">
        <v>969</v>
      </c>
      <c r="C33" s="26"/>
      <c r="D33" s="26"/>
      <c r="E33" s="27"/>
      <c r="F33" s="195">
        <f>SF!F21</f>
        <v>42</v>
      </c>
      <c r="G33" s="27"/>
      <c r="H33" s="34"/>
      <c r="I33" s="195">
        <f>SF!I21</f>
        <v>-14.858499999999999</v>
      </c>
      <c r="J33" s="195">
        <f>SF!J21</f>
        <v>0</v>
      </c>
      <c r="K33" s="376">
        <v>1</v>
      </c>
    </row>
    <row r="34" spans="1:11">
      <c r="A34" s="25" t="s">
        <v>250</v>
      </c>
      <c r="B34" s="26" t="s">
        <v>970</v>
      </c>
      <c r="C34" s="26"/>
      <c r="D34" s="26"/>
      <c r="E34" s="27"/>
      <c r="F34" s="195">
        <f>SF!F23</f>
        <v>230</v>
      </c>
      <c r="G34" s="27"/>
      <c r="H34" s="34"/>
      <c r="I34" s="195">
        <f>SF!I23</f>
        <v>115</v>
      </c>
      <c r="J34" s="195">
        <f>SF!J23</f>
        <v>0</v>
      </c>
      <c r="K34" s="376">
        <v>1</v>
      </c>
    </row>
    <row r="35" spans="1:11">
      <c r="A35" s="25" t="s">
        <v>251</v>
      </c>
      <c r="B35" s="26" t="s">
        <v>971</v>
      </c>
      <c r="C35" s="26"/>
      <c r="D35" s="26"/>
      <c r="E35" s="27"/>
      <c r="F35" s="195">
        <f>SF!F24</f>
        <v>20.660000000000004</v>
      </c>
      <c r="G35" s="27"/>
      <c r="H35" s="34"/>
      <c r="I35" s="195">
        <f>SF!I24</f>
        <v>10.330000000000002</v>
      </c>
      <c r="J35" s="195">
        <f>SF!J24</f>
        <v>0</v>
      </c>
      <c r="K35" s="268">
        <v>1</v>
      </c>
    </row>
    <row r="36" spans="1:11">
      <c r="A36" s="25" t="s">
        <v>97</v>
      </c>
      <c r="B36" s="26" t="s">
        <v>972</v>
      </c>
      <c r="C36" s="26"/>
      <c r="D36" s="26"/>
      <c r="E36" s="27"/>
      <c r="F36" s="195">
        <f>SF!F25</f>
        <v>42</v>
      </c>
      <c r="G36" s="27"/>
      <c r="H36" s="34"/>
      <c r="I36" s="195">
        <f>SF!I25</f>
        <v>14.858499999999999</v>
      </c>
      <c r="J36" s="195">
        <f>SF!J25</f>
        <v>0</v>
      </c>
      <c r="K36" s="376">
        <v>1</v>
      </c>
    </row>
    <row r="37" spans="1:11">
      <c r="A37" s="25" t="s">
        <v>986</v>
      </c>
      <c r="B37" s="163" t="s">
        <v>955</v>
      </c>
      <c r="C37" s="26"/>
      <c r="D37" s="26"/>
      <c r="E37" s="27"/>
      <c r="F37" s="34"/>
      <c r="G37" s="195">
        <f>SF!G40</f>
        <v>5.8532000000000011</v>
      </c>
      <c r="H37" s="34"/>
      <c r="I37" s="195">
        <f>SF!I40</f>
        <v>48.464496000000018</v>
      </c>
      <c r="J37" s="34"/>
      <c r="K37" s="376">
        <v>1</v>
      </c>
    </row>
    <row r="38" spans="1:11">
      <c r="A38" s="253"/>
      <c r="B38" s="15"/>
      <c r="C38" s="15"/>
      <c r="D38" s="15"/>
      <c r="E38" s="22"/>
      <c r="F38" s="212"/>
      <c r="G38" s="213"/>
      <c r="H38" s="198"/>
      <c r="I38" s="198"/>
      <c r="J38" s="58"/>
      <c r="K38" s="379"/>
    </row>
    <row r="39" spans="1:11">
      <c r="A39" s="46"/>
      <c r="B39" s="46"/>
      <c r="C39" s="46"/>
      <c r="D39" s="46"/>
      <c r="E39" s="46"/>
      <c r="F39" s="46"/>
      <c r="G39" s="46"/>
      <c r="H39" s="46"/>
      <c r="I39" s="46"/>
      <c r="J39" s="46"/>
      <c r="K39" s="87"/>
    </row>
    <row r="40" spans="1:11">
      <c r="A40" s="220" t="s">
        <v>73</v>
      </c>
      <c r="B40" s="220" t="s">
        <v>74</v>
      </c>
      <c r="C40" s="200"/>
      <c r="D40" s="200"/>
      <c r="E40" s="217"/>
      <c r="F40" s="1636" t="s">
        <v>72</v>
      </c>
      <c r="G40" s="1637"/>
      <c r="H40" s="1637"/>
      <c r="I40" s="1637"/>
      <c r="J40" s="1638"/>
      <c r="K40" s="87"/>
    </row>
    <row r="41" spans="1:11" ht="18">
      <c r="A41" s="221"/>
      <c r="B41" s="221"/>
      <c r="C41" s="201"/>
      <c r="D41" s="201"/>
      <c r="E41" s="219"/>
      <c r="F41" s="223" t="s">
        <v>23</v>
      </c>
      <c r="G41" s="223" t="s">
        <v>87</v>
      </c>
      <c r="H41" s="223" t="s">
        <v>212</v>
      </c>
      <c r="I41" s="223" t="s">
        <v>80</v>
      </c>
      <c r="J41" s="223" t="s">
        <v>81</v>
      </c>
      <c r="K41" s="87"/>
    </row>
    <row r="42" spans="1:11">
      <c r="A42" s="222"/>
      <c r="B42" s="222"/>
      <c r="C42" s="203"/>
      <c r="D42" s="203"/>
      <c r="E42" s="218"/>
      <c r="F42" s="204" t="s">
        <v>34</v>
      </c>
      <c r="G42" s="204" t="s">
        <v>34</v>
      </c>
      <c r="H42" s="203" t="s">
        <v>34</v>
      </c>
      <c r="I42" s="204" t="s">
        <v>77</v>
      </c>
      <c r="J42" s="204" t="s">
        <v>77</v>
      </c>
      <c r="K42" s="87"/>
    </row>
    <row r="43" spans="1:11">
      <c r="A43" s="202"/>
      <c r="B43" s="200"/>
      <c r="C43" s="200"/>
      <c r="D43" s="200"/>
      <c r="E43" s="217"/>
      <c r="F43" s="205"/>
      <c r="G43" s="205"/>
      <c r="H43" s="201"/>
      <c r="I43" s="205"/>
      <c r="J43" s="205"/>
      <c r="K43" s="87"/>
    </row>
    <row r="44" spans="1:11">
      <c r="A44" s="205" t="str">
        <f>A26</f>
        <v>LC-2</v>
      </c>
      <c r="B44" s="201" t="str">
        <f>B26</f>
        <v>NS LWL No Live load</v>
      </c>
      <c r="C44" s="201"/>
      <c r="D44" s="201"/>
      <c r="E44" s="219"/>
      <c r="F44" s="205">
        <f>SUMPRODUCT(F29:F37,$K$29:$K$37)</f>
        <v>987.04706530953285</v>
      </c>
      <c r="G44" s="1080">
        <f>SUMPRODUCT(G29:G37,$K$29:$K$37)</f>
        <v>5.8532000000000011</v>
      </c>
      <c r="H44" s="1080">
        <f>SUMPRODUCT(H29:H37,$K$29:$K$37)</f>
        <v>0</v>
      </c>
      <c r="I44" s="1080">
        <f>SUMPRODUCT(I29:I37,$K$29:$K$37)</f>
        <v>48.464496000000011</v>
      </c>
      <c r="J44" s="1080">
        <f>SUMPRODUCT(J29:J37,$K$29:$K$37)</f>
        <v>0</v>
      </c>
      <c r="K44" s="87"/>
    </row>
    <row r="45" spans="1:11">
      <c r="A45" s="204"/>
      <c r="B45" s="203"/>
      <c r="C45" s="203"/>
      <c r="D45" s="203"/>
      <c r="E45" s="218"/>
      <c r="F45" s="204"/>
      <c r="G45" s="204"/>
      <c r="H45" s="203"/>
      <c r="I45" s="204"/>
      <c r="J45" s="204"/>
      <c r="K45" s="87"/>
    </row>
    <row r="48" spans="1:11">
      <c r="A48" s="1318" t="str">
        <f>K48</f>
        <v>LC-3</v>
      </c>
      <c r="B48" s="24" t="str">
        <f>VLOOKUP(A48,LC_DEF_2!A3:B42,2,FALSE)</f>
        <v>NS LWL With LL max reaction case</v>
      </c>
      <c r="C48" s="24"/>
      <c r="D48" s="24"/>
      <c r="E48" s="21"/>
      <c r="F48" s="1635" t="s">
        <v>742</v>
      </c>
      <c r="G48" s="1635"/>
      <c r="H48" s="1635"/>
      <c r="I48" s="1635"/>
      <c r="J48" s="1600"/>
      <c r="K48" s="413" t="s">
        <v>126</v>
      </c>
    </row>
    <row r="49" spans="1:11" ht="18">
      <c r="A49" s="25" t="s">
        <v>73</v>
      </c>
      <c r="B49" s="26" t="s">
        <v>74</v>
      </c>
      <c r="C49" s="26"/>
      <c r="D49" s="26"/>
      <c r="E49" s="27"/>
      <c r="F49" s="32" t="s">
        <v>23</v>
      </c>
      <c r="G49" s="33" t="s">
        <v>87</v>
      </c>
      <c r="H49" s="33" t="s">
        <v>212</v>
      </c>
      <c r="I49" s="33" t="s">
        <v>80</v>
      </c>
      <c r="J49" s="33" t="s">
        <v>81</v>
      </c>
      <c r="K49" s="376"/>
    </row>
    <row r="50" spans="1:11">
      <c r="A50" s="28"/>
      <c r="B50" s="15"/>
      <c r="C50" s="15"/>
      <c r="D50" s="15"/>
      <c r="E50" s="22"/>
      <c r="F50" s="21" t="s">
        <v>34</v>
      </c>
      <c r="G50" s="36" t="s">
        <v>34</v>
      </c>
      <c r="H50" s="36" t="s">
        <v>34</v>
      </c>
      <c r="I50" s="36" t="s">
        <v>77</v>
      </c>
      <c r="J50" s="36" t="s">
        <v>77</v>
      </c>
      <c r="K50" s="376"/>
    </row>
    <row r="51" spans="1:11">
      <c r="A51" s="25" t="s">
        <v>88</v>
      </c>
      <c r="B51" s="26" t="s">
        <v>75</v>
      </c>
      <c r="C51" s="26"/>
      <c r="D51" s="26"/>
      <c r="E51" s="27"/>
      <c r="F51" s="195">
        <f>SF!F14</f>
        <v>365.08803866482532</v>
      </c>
      <c r="G51" s="210"/>
      <c r="H51" s="34"/>
      <c r="I51" s="195">
        <f>SF!I14</f>
        <v>0</v>
      </c>
      <c r="J51" s="195">
        <f>SF!J14</f>
        <v>0</v>
      </c>
      <c r="K51" s="268">
        <v>1</v>
      </c>
    </row>
    <row r="52" spans="1:11">
      <c r="A52" s="25" t="s">
        <v>90</v>
      </c>
      <c r="B52" s="26" t="s">
        <v>249</v>
      </c>
      <c r="C52" s="26"/>
      <c r="D52" s="26"/>
      <c r="E52" s="27"/>
      <c r="F52" s="195">
        <f>SF!F16</f>
        <v>36.639026644707663</v>
      </c>
      <c r="G52" s="210"/>
      <c r="H52" s="34"/>
      <c r="I52" s="195">
        <f>SF!I16</f>
        <v>0</v>
      </c>
      <c r="J52" s="195">
        <f>SF!J16</f>
        <v>0</v>
      </c>
      <c r="K52" s="268">
        <v>1</v>
      </c>
    </row>
    <row r="53" spans="1:11">
      <c r="A53" s="25" t="s">
        <v>250</v>
      </c>
      <c r="B53" s="26" t="s">
        <v>967</v>
      </c>
      <c r="C53" s="26"/>
      <c r="D53" s="26"/>
      <c r="E53" s="27"/>
      <c r="F53" s="195">
        <f>SF!F19</f>
        <v>230</v>
      </c>
      <c r="G53" s="27"/>
      <c r="H53" s="34"/>
      <c r="I53" s="195">
        <f>SF!I19</f>
        <v>-115</v>
      </c>
      <c r="J53" s="195">
        <f>SF!J19</f>
        <v>0</v>
      </c>
      <c r="K53" s="376">
        <v>1</v>
      </c>
    </row>
    <row r="54" spans="1:11">
      <c r="A54" s="25" t="s">
        <v>251</v>
      </c>
      <c r="B54" s="26" t="s">
        <v>968</v>
      </c>
      <c r="C54" s="26"/>
      <c r="D54" s="26"/>
      <c r="E54" s="27"/>
      <c r="F54" s="195">
        <f>SF!F20</f>
        <v>20.660000000000004</v>
      </c>
      <c r="G54" s="27"/>
      <c r="H54" s="34"/>
      <c r="I54" s="195">
        <f>SF!I20</f>
        <v>-10.330000000000002</v>
      </c>
      <c r="J54" s="195">
        <f>SF!J20</f>
        <v>0</v>
      </c>
      <c r="K54" s="376">
        <v>1</v>
      </c>
    </row>
    <row r="55" spans="1:11">
      <c r="A55" s="25" t="s">
        <v>97</v>
      </c>
      <c r="B55" s="26" t="s">
        <v>969</v>
      </c>
      <c r="C55" s="26"/>
      <c r="D55" s="26"/>
      <c r="E55" s="27"/>
      <c r="F55" s="195">
        <f>SF!F21</f>
        <v>42</v>
      </c>
      <c r="G55" s="27"/>
      <c r="H55" s="34"/>
      <c r="I55" s="195">
        <f>SF!I21</f>
        <v>-14.858499999999999</v>
      </c>
      <c r="J55" s="195">
        <f>SF!J21</f>
        <v>0</v>
      </c>
      <c r="K55" s="376">
        <v>1</v>
      </c>
    </row>
    <row r="56" spans="1:11">
      <c r="A56" s="25" t="s">
        <v>250</v>
      </c>
      <c r="B56" s="26" t="s">
        <v>970</v>
      </c>
      <c r="C56" s="26"/>
      <c r="D56" s="26"/>
      <c r="E56" s="27"/>
      <c r="F56" s="195">
        <f>SF!F23</f>
        <v>230</v>
      </c>
      <c r="G56" s="27"/>
      <c r="H56" s="34"/>
      <c r="I56" s="195">
        <f>SF!I23</f>
        <v>115</v>
      </c>
      <c r="J56" s="195">
        <f>SF!J23</f>
        <v>0</v>
      </c>
      <c r="K56" s="376">
        <v>1</v>
      </c>
    </row>
    <row r="57" spans="1:11">
      <c r="A57" s="25" t="s">
        <v>251</v>
      </c>
      <c r="B57" s="26" t="s">
        <v>971</v>
      </c>
      <c r="C57" s="26"/>
      <c r="D57" s="26"/>
      <c r="E57" s="27"/>
      <c r="F57" s="195">
        <f>SF!F24</f>
        <v>20.660000000000004</v>
      </c>
      <c r="G57" s="27"/>
      <c r="H57" s="34"/>
      <c r="I57" s="195">
        <f>SF!I24</f>
        <v>10.330000000000002</v>
      </c>
      <c r="J57" s="195">
        <f>SF!J24</f>
        <v>0</v>
      </c>
      <c r="K57" s="268">
        <v>1</v>
      </c>
    </row>
    <row r="58" spans="1:11">
      <c r="A58" s="25" t="s">
        <v>97</v>
      </c>
      <c r="B58" s="26" t="s">
        <v>972</v>
      </c>
      <c r="C58" s="26"/>
      <c r="D58" s="26"/>
      <c r="E58" s="27"/>
      <c r="F58" s="195">
        <f>SF!F25</f>
        <v>42</v>
      </c>
      <c r="G58" s="27"/>
      <c r="H58" s="34"/>
      <c r="I58" s="195">
        <f>SF!I25</f>
        <v>14.858499999999999</v>
      </c>
      <c r="J58" s="195">
        <f>SF!J25</f>
        <v>0</v>
      </c>
      <c r="K58" s="376">
        <v>1</v>
      </c>
    </row>
    <row r="59" spans="1:11">
      <c r="A59" s="25" t="s">
        <v>976</v>
      </c>
      <c r="B59" s="26" t="s">
        <v>978</v>
      </c>
      <c r="C59" s="26"/>
      <c r="D59" s="26"/>
      <c r="E59" s="27"/>
      <c r="F59" s="195">
        <f>SF!F29</f>
        <v>65.160399999999996</v>
      </c>
      <c r="G59" s="27"/>
      <c r="H59" s="34"/>
      <c r="I59" s="195">
        <f>SF!I29</f>
        <v>-32.580199999999998</v>
      </c>
      <c r="J59" s="195">
        <f>SF!J29</f>
        <v>-10.105732306306301</v>
      </c>
      <c r="K59" s="268">
        <v>1</v>
      </c>
    </row>
    <row r="60" spans="1:11">
      <c r="A60" s="25" t="s">
        <v>977</v>
      </c>
      <c r="B60" s="26" t="s">
        <v>979</v>
      </c>
      <c r="C60" s="26"/>
      <c r="D60" s="26"/>
      <c r="E60" s="27"/>
      <c r="F60" s="195">
        <f>SF!F30</f>
        <v>75.185314285714313</v>
      </c>
      <c r="G60" s="27"/>
      <c r="H60" s="34"/>
      <c r="I60" s="195">
        <f>SF!I30</f>
        <v>37.592657142857156</v>
      </c>
      <c r="J60" s="195">
        <f>SF!J30</f>
        <v>-11.660497166023164</v>
      </c>
      <c r="K60" s="268">
        <v>1</v>
      </c>
    </row>
    <row r="61" spans="1:11">
      <c r="A61" s="25" t="s">
        <v>984</v>
      </c>
      <c r="B61" s="163" t="s">
        <v>951</v>
      </c>
      <c r="C61" s="26"/>
      <c r="D61" s="26"/>
      <c r="E61" s="27"/>
      <c r="F61" s="34"/>
      <c r="G61" s="195">
        <f>SF!G38</f>
        <v>32.051277714285717</v>
      </c>
      <c r="H61" s="34"/>
      <c r="I61" s="195">
        <f>SF!I38</f>
        <v>265.38457947428577</v>
      </c>
      <c r="J61" s="34"/>
      <c r="K61" s="376">
        <v>1</v>
      </c>
    </row>
    <row r="62" spans="1:11">
      <c r="A62" s="253"/>
      <c r="B62" s="15"/>
      <c r="C62" s="15"/>
      <c r="D62" s="15"/>
      <c r="E62" s="22"/>
      <c r="F62" s="212"/>
      <c r="G62" s="213"/>
      <c r="H62" s="198"/>
      <c r="I62" s="198"/>
      <c r="J62" s="58"/>
      <c r="K62" s="379"/>
    </row>
    <row r="63" spans="1:11">
      <c r="A63" s="46"/>
      <c r="B63" s="46"/>
      <c r="C63" s="46"/>
      <c r="D63" s="46"/>
      <c r="E63" s="46"/>
      <c r="F63" s="46"/>
      <c r="G63" s="46"/>
      <c r="H63" s="46"/>
      <c r="I63" s="46"/>
      <c r="J63" s="46"/>
      <c r="K63" s="87"/>
    </row>
    <row r="64" spans="1:11">
      <c r="A64" s="220" t="s">
        <v>73</v>
      </c>
      <c r="B64" s="220" t="s">
        <v>74</v>
      </c>
      <c r="C64" s="200"/>
      <c r="D64" s="200"/>
      <c r="E64" s="217"/>
      <c r="F64" s="1636" t="s">
        <v>72</v>
      </c>
      <c r="G64" s="1637"/>
      <c r="H64" s="1637"/>
      <c r="I64" s="1637"/>
      <c r="J64" s="1638"/>
      <c r="K64" s="87"/>
    </row>
    <row r="65" spans="1:11" ht="18">
      <c r="A65" s="221"/>
      <c r="B65" s="221"/>
      <c r="C65" s="201"/>
      <c r="D65" s="201"/>
      <c r="E65" s="219"/>
      <c r="F65" s="223" t="s">
        <v>23</v>
      </c>
      <c r="G65" s="223" t="s">
        <v>87</v>
      </c>
      <c r="H65" s="223" t="s">
        <v>212</v>
      </c>
      <c r="I65" s="223" t="s">
        <v>80</v>
      </c>
      <c r="J65" s="223" t="s">
        <v>81</v>
      </c>
      <c r="K65" s="87"/>
    </row>
    <row r="66" spans="1:11">
      <c r="A66" s="222"/>
      <c r="B66" s="222"/>
      <c r="C66" s="203"/>
      <c r="D66" s="203"/>
      <c r="E66" s="218"/>
      <c r="F66" s="204" t="s">
        <v>34</v>
      </c>
      <c r="G66" s="204" t="s">
        <v>34</v>
      </c>
      <c r="H66" s="203" t="s">
        <v>34</v>
      </c>
      <c r="I66" s="204" t="s">
        <v>77</v>
      </c>
      <c r="J66" s="204" t="s">
        <v>77</v>
      </c>
      <c r="K66" s="87"/>
    </row>
    <row r="67" spans="1:11">
      <c r="A67" s="202"/>
      <c r="B67" s="200"/>
      <c r="C67" s="200"/>
      <c r="D67" s="200"/>
      <c r="E67" s="217"/>
      <c r="F67" s="205"/>
      <c r="G67" s="205"/>
      <c r="H67" s="201"/>
      <c r="I67" s="205"/>
      <c r="J67" s="205"/>
      <c r="K67" s="87"/>
    </row>
    <row r="68" spans="1:11">
      <c r="A68" s="205" t="str">
        <f>A48</f>
        <v>LC-3</v>
      </c>
      <c r="B68" s="201" t="str">
        <f>B48</f>
        <v>NS LWL With LL max reaction case</v>
      </c>
      <c r="C68" s="201"/>
      <c r="D68" s="201"/>
      <c r="E68" s="219"/>
      <c r="F68" s="205">
        <f>SUMPRODUCT(F51:F61,$K$51:$K$61)</f>
        <v>1127.3927795952472</v>
      </c>
      <c r="G68" s="1080">
        <f>SUMPRODUCT(G51:G61,$K$51:$K$61)</f>
        <v>32.051277714285717</v>
      </c>
      <c r="H68" s="1080">
        <f>SUMPRODUCT(H51:H61,$K$51:$K$61)</f>
        <v>0</v>
      </c>
      <c r="I68" s="1080">
        <f>SUMPRODUCT(I51:I61,$K$51:$K$61)</f>
        <v>270.39703661714293</v>
      </c>
      <c r="J68" s="1080">
        <f>SUMPRODUCT(J51:J61,$K$51:$K$61)</f>
        <v>-21.766229472329464</v>
      </c>
      <c r="K68" s="87"/>
    </row>
    <row r="69" spans="1:11">
      <c r="A69" s="204"/>
      <c r="B69" s="203"/>
      <c r="C69" s="203"/>
      <c r="D69" s="203"/>
      <c r="E69" s="218"/>
      <c r="F69" s="204"/>
      <c r="G69" s="204"/>
      <c r="H69" s="203"/>
      <c r="I69" s="204"/>
      <c r="J69" s="204"/>
      <c r="K69" s="87"/>
    </row>
    <row r="72" spans="1:11">
      <c r="A72" s="1318" t="str">
        <f>K72</f>
        <v>LC-4</v>
      </c>
      <c r="B72" s="24" t="str">
        <f>VLOOKUP(A72,LC_DEF_2!A3:B42,2,FALSE)</f>
        <v>NS LWL With LL max moment case</v>
      </c>
      <c r="C72" s="24"/>
      <c r="D72" s="24"/>
      <c r="E72" s="21"/>
      <c r="F72" s="1635" t="s">
        <v>742</v>
      </c>
      <c r="G72" s="1635"/>
      <c r="H72" s="1635"/>
      <c r="I72" s="1635"/>
      <c r="J72" s="1600"/>
      <c r="K72" s="413" t="s">
        <v>214</v>
      </c>
    </row>
    <row r="73" spans="1:11" ht="18">
      <c r="A73" s="25" t="s">
        <v>73</v>
      </c>
      <c r="B73" s="26" t="s">
        <v>74</v>
      </c>
      <c r="C73" s="26"/>
      <c r="D73" s="26"/>
      <c r="E73" s="27"/>
      <c r="F73" s="32" t="s">
        <v>23</v>
      </c>
      <c r="G73" s="33" t="s">
        <v>87</v>
      </c>
      <c r="H73" s="33" t="s">
        <v>212</v>
      </c>
      <c r="I73" s="33" t="s">
        <v>80</v>
      </c>
      <c r="J73" s="33" t="s">
        <v>81</v>
      </c>
      <c r="K73" s="376"/>
    </row>
    <row r="74" spans="1:11">
      <c r="A74" s="28"/>
      <c r="B74" s="15"/>
      <c r="C74" s="15"/>
      <c r="D74" s="15"/>
      <c r="E74" s="22"/>
      <c r="F74" s="21" t="s">
        <v>34</v>
      </c>
      <c r="G74" s="36" t="s">
        <v>34</v>
      </c>
      <c r="H74" s="36" t="s">
        <v>34</v>
      </c>
      <c r="I74" s="36" t="s">
        <v>77</v>
      </c>
      <c r="J74" s="36" t="s">
        <v>77</v>
      </c>
      <c r="K74" s="376"/>
    </row>
    <row r="75" spans="1:11">
      <c r="A75" s="25" t="s">
        <v>88</v>
      </c>
      <c r="B75" s="26" t="s">
        <v>75</v>
      </c>
      <c r="C75" s="26"/>
      <c r="D75" s="26"/>
      <c r="E75" s="27"/>
      <c r="F75" s="195">
        <f>SF!F14</f>
        <v>365.08803866482532</v>
      </c>
      <c r="G75" s="210"/>
      <c r="H75" s="34"/>
      <c r="I75" s="195">
        <f>SF!I14</f>
        <v>0</v>
      </c>
      <c r="J75" s="195">
        <f>SF!J14</f>
        <v>0</v>
      </c>
      <c r="K75" s="268">
        <v>1</v>
      </c>
    </row>
    <row r="76" spans="1:11">
      <c r="A76" s="25" t="s">
        <v>90</v>
      </c>
      <c r="B76" s="26" t="s">
        <v>249</v>
      </c>
      <c r="C76" s="26"/>
      <c r="D76" s="26"/>
      <c r="E76" s="27"/>
      <c r="F76" s="195">
        <f>SF!F16</f>
        <v>36.639026644707663</v>
      </c>
      <c r="G76" s="210"/>
      <c r="H76" s="34"/>
      <c r="I76" s="195">
        <f>SF!I16</f>
        <v>0</v>
      </c>
      <c r="J76" s="195">
        <f>SF!J16</f>
        <v>0</v>
      </c>
      <c r="K76" s="268">
        <v>1</v>
      </c>
    </row>
    <row r="77" spans="1:11">
      <c r="A77" s="25" t="s">
        <v>250</v>
      </c>
      <c r="B77" s="26" t="s">
        <v>967</v>
      </c>
      <c r="C77" s="26"/>
      <c r="D77" s="26"/>
      <c r="E77" s="27"/>
      <c r="F77" s="195">
        <f>SF!F19</f>
        <v>230</v>
      </c>
      <c r="G77" s="27"/>
      <c r="H77" s="34"/>
      <c r="I77" s="195">
        <f>SF!I19</f>
        <v>-115</v>
      </c>
      <c r="J77" s="195">
        <f>SF!J19</f>
        <v>0</v>
      </c>
      <c r="K77" s="376">
        <v>1</v>
      </c>
    </row>
    <row r="78" spans="1:11">
      <c r="A78" s="25" t="s">
        <v>251</v>
      </c>
      <c r="B78" s="26" t="s">
        <v>968</v>
      </c>
      <c r="C78" s="26"/>
      <c r="D78" s="26"/>
      <c r="E78" s="27"/>
      <c r="F78" s="195">
        <f>SF!F20</f>
        <v>20.660000000000004</v>
      </c>
      <c r="G78" s="27"/>
      <c r="H78" s="34"/>
      <c r="I78" s="195">
        <f>SF!I20</f>
        <v>-10.330000000000002</v>
      </c>
      <c r="J78" s="195">
        <f>SF!J20</f>
        <v>0</v>
      </c>
      <c r="K78" s="376">
        <v>1</v>
      </c>
    </row>
    <row r="79" spans="1:11">
      <c r="A79" s="25" t="s">
        <v>97</v>
      </c>
      <c r="B79" s="26" t="s">
        <v>969</v>
      </c>
      <c r="C79" s="26"/>
      <c r="D79" s="26"/>
      <c r="E79" s="27"/>
      <c r="F79" s="195">
        <f>SF!F21</f>
        <v>42</v>
      </c>
      <c r="G79" s="27"/>
      <c r="H79" s="34"/>
      <c r="I79" s="195">
        <f>SF!I21</f>
        <v>-14.858499999999999</v>
      </c>
      <c r="J79" s="195">
        <f>SF!J21</f>
        <v>0</v>
      </c>
      <c r="K79" s="376">
        <v>1</v>
      </c>
    </row>
    <row r="80" spans="1:11">
      <c r="A80" s="25" t="s">
        <v>250</v>
      </c>
      <c r="B80" s="26" t="s">
        <v>970</v>
      </c>
      <c r="C80" s="26"/>
      <c r="D80" s="26"/>
      <c r="E80" s="27"/>
      <c r="F80" s="195">
        <f>SF!F23</f>
        <v>230</v>
      </c>
      <c r="G80" s="27"/>
      <c r="H80" s="34"/>
      <c r="I80" s="195">
        <f>SF!I23</f>
        <v>115</v>
      </c>
      <c r="J80" s="195">
        <f>SF!J23</f>
        <v>0</v>
      </c>
      <c r="K80" s="376">
        <v>1</v>
      </c>
    </row>
    <row r="81" spans="1:11">
      <c r="A81" s="25" t="s">
        <v>251</v>
      </c>
      <c r="B81" s="26" t="s">
        <v>971</v>
      </c>
      <c r="C81" s="26"/>
      <c r="D81" s="26"/>
      <c r="E81" s="27"/>
      <c r="F81" s="195">
        <f>SF!F24</f>
        <v>20.660000000000004</v>
      </c>
      <c r="G81" s="27"/>
      <c r="H81" s="34"/>
      <c r="I81" s="195">
        <f>SF!I24</f>
        <v>10.330000000000002</v>
      </c>
      <c r="J81" s="195">
        <f>SF!J24</f>
        <v>0</v>
      </c>
      <c r="K81" s="268">
        <v>1</v>
      </c>
    </row>
    <row r="82" spans="1:11">
      <c r="A82" s="25" t="s">
        <v>97</v>
      </c>
      <c r="B82" s="26" t="s">
        <v>972</v>
      </c>
      <c r="C82" s="26"/>
      <c r="D82" s="26"/>
      <c r="E82" s="27"/>
      <c r="F82" s="195">
        <f>SF!F25</f>
        <v>42</v>
      </c>
      <c r="G82" s="27"/>
      <c r="H82" s="34"/>
      <c r="I82" s="195">
        <f>SF!I25</f>
        <v>14.858499999999999</v>
      </c>
      <c r="J82" s="195">
        <f>SF!J25</f>
        <v>0</v>
      </c>
      <c r="K82" s="376">
        <v>1</v>
      </c>
    </row>
    <row r="83" spans="1:11">
      <c r="A83" s="25" t="s">
        <v>976</v>
      </c>
      <c r="B83" s="26" t="s">
        <v>981</v>
      </c>
      <c r="C83" s="26"/>
      <c r="D83" s="26"/>
      <c r="E83" s="27"/>
      <c r="F83" s="195">
        <f>SF!F33</f>
        <v>0</v>
      </c>
      <c r="G83" s="27"/>
      <c r="H83" s="34"/>
      <c r="I83" s="195">
        <f>SF!I33</f>
        <v>0</v>
      </c>
      <c r="J83" s="195">
        <f>SF!J33</f>
        <v>0</v>
      </c>
      <c r="K83" s="376">
        <v>1</v>
      </c>
    </row>
    <row r="84" spans="1:11">
      <c r="A84" s="25" t="s">
        <v>977</v>
      </c>
      <c r="B84" s="26" t="s">
        <v>982</v>
      </c>
      <c r="C84" s="26"/>
      <c r="D84" s="26"/>
      <c r="E84" s="27"/>
      <c r="F84" s="195">
        <f>SF!F34</f>
        <v>127.89948571428575</v>
      </c>
      <c r="G84" s="27"/>
      <c r="H84" s="34"/>
      <c r="I84" s="195">
        <f>SF!I34</f>
        <v>63.949742857142873</v>
      </c>
      <c r="J84" s="195">
        <f>SF!J34</f>
        <v>-19.835942761904757</v>
      </c>
      <c r="K84" s="376">
        <v>1</v>
      </c>
    </row>
    <row r="85" spans="1:11">
      <c r="A85" s="25" t="s">
        <v>985</v>
      </c>
      <c r="B85" s="163" t="s">
        <v>953</v>
      </c>
      <c r="C85" s="26"/>
      <c r="D85" s="26"/>
      <c r="E85" s="27"/>
      <c r="F85" s="34"/>
      <c r="G85" s="195">
        <f>SF!G39</f>
        <v>29.998225714285713</v>
      </c>
      <c r="H85" s="34"/>
      <c r="I85" s="195">
        <f>SF!I39</f>
        <v>248.38530891428573</v>
      </c>
      <c r="J85" s="34"/>
      <c r="K85" s="376">
        <v>1</v>
      </c>
    </row>
    <row r="86" spans="1:11">
      <c r="A86" s="253"/>
      <c r="B86" s="15"/>
      <c r="C86" s="15"/>
      <c r="D86" s="15"/>
      <c r="E86" s="22"/>
      <c r="F86" s="212"/>
      <c r="G86" s="213"/>
      <c r="H86" s="198"/>
      <c r="I86" s="198"/>
      <c r="J86" s="58"/>
      <c r="K86" s="379"/>
    </row>
    <row r="87" spans="1:11">
      <c r="A87" s="46"/>
      <c r="B87" s="46"/>
      <c r="C87" s="46"/>
      <c r="D87" s="46"/>
      <c r="E87" s="46"/>
      <c r="F87" s="46"/>
      <c r="G87" s="46"/>
      <c r="H87" s="46"/>
      <c r="I87" s="46"/>
      <c r="J87" s="46"/>
      <c r="K87" s="87"/>
    </row>
    <row r="88" spans="1:11">
      <c r="A88" s="220" t="s">
        <v>73</v>
      </c>
      <c r="B88" s="220" t="s">
        <v>74</v>
      </c>
      <c r="C88" s="200"/>
      <c r="D88" s="200"/>
      <c r="E88" s="217"/>
      <c r="F88" s="1636" t="s">
        <v>72</v>
      </c>
      <c r="G88" s="1637"/>
      <c r="H88" s="1637"/>
      <c r="I88" s="1637"/>
      <c r="J88" s="1638"/>
      <c r="K88" s="87"/>
    </row>
    <row r="89" spans="1:11" ht="18">
      <c r="A89" s="221"/>
      <c r="B89" s="221"/>
      <c r="C89" s="201"/>
      <c r="D89" s="201"/>
      <c r="E89" s="219"/>
      <c r="F89" s="223" t="s">
        <v>23</v>
      </c>
      <c r="G89" s="223" t="s">
        <v>87</v>
      </c>
      <c r="H89" s="223" t="s">
        <v>212</v>
      </c>
      <c r="I89" s="223" t="s">
        <v>80</v>
      </c>
      <c r="J89" s="223" t="s">
        <v>81</v>
      </c>
      <c r="K89" s="87"/>
    </row>
    <row r="90" spans="1:11">
      <c r="A90" s="222"/>
      <c r="B90" s="222"/>
      <c r="C90" s="203"/>
      <c r="D90" s="203"/>
      <c r="E90" s="218"/>
      <c r="F90" s="204" t="s">
        <v>34</v>
      </c>
      <c r="G90" s="204" t="s">
        <v>34</v>
      </c>
      <c r="H90" s="203" t="s">
        <v>34</v>
      </c>
      <c r="I90" s="204" t="s">
        <v>77</v>
      </c>
      <c r="J90" s="204" t="s">
        <v>77</v>
      </c>
      <c r="K90" s="87"/>
    </row>
    <row r="91" spans="1:11">
      <c r="A91" s="202"/>
      <c r="B91" s="200"/>
      <c r="C91" s="200"/>
      <c r="D91" s="200"/>
      <c r="E91" s="217"/>
      <c r="F91" s="205"/>
      <c r="G91" s="205"/>
      <c r="H91" s="201"/>
      <c r="I91" s="205"/>
      <c r="J91" s="205"/>
      <c r="K91" s="87"/>
    </row>
    <row r="92" spans="1:11">
      <c r="A92" s="205" t="str">
        <f>A72</f>
        <v>LC-4</v>
      </c>
      <c r="B92" s="201" t="str">
        <f>B72</f>
        <v>NS LWL With LL max moment case</v>
      </c>
      <c r="C92" s="201"/>
      <c r="D92" s="201"/>
      <c r="E92" s="219"/>
      <c r="F92" s="205">
        <f>SUMPRODUCT(F75:F85,$K$75:$K$85)</f>
        <v>1114.9465510238185</v>
      </c>
      <c r="G92" s="1080">
        <f>SUMPRODUCT(G75:G85,$K$75:$K$85)</f>
        <v>29.998225714285713</v>
      </c>
      <c r="H92" s="1080">
        <f>SUMPRODUCT(H75:H85,$K$75:$K$85)</f>
        <v>0</v>
      </c>
      <c r="I92" s="1080">
        <f>SUMPRODUCT(I75:I85,$K$75:$K$85)</f>
        <v>312.3350517714286</v>
      </c>
      <c r="J92" s="1080">
        <f>SUMPRODUCT(J75:J85,$K$75:$K$85)</f>
        <v>-19.835942761904757</v>
      </c>
      <c r="K92" s="87"/>
    </row>
    <row r="93" spans="1:11">
      <c r="A93" s="204"/>
      <c r="B93" s="203"/>
      <c r="C93" s="203"/>
      <c r="D93" s="203"/>
      <c r="E93" s="218"/>
      <c r="F93" s="204"/>
      <c r="G93" s="204"/>
      <c r="H93" s="203"/>
      <c r="I93" s="204"/>
      <c r="J93" s="204"/>
      <c r="K93" s="87"/>
    </row>
    <row r="96" spans="1:11">
      <c r="A96" s="1318" t="str">
        <f>K96</f>
        <v>LC-5</v>
      </c>
      <c r="B96" s="24" t="str">
        <f>VLOOKUP(A96,LC_DEF_2!A3:B42,2,FALSE)</f>
        <v>LC-1 + Seismic Sx=1,Sz=0.3,Sy=-0.3 (50% seismic)</v>
      </c>
      <c r="C96" s="24"/>
      <c r="D96" s="24"/>
      <c r="E96" s="21"/>
      <c r="F96" s="1635" t="s">
        <v>742</v>
      </c>
      <c r="G96" s="1635"/>
      <c r="H96" s="1635"/>
      <c r="I96" s="1635"/>
      <c r="J96" s="1600"/>
      <c r="K96" s="413" t="s">
        <v>215</v>
      </c>
    </row>
    <row r="97" spans="1:11" ht="18">
      <c r="A97" s="25" t="s">
        <v>73</v>
      </c>
      <c r="B97" s="26" t="s">
        <v>74</v>
      </c>
      <c r="C97" s="26"/>
      <c r="D97" s="26"/>
      <c r="E97" s="27"/>
      <c r="F97" s="32" t="s">
        <v>23</v>
      </c>
      <c r="G97" s="33" t="s">
        <v>87</v>
      </c>
      <c r="H97" s="33" t="s">
        <v>212</v>
      </c>
      <c r="I97" s="33" t="s">
        <v>80</v>
      </c>
      <c r="J97" s="33" t="s">
        <v>81</v>
      </c>
      <c r="K97" s="376"/>
    </row>
    <row r="98" spans="1:11">
      <c r="A98" s="28"/>
      <c r="B98" s="15"/>
      <c r="C98" s="15"/>
      <c r="D98" s="15"/>
      <c r="E98" s="22"/>
      <c r="F98" s="21" t="s">
        <v>34</v>
      </c>
      <c r="G98" s="36" t="s">
        <v>34</v>
      </c>
      <c r="H98" s="36" t="s">
        <v>34</v>
      </c>
      <c r="I98" s="36" t="s">
        <v>77</v>
      </c>
      <c r="J98" s="36" t="s">
        <v>77</v>
      </c>
      <c r="K98" s="376"/>
    </row>
    <row r="99" spans="1:11">
      <c r="A99" s="25" t="s">
        <v>88</v>
      </c>
      <c r="B99" s="26" t="s">
        <v>75</v>
      </c>
      <c r="C99" s="26"/>
      <c r="D99" s="26"/>
      <c r="E99" s="27"/>
      <c r="F99" s="195">
        <f>SF!F14</f>
        <v>365.08803866482532</v>
      </c>
      <c r="G99" s="210"/>
      <c r="H99" s="34"/>
      <c r="I99" s="195">
        <f>SF!I14</f>
        <v>0</v>
      </c>
      <c r="J99" s="195">
        <f>SF!J14</f>
        <v>0</v>
      </c>
      <c r="K99" s="268">
        <v>1</v>
      </c>
    </row>
    <row r="100" spans="1:11">
      <c r="A100" s="25" t="s">
        <v>90</v>
      </c>
      <c r="B100" s="26" t="s">
        <v>249</v>
      </c>
      <c r="C100" s="26"/>
      <c r="D100" s="26"/>
      <c r="E100" s="27"/>
      <c r="F100" s="195">
        <f>SF!F16</f>
        <v>36.639026644707663</v>
      </c>
      <c r="G100" s="210"/>
      <c r="H100" s="34"/>
      <c r="I100" s="195">
        <f>SF!I16</f>
        <v>0</v>
      </c>
      <c r="J100" s="195">
        <f>SF!J16</f>
        <v>0</v>
      </c>
      <c r="K100" s="268">
        <v>1</v>
      </c>
    </row>
    <row r="101" spans="1:11">
      <c r="A101" s="25" t="s">
        <v>250</v>
      </c>
      <c r="B101" s="26" t="s">
        <v>970</v>
      </c>
      <c r="C101" s="26"/>
      <c r="D101" s="26"/>
      <c r="E101" s="27"/>
      <c r="F101" s="195">
        <f>SF!F23</f>
        <v>230</v>
      </c>
      <c r="G101" s="27"/>
      <c r="H101" s="34"/>
      <c r="I101" s="195">
        <f>SF!I23</f>
        <v>115</v>
      </c>
      <c r="J101" s="195">
        <f>SF!J23</f>
        <v>0</v>
      </c>
      <c r="K101" s="376">
        <v>1</v>
      </c>
    </row>
    <row r="102" spans="1:11">
      <c r="A102" s="25" t="s">
        <v>251</v>
      </c>
      <c r="B102" s="26" t="s">
        <v>971</v>
      </c>
      <c r="C102" s="26"/>
      <c r="D102" s="26"/>
      <c r="E102" s="27"/>
      <c r="F102" s="195">
        <f>SF!F24</f>
        <v>20.660000000000004</v>
      </c>
      <c r="G102" s="27"/>
      <c r="H102" s="34"/>
      <c r="I102" s="195">
        <f>SF!I24</f>
        <v>10.330000000000002</v>
      </c>
      <c r="J102" s="195">
        <f>SF!J24</f>
        <v>0</v>
      </c>
      <c r="K102" s="268">
        <v>1</v>
      </c>
    </row>
    <row r="103" spans="1:11">
      <c r="A103" s="25" t="s">
        <v>97</v>
      </c>
      <c r="B103" s="26" t="s">
        <v>972</v>
      </c>
      <c r="C103" s="26"/>
      <c r="D103" s="26"/>
      <c r="E103" s="27"/>
      <c r="F103" s="195">
        <f>SF!F25</f>
        <v>42</v>
      </c>
      <c r="G103" s="27"/>
      <c r="H103" s="34"/>
      <c r="I103" s="195">
        <f>SF!I25</f>
        <v>14.858499999999999</v>
      </c>
      <c r="J103" s="195">
        <f>SF!J25</f>
        <v>0</v>
      </c>
      <c r="K103" s="376">
        <v>1</v>
      </c>
    </row>
    <row r="104" spans="1:11">
      <c r="A104" s="25" t="s">
        <v>987</v>
      </c>
      <c r="B104" s="163" t="s">
        <v>957</v>
      </c>
      <c r="C104" s="26"/>
      <c r="D104" s="26"/>
      <c r="E104" s="27"/>
      <c r="F104" s="34"/>
      <c r="G104" s="195">
        <f>SF!G41</f>
        <v>14.632999999999999</v>
      </c>
      <c r="H104" s="34"/>
      <c r="I104" s="195">
        <f>SF!I41</f>
        <v>121.16124000000001</v>
      </c>
      <c r="J104" s="34"/>
      <c r="K104" s="376">
        <v>1</v>
      </c>
    </row>
    <row r="105" spans="1:11">
      <c r="A105" s="278" t="s">
        <v>1132</v>
      </c>
      <c r="B105" s="262"/>
      <c r="C105" s="262"/>
      <c r="D105" s="262"/>
      <c r="E105" s="263"/>
      <c r="F105" s="279"/>
      <c r="G105" s="280"/>
      <c r="H105" s="264"/>
      <c r="I105" s="279"/>
      <c r="J105" s="264"/>
      <c r="K105" s="650">
        <v>0.5</v>
      </c>
    </row>
    <row r="106" spans="1:11">
      <c r="A106" s="25" t="s">
        <v>991</v>
      </c>
      <c r="B106" s="26" t="s">
        <v>989</v>
      </c>
      <c r="C106" s="26"/>
      <c r="D106" s="26"/>
      <c r="E106" s="27"/>
      <c r="F106" s="197"/>
      <c r="G106" s="172">
        <f>SF!G52</f>
        <v>94.821839999999995</v>
      </c>
      <c r="H106" s="34"/>
      <c r="I106" s="172">
        <f>SF!I52</f>
        <v>785.12483520000001</v>
      </c>
      <c r="J106" s="89"/>
      <c r="K106" s="268">
        <v>0.5</v>
      </c>
    </row>
    <row r="107" spans="1:11">
      <c r="A107" s="25" t="s">
        <v>217</v>
      </c>
      <c r="B107" s="26" t="s">
        <v>211</v>
      </c>
      <c r="C107" s="26"/>
      <c r="D107" s="26"/>
      <c r="E107" s="27"/>
      <c r="F107" s="197"/>
      <c r="G107" s="196">
        <f>SF!G58</f>
        <v>26.798532263701709</v>
      </c>
      <c r="H107" s="199"/>
      <c r="I107" s="172">
        <f>SF!I58</f>
        <v>147.28381289471153</v>
      </c>
      <c r="J107" s="195"/>
      <c r="K107" s="376">
        <v>0.5</v>
      </c>
    </row>
    <row r="108" spans="1:11">
      <c r="A108" s="278" t="s">
        <v>1135</v>
      </c>
      <c r="B108" s="262"/>
      <c r="C108" s="262"/>
      <c r="D108" s="262"/>
      <c r="E108" s="263"/>
      <c r="F108" s="279"/>
      <c r="G108" s="280"/>
      <c r="H108" s="264"/>
      <c r="I108" s="279"/>
      <c r="J108" s="264"/>
      <c r="K108" s="708">
        <v>0.15</v>
      </c>
    </row>
    <row r="109" spans="1:11">
      <c r="A109" s="25" t="s">
        <v>998</v>
      </c>
      <c r="B109" s="26" t="s">
        <v>989</v>
      </c>
      <c r="C109" s="26"/>
      <c r="D109" s="26"/>
      <c r="E109" s="27"/>
      <c r="F109" s="197"/>
      <c r="G109" s="211"/>
      <c r="H109" s="254">
        <f>SF!H68</f>
        <v>47.410919999999997</v>
      </c>
      <c r="I109" s="197"/>
      <c r="J109" s="254">
        <f>SF!J68</f>
        <v>433.10062959257624</v>
      </c>
      <c r="K109" s="376">
        <v>0.15</v>
      </c>
    </row>
    <row r="110" spans="1:11">
      <c r="A110" s="25" t="s">
        <v>1006</v>
      </c>
      <c r="B110" s="26" t="s">
        <v>211</v>
      </c>
      <c r="C110" s="26"/>
      <c r="D110" s="26"/>
      <c r="E110" s="27"/>
      <c r="F110" s="197"/>
      <c r="G110" s="195"/>
      <c r="H110" s="254">
        <f>SF!H78</f>
        <v>26.798532263701709</v>
      </c>
      <c r="I110" s="195"/>
      <c r="J110" s="254">
        <f>SF!J78</f>
        <v>147.28381289471153</v>
      </c>
      <c r="K110" s="376">
        <v>0.15</v>
      </c>
    </row>
    <row r="111" spans="1:11">
      <c r="A111" s="290" t="s">
        <v>1137</v>
      </c>
      <c r="B111" s="11"/>
      <c r="C111" s="11"/>
      <c r="D111" s="11"/>
      <c r="E111" s="191"/>
      <c r="F111" s="197"/>
      <c r="G111" s="211"/>
      <c r="H111" s="89"/>
      <c r="I111" s="197"/>
      <c r="J111" s="89"/>
      <c r="K111" s="994">
        <v>0.15</v>
      </c>
    </row>
    <row r="112" spans="1:11">
      <c r="A112" s="25" t="s">
        <v>1008</v>
      </c>
      <c r="B112" s="26" t="s">
        <v>989</v>
      </c>
      <c r="C112" s="26"/>
      <c r="D112" s="26"/>
      <c r="E112" s="27"/>
      <c r="F112" s="196">
        <f>SF!F88</f>
        <v>31.607279999999999</v>
      </c>
      <c r="G112" s="211"/>
      <c r="H112" s="34"/>
      <c r="I112" s="196">
        <f>SF!I88</f>
        <v>15.140358000000003</v>
      </c>
      <c r="J112" s="196">
        <f>SF!J88</f>
        <v>0</v>
      </c>
      <c r="K112" s="268">
        <v>-0.15</v>
      </c>
    </row>
    <row r="113" spans="1:11">
      <c r="A113" s="25" t="s">
        <v>1011</v>
      </c>
      <c r="B113" s="26" t="s">
        <v>211</v>
      </c>
      <c r="C113" s="26"/>
      <c r="D113" s="26"/>
      <c r="E113" s="27"/>
      <c r="F113" s="196">
        <f>SF!F98</f>
        <v>17.865688175801139</v>
      </c>
      <c r="G113" s="211"/>
      <c r="H113" s="197"/>
      <c r="I113" s="196">
        <f>SF!I98</f>
        <v>0</v>
      </c>
      <c r="J113" s="196">
        <f>SF!J98</f>
        <v>0</v>
      </c>
      <c r="K113" s="268">
        <v>-0.15</v>
      </c>
    </row>
    <row r="114" spans="1:11">
      <c r="A114" s="253"/>
      <c r="B114" s="15"/>
      <c r="C114" s="15"/>
      <c r="D114" s="15"/>
      <c r="E114" s="22"/>
      <c r="F114" s="212"/>
      <c r="G114" s="213"/>
      <c r="H114" s="198"/>
      <c r="I114" s="198"/>
      <c r="J114" s="58"/>
      <c r="K114" s="379"/>
    </row>
    <row r="115" spans="1:11">
      <c r="A115" s="46"/>
      <c r="B115" s="46"/>
      <c r="C115" s="46"/>
      <c r="D115" s="46"/>
      <c r="E115" s="46"/>
      <c r="F115" s="46"/>
      <c r="G115" s="46"/>
      <c r="H115" s="46"/>
      <c r="I115" s="46"/>
      <c r="J115" s="46"/>
      <c r="K115" s="87"/>
    </row>
    <row r="116" spans="1:11">
      <c r="A116" s="220" t="s">
        <v>73</v>
      </c>
      <c r="B116" s="220" t="s">
        <v>74</v>
      </c>
      <c r="C116" s="200"/>
      <c r="D116" s="200"/>
      <c r="E116" s="217"/>
      <c r="F116" s="1636" t="s">
        <v>72</v>
      </c>
      <c r="G116" s="1637"/>
      <c r="H116" s="1637"/>
      <c r="I116" s="1637"/>
      <c r="J116" s="1638"/>
      <c r="K116" s="87"/>
    </row>
    <row r="117" spans="1:11" ht="18">
      <c r="A117" s="221"/>
      <c r="B117" s="221"/>
      <c r="C117" s="201"/>
      <c r="D117" s="201"/>
      <c r="E117" s="219"/>
      <c r="F117" s="223" t="s">
        <v>23</v>
      </c>
      <c r="G117" s="223" t="s">
        <v>87</v>
      </c>
      <c r="H117" s="223" t="s">
        <v>212</v>
      </c>
      <c r="I117" s="223" t="s">
        <v>80</v>
      </c>
      <c r="J117" s="223" t="s">
        <v>81</v>
      </c>
      <c r="K117" s="87"/>
    </row>
    <row r="118" spans="1:11">
      <c r="A118" s="222"/>
      <c r="B118" s="222"/>
      <c r="C118" s="203"/>
      <c r="D118" s="203"/>
      <c r="E118" s="218"/>
      <c r="F118" s="204" t="s">
        <v>34</v>
      </c>
      <c r="G118" s="204" t="s">
        <v>34</v>
      </c>
      <c r="H118" s="203" t="s">
        <v>34</v>
      </c>
      <c r="I118" s="204" t="s">
        <v>77</v>
      </c>
      <c r="J118" s="204" t="s">
        <v>77</v>
      </c>
      <c r="K118" s="87"/>
    </row>
    <row r="119" spans="1:11">
      <c r="A119" s="202"/>
      <c r="B119" s="200"/>
      <c r="C119" s="200"/>
      <c r="D119" s="200"/>
      <c r="E119" s="217"/>
      <c r="F119" s="205"/>
      <c r="G119" s="205"/>
      <c r="H119" s="201"/>
      <c r="I119" s="205"/>
      <c r="J119" s="205"/>
      <c r="K119" s="87"/>
    </row>
    <row r="120" spans="1:11">
      <c r="A120" s="205" t="str">
        <f>A96</f>
        <v>LC-5</v>
      </c>
      <c r="B120" s="201" t="str">
        <f>B96</f>
        <v>LC-1 + Seismic Sx=1,Sz=0.3,Sy=-0.3 (50% seismic)</v>
      </c>
      <c r="C120" s="201"/>
      <c r="D120" s="201"/>
      <c r="E120" s="219"/>
      <c r="F120" s="205">
        <f>SUMPRODUCT(F99:F113,$K$99:$K$113)</f>
        <v>686.96612008316276</v>
      </c>
      <c r="G120" s="1080">
        <f>SUMPRODUCT(G99:G113,$K$99:$K$113)</f>
        <v>75.443186131850851</v>
      </c>
      <c r="H120" s="1080">
        <f>SUMPRODUCT(H99:H113,$K$99:$K$113)</f>
        <v>11.131417839555255</v>
      </c>
      <c r="I120" s="1080">
        <f>SUMPRODUCT(I99:I113,$K$99:$K$113)</f>
        <v>725.28301034735568</v>
      </c>
      <c r="J120" s="1080">
        <f>SUMPRODUCT(J99:J113,$K$99:$K$113)</f>
        <v>87.05766637309317</v>
      </c>
      <c r="K120" s="87"/>
    </row>
    <row r="121" spans="1:11">
      <c r="A121" s="204"/>
      <c r="B121" s="203"/>
      <c r="C121" s="203"/>
      <c r="D121" s="203"/>
      <c r="E121" s="218"/>
      <c r="F121" s="204"/>
      <c r="G121" s="204"/>
      <c r="H121" s="203"/>
      <c r="I121" s="204"/>
      <c r="J121" s="204"/>
      <c r="K121" s="87"/>
    </row>
    <row r="124" spans="1:11">
      <c r="A124" s="1318" t="str">
        <f>K124</f>
        <v>LC-6</v>
      </c>
      <c r="B124" s="24" t="str">
        <f>VLOOKUP(A124,LC_DEF_2!A3:B42,2,FALSE)</f>
        <v>LC-1 + Seismic Sx=0.3,Sz=1,Sy=-0.3 (50% seismic)</v>
      </c>
      <c r="C124" s="24"/>
      <c r="D124" s="24"/>
      <c r="E124" s="21"/>
      <c r="F124" s="1635" t="s">
        <v>742</v>
      </c>
      <c r="G124" s="1635"/>
      <c r="H124" s="1635"/>
      <c r="I124" s="1635"/>
      <c r="J124" s="1600"/>
      <c r="K124" s="413" t="s">
        <v>216</v>
      </c>
    </row>
    <row r="125" spans="1:11" ht="18">
      <c r="A125" s="25" t="s">
        <v>73</v>
      </c>
      <c r="B125" s="26" t="s">
        <v>74</v>
      </c>
      <c r="C125" s="26"/>
      <c r="D125" s="26"/>
      <c r="E125" s="27"/>
      <c r="F125" s="32" t="s">
        <v>23</v>
      </c>
      <c r="G125" s="33" t="s">
        <v>87</v>
      </c>
      <c r="H125" s="33" t="s">
        <v>212</v>
      </c>
      <c r="I125" s="33" t="s">
        <v>80</v>
      </c>
      <c r="J125" s="33" t="s">
        <v>81</v>
      </c>
      <c r="K125" s="376"/>
    </row>
    <row r="126" spans="1:11">
      <c r="A126" s="28"/>
      <c r="B126" s="15"/>
      <c r="C126" s="15"/>
      <c r="D126" s="15"/>
      <c r="E126" s="22"/>
      <c r="F126" s="21" t="s">
        <v>34</v>
      </c>
      <c r="G126" s="36" t="s">
        <v>34</v>
      </c>
      <c r="H126" s="36" t="s">
        <v>34</v>
      </c>
      <c r="I126" s="36" t="s">
        <v>77</v>
      </c>
      <c r="J126" s="36" t="s">
        <v>77</v>
      </c>
      <c r="K126" s="376"/>
    </row>
    <row r="127" spans="1:11">
      <c r="A127" s="25" t="s">
        <v>88</v>
      </c>
      <c r="B127" s="26" t="s">
        <v>75</v>
      </c>
      <c r="C127" s="26"/>
      <c r="D127" s="26"/>
      <c r="E127" s="27"/>
      <c r="F127" s="195">
        <f>SF!F14</f>
        <v>365.08803866482532</v>
      </c>
      <c r="G127" s="210"/>
      <c r="H127" s="34"/>
      <c r="I127" s="195">
        <f>SF!I14</f>
        <v>0</v>
      </c>
      <c r="J127" s="195">
        <f>SF!J14</f>
        <v>0</v>
      </c>
      <c r="K127" s="268">
        <v>1</v>
      </c>
    </row>
    <row r="128" spans="1:11">
      <c r="A128" s="25" t="s">
        <v>90</v>
      </c>
      <c r="B128" s="26" t="s">
        <v>249</v>
      </c>
      <c r="C128" s="26"/>
      <c r="D128" s="26"/>
      <c r="E128" s="27"/>
      <c r="F128" s="195">
        <f>SF!F16</f>
        <v>36.639026644707663</v>
      </c>
      <c r="G128" s="210"/>
      <c r="H128" s="34"/>
      <c r="I128" s="195">
        <f>SF!I16</f>
        <v>0</v>
      </c>
      <c r="J128" s="195">
        <f>SF!J16</f>
        <v>0</v>
      </c>
      <c r="K128" s="268">
        <v>1</v>
      </c>
    </row>
    <row r="129" spans="1:11">
      <c r="A129" s="25" t="s">
        <v>250</v>
      </c>
      <c r="B129" s="26" t="s">
        <v>970</v>
      </c>
      <c r="C129" s="26"/>
      <c r="D129" s="26"/>
      <c r="E129" s="27"/>
      <c r="F129" s="195">
        <f>SF!F23</f>
        <v>230</v>
      </c>
      <c r="G129" s="27"/>
      <c r="H129" s="34"/>
      <c r="I129" s="195">
        <f>SF!I23</f>
        <v>115</v>
      </c>
      <c r="J129" s="195">
        <f>SF!J23</f>
        <v>0</v>
      </c>
      <c r="K129" s="376">
        <v>1</v>
      </c>
    </row>
    <row r="130" spans="1:11">
      <c r="A130" s="25" t="s">
        <v>251</v>
      </c>
      <c r="B130" s="26" t="s">
        <v>971</v>
      </c>
      <c r="C130" s="26"/>
      <c r="D130" s="26"/>
      <c r="E130" s="27"/>
      <c r="F130" s="195">
        <f>SF!F24</f>
        <v>20.660000000000004</v>
      </c>
      <c r="G130" s="27"/>
      <c r="H130" s="34"/>
      <c r="I130" s="195">
        <f>SF!I24</f>
        <v>10.330000000000002</v>
      </c>
      <c r="J130" s="195">
        <f>SF!J24</f>
        <v>0</v>
      </c>
      <c r="K130" s="268">
        <v>1</v>
      </c>
    </row>
    <row r="131" spans="1:11">
      <c r="A131" s="25" t="s">
        <v>97</v>
      </c>
      <c r="B131" s="26" t="s">
        <v>972</v>
      </c>
      <c r="C131" s="26"/>
      <c r="D131" s="26"/>
      <c r="E131" s="27"/>
      <c r="F131" s="195">
        <f>SF!F25</f>
        <v>42</v>
      </c>
      <c r="G131" s="27"/>
      <c r="H131" s="34"/>
      <c r="I131" s="195">
        <f>SF!I25</f>
        <v>14.858499999999999</v>
      </c>
      <c r="J131" s="195">
        <f>SF!J25</f>
        <v>0</v>
      </c>
      <c r="K131" s="376">
        <v>1</v>
      </c>
    </row>
    <row r="132" spans="1:11">
      <c r="A132" s="25" t="s">
        <v>987</v>
      </c>
      <c r="B132" s="163" t="s">
        <v>957</v>
      </c>
      <c r="C132" s="26"/>
      <c r="D132" s="26"/>
      <c r="E132" s="27"/>
      <c r="F132" s="34"/>
      <c r="G132" s="195">
        <f>SF!G41</f>
        <v>14.632999999999999</v>
      </c>
      <c r="H132" s="34"/>
      <c r="I132" s="195">
        <f>SF!I41</f>
        <v>121.16124000000001</v>
      </c>
      <c r="J132" s="34"/>
      <c r="K132" s="376">
        <v>1</v>
      </c>
    </row>
    <row r="133" spans="1:11">
      <c r="A133" s="278" t="s">
        <v>1132</v>
      </c>
      <c r="B133" s="262"/>
      <c r="C133" s="262"/>
      <c r="D133" s="262"/>
      <c r="E133" s="263"/>
      <c r="F133" s="279"/>
      <c r="G133" s="280"/>
      <c r="H133" s="264"/>
      <c r="I133" s="279"/>
      <c r="J133" s="264"/>
      <c r="K133" s="650">
        <v>0.15</v>
      </c>
    </row>
    <row r="134" spans="1:11">
      <c r="A134" s="25" t="s">
        <v>991</v>
      </c>
      <c r="B134" s="26" t="s">
        <v>989</v>
      </c>
      <c r="C134" s="26"/>
      <c r="D134" s="26"/>
      <c r="E134" s="27"/>
      <c r="F134" s="197"/>
      <c r="G134" s="172">
        <f>SF!G52</f>
        <v>94.821839999999995</v>
      </c>
      <c r="H134" s="34"/>
      <c r="I134" s="172">
        <f>SF!I52</f>
        <v>785.12483520000001</v>
      </c>
      <c r="J134" s="89"/>
      <c r="K134" s="268">
        <v>0.15</v>
      </c>
    </row>
    <row r="135" spans="1:11">
      <c r="A135" s="25" t="s">
        <v>217</v>
      </c>
      <c r="B135" s="26" t="s">
        <v>211</v>
      </c>
      <c r="C135" s="26"/>
      <c r="D135" s="26"/>
      <c r="E135" s="27"/>
      <c r="F135" s="197"/>
      <c r="G135" s="196">
        <f>SF!G58</f>
        <v>26.798532263701709</v>
      </c>
      <c r="H135" s="199"/>
      <c r="I135" s="172">
        <f>SF!I58</f>
        <v>147.28381289471153</v>
      </c>
      <c r="J135" s="195"/>
      <c r="K135" s="376">
        <v>0.15</v>
      </c>
    </row>
    <row r="136" spans="1:11">
      <c r="A136" s="278" t="s">
        <v>1135</v>
      </c>
      <c r="B136" s="262"/>
      <c r="C136" s="262"/>
      <c r="D136" s="262"/>
      <c r="E136" s="263"/>
      <c r="F136" s="279"/>
      <c r="G136" s="280"/>
      <c r="H136" s="264"/>
      <c r="I136" s="279"/>
      <c r="J136" s="264"/>
      <c r="K136" s="708">
        <v>0.5</v>
      </c>
    </row>
    <row r="137" spans="1:11">
      <c r="A137" s="25" t="s">
        <v>998</v>
      </c>
      <c r="B137" s="26" t="s">
        <v>989</v>
      </c>
      <c r="C137" s="26"/>
      <c r="D137" s="26"/>
      <c r="E137" s="27"/>
      <c r="F137" s="197"/>
      <c r="G137" s="211"/>
      <c r="H137" s="254">
        <f>SF!H68</f>
        <v>47.410919999999997</v>
      </c>
      <c r="I137" s="197"/>
      <c r="J137" s="254">
        <f>SF!J68</f>
        <v>433.10062959257624</v>
      </c>
      <c r="K137" s="376">
        <v>0.5</v>
      </c>
    </row>
    <row r="138" spans="1:11">
      <c r="A138" s="25" t="s">
        <v>1006</v>
      </c>
      <c r="B138" s="26" t="s">
        <v>211</v>
      </c>
      <c r="C138" s="26"/>
      <c r="D138" s="26"/>
      <c r="E138" s="27"/>
      <c r="F138" s="197"/>
      <c r="G138" s="195"/>
      <c r="H138" s="254">
        <f>SF!H78</f>
        <v>26.798532263701709</v>
      </c>
      <c r="I138" s="195"/>
      <c r="J138" s="254">
        <f>SF!J78</f>
        <v>147.28381289471153</v>
      </c>
      <c r="K138" s="376">
        <v>0.5</v>
      </c>
    </row>
    <row r="139" spans="1:11">
      <c r="A139" s="290" t="s">
        <v>1137</v>
      </c>
      <c r="B139" s="11"/>
      <c r="C139" s="11"/>
      <c r="D139" s="11"/>
      <c r="E139" s="191"/>
      <c r="F139" s="197"/>
      <c r="G139" s="211"/>
      <c r="H139" s="89"/>
      <c r="I139" s="197"/>
      <c r="J139" s="89"/>
      <c r="K139" s="994">
        <v>0.15</v>
      </c>
    </row>
    <row r="140" spans="1:11">
      <c r="A140" s="25" t="s">
        <v>1008</v>
      </c>
      <c r="B140" s="26" t="s">
        <v>989</v>
      </c>
      <c r="C140" s="26"/>
      <c r="D140" s="26"/>
      <c r="E140" s="27"/>
      <c r="F140" s="196">
        <f>SF!F88</f>
        <v>31.607279999999999</v>
      </c>
      <c r="G140" s="211"/>
      <c r="H140" s="34"/>
      <c r="I140" s="196">
        <f>SF!I88</f>
        <v>15.140358000000003</v>
      </c>
      <c r="J140" s="196">
        <f>SF!J88</f>
        <v>0</v>
      </c>
      <c r="K140" s="268">
        <v>-0.15</v>
      </c>
    </row>
    <row r="141" spans="1:11">
      <c r="A141" s="25" t="s">
        <v>1011</v>
      </c>
      <c r="B141" s="26" t="s">
        <v>211</v>
      </c>
      <c r="C141" s="26"/>
      <c r="D141" s="26"/>
      <c r="E141" s="27"/>
      <c r="F141" s="196">
        <f>SF!F98</f>
        <v>17.865688175801139</v>
      </c>
      <c r="G141" s="211"/>
      <c r="H141" s="197"/>
      <c r="I141" s="196">
        <f>SF!I98</f>
        <v>0</v>
      </c>
      <c r="J141" s="196">
        <f>SF!J98</f>
        <v>0</v>
      </c>
      <c r="K141" s="268">
        <v>-0.15</v>
      </c>
    </row>
    <row r="142" spans="1:11">
      <c r="A142" s="253"/>
      <c r="B142" s="15"/>
      <c r="C142" s="15"/>
      <c r="D142" s="15"/>
      <c r="E142" s="22"/>
      <c r="F142" s="212"/>
      <c r="G142" s="213"/>
      <c r="H142" s="198"/>
      <c r="I142" s="198"/>
      <c r="J142" s="58"/>
      <c r="K142" s="379"/>
    </row>
    <row r="143" spans="1:11">
      <c r="A143" s="46"/>
      <c r="B143" s="46"/>
      <c r="C143" s="46"/>
      <c r="D143" s="46"/>
      <c r="E143" s="46"/>
      <c r="F143" s="46"/>
      <c r="G143" s="46"/>
      <c r="H143" s="46"/>
      <c r="I143" s="46"/>
      <c r="J143" s="46"/>
      <c r="K143" s="87"/>
    </row>
    <row r="144" spans="1:11">
      <c r="A144" s="220" t="s">
        <v>73</v>
      </c>
      <c r="B144" s="220" t="s">
        <v>74</v>
      </c>
      <c r="C144" s="200"/>
      <c r="D144" s="200"/>
      <c r="E144" s="217"/>
      <c r="F144" s="1636" t="s">
        <v>72</v>
      </c>
      <c r="G144" s="1637"/>
      <c r="H144" s="1637"/>
      <c r="I144" s="1637"/>
      <c r="J144" s="1638"/>
      <c r="K144" s="87"/>
    </row>
    <row r="145" spans="1:11" ht="18">
      <c r="A145" s="221"/>
      <c r="B145" s="221"/>
      <c r="C145" s="201"/>
      <c r="D145" s="201"/>
      <c r="E145" s="219"/>
      <c r="F145" s="223" t="s">
        <v>23</v>
      </c>
      <c r="G145" s="223" t="s">
        <v>87</v>
      </c>
      <c r="H145" s="223" t="s">
        <v>212</v>
      </c>
      <c r="I145" s="223" t="s">
        <v>80</v>
      </c>
      <c r="J145" s="223" t="s">
        <v>81</v>
      </c>
      <c r="K145" s="87"/>
    </row>
    <row r="146" spans="1:11">
      <c r="A146" s="222"/>
      <c r="B146" s="222"/>
      <c r="C146" s="203"/>
      <c r="D146" s="203"/>
      <c r="E146" s="218"/>
      <c r="F146" s="204" t="s">
        <v>34</v>
      </c>
      <c r="G146" s="204" t="s">
        <v>34</v>
      </c>
      <c r="H146" s="203" t="s">
        <v>34</v>
      </c>
      <c r="I146" s="204" t="s">
        <v>77</v>
      </c>
      <c r="J146" s="204" t="s">
        <v>77</v>
      </c>
      <c r="K146" s="87"/>
    </row>
    <row r="147" spans="1:11">
      <c r="A147" s="202"/>
      <c r="B147" s="200"/>
      <c r="C147" s="200"/>
      <c r="D147" s="200"/>
      <c r="E147" s="217"/>
      <c r="F147" s="205"/>
      <c r="G147" s="205"/>
      <c r="H147" s="201"/>
      <c r="I147" s="205"/>
      <c r="J147" s="205"/>
      <c r="K147" s="87"/>
    </row>
    <row r="148" spans="1:11">
      <c r="A148" s="205" t="str">
        <f>A124</f>
        <v>LC-6</v>
      </c>
      <c r="B148" s="201" t="str">
        <f>B124</f>
        <v>LC-1 + Seismic Sx=0.3,Sz=1,Sy=-0.3 (50% seismic)</v>
      </c>
      <c r="C148" s="201"/>
      <c r="D148" s="201"/>
      <c r="E148" s="219"/>
      <c r="F148" s="205">
        <f>SUMPRODUCT(F127:F141,$K$127:$K$141)</f>
        <v>686.96612008316276</v>
      </c>
      <c r="G148" s="1080">
        <f>SUMPRODUCT(G127:G141,$K$127:$K$141)</f>
        <v>32.876055839555256</v>
      </c>
      <c r="H148" s="1080">
        <f>SUMPRODUCT(H127:H141,$K$127:$K$141)</f>
        <v>37.104726131850853</v>
      </c>
      <c r="I148" s="1080">
        <f>SUMPRODUCT(I127:I141,$K$127:$K$141)</f>
        <v>398.93998351420674</v>
      </c>
      <c r="J148" s="1080">
        <f>SUMPRODUCT(J127:J141,$K$127:$K$141)</f>
        <v>290.19222124364387</v>
      </c>
      <c r="K148" s="87"/>
    </row>
    <row r="149" spans="1:11">
      <c r="A149" s="204"/>
      <c r="B149" s="203"/>
      <c r="C149" s="203"/>
      <c r="D149" s="203"/>
      <c r="E149" s="218"/>
      <c r="F149" s="204"/>
      <c r="G149" s="204"/>
      <c r="H149" s="203"/>
      <c r="I149" s="204"/>
      <c r="J149" s="204"/>
      <c r="K149" s="87"/>
    </row>
    <row r="152" spans="1:11">
      <c r="A152" s="1318" t="str">
        <f>K152</f>
        <v>LC-7</v>
      </c>
      <c r="B152" s="24" t="str">
        <f>VLOOKUP(A152,LC_DEF_2!A3:B42,2,FALSE)</f>
        <v>LC-1 + Seismic Sx=1,Sz=0.3,Sy=0.3 (50% seismic)</v>
      </c>
      <c r="C152" s="24"/>
      <c r="D152" s="24"/>
      <c r="E152" s="21"/>
      <c r="F152" s="1635" t="s">
        <v>742</v>
      </c>
      <c r="G152" s="1635"/>
      <c r="H152" s="1635"/>
      <c r="I152" s="1635"/>
      <c r="J152" s="1600"/>
      <c r="K152" s="413" t="s">
        <v>222</v>
      </c>
    </row>
    <row r="153" spans="1:11" ht="18">
      <c r="A153" s="25" t="s">
        <v>73</v>
      </c>
      <c r="B153" s="26" t="s">
        <v>74</v>
      </c>
      <c r="C153" s="26"/>
      <c r="D153" s="26"/>
      <c r="E153" s="27"/>
      <c r="F153" s="32" t="s">
        <v>23</v>
      </c>
      <c r="G153" s="33" t="s">
        <v>87</v>
      </c>
      <c r="H153" s="33" t="s">
        <v>212</v>
      </c>
      <c r="I153" s="33" t="s">
        <v>80</v>
      </c>
      <c r="J153" s="33" t="s">
        <v>81</v>
      </c>
      <c r="K153" s="376"/>
    </row>
    <row r="154" spans="1:11">
      <c r="A154" s="28"/>
      <c r="B154" s="15"/>
      <c r="C154" s="15"/>
      <c r="D154" s="15"/>
      <c r="E154" s="22"/>
      <c r="F154" s="21" t="s">
        <v>34</v>
      </c>
      <c r="G154" s="36" t="s">
        <v>34</v>
      </c>
      <c r="H154" s="36" t="s">
        <v>34</v>
      </c>
      <c r="I154" s="36" t="s">
        <v>77</v>
      </c>
      <c r="J154" s="36" t="s">
        <v>77</v>
      </c>
      <c r="K154" s="376"/>
    </row>
    <row r="155" spans="1:11">
      <c r="A155" s="25" t="s">
        <v>88</v>
      </c>
      <c r="B155" s="26" t="s">
        <v>75</v>
      </c>
      <c r="C155" s="26"/>
      <c r="D155" s="26"/>
      <c r="E155" s="27"/>
      <c r="F155" s="195">
        <f>SF!F14</f>
        <v>365.08803866482532</v>
      </c>
      <c r="G155" s="210"/>
      <c r="H155" s="34"/>
      <c r="I155" s="195">
        <f>SF!I14</f>
        <v>0</v>
      </c>
      <c r="J155" s="195">
        <f>SF!J14</f>
        <v>0</v>
      </c>
      <c r="K155" s="268">
        <v>1</v>
      </c>
    </row>
    <row r="156" spans="1:11">
      <c r="A156" s="25" t="s">
        <v>90</v>
      </c>
      <c r="B156" s="26" t="s">
        <v>249</v>
      </c>
      <c r="C156" s="26"/>
      <c r="D156" s="26"/>
      <c r="E156" s="27"/>
      <c r="F156" s="195">
        <f>SF!F16</f>
        <v>36.639026644707663</v>
      </c>
      <c r="G156" s="210"/>
      <c r="H156" s="34"/>
      <c r="I156" s="195">
        <f>SF!I16</f>
        <v>0</v>
      </c>
      <c r="J156" s="195">
        <f>SF!J16</f>
        <v>0</v>
      </c>
      <c r="K156" s="268">
        <v>1</v>
      </c>
    </row>
    <row r="157" spans="1:11">
      <c r="A157" s="25" t="s">
        <v>250</v>
      </c>
      <c r="B157" s="26" t="s">
        <v>970</v>
      </c>
      <c r="C157" s="26"/>
      <c r="D157" s="26"/>
      <c r="E157" s="27"/>
      <c r="F157" s="195">
        <f>SF!F23</f>
        <v>230</v>
      </c>
      <c r="G157" s="27"/>
      <c r="H157" s="34"/>
      <c r="I157" s="195">
        <f>SF!I23</f>
        <v>115</v>
      </c>
      <c r="J157" s="195">
        <f>SF!J23</f>
        <v>0</v>
      </c>
      <c r="K157" s="376">
        <v>1</v>
      </c>
    </row>
    <row r="158" spans="1:11">
      <c r="A158" s="25" t="s">
        <v>251</v>
      </c>
      <c r="B158" s="26" t="s">
        <v>971</v>
      </c>
      <c r="C158" s="26"/>
      <c r="D158" s="26"/>
      <c r="E158" s="27"/>
      <c r="F158" s="195">
        <f>SF!F24</f>
        <v>20.660000000000004</v>
      </c>
      <c r="G158" s="27"/>
      <c r="H158" s="34"/>
      <c r="I158" s="195">
        <f>SF!I24</f>
        <v>10.330000000000002</v>
      </c>
      <c r="J158" s="195">
        <f>SF!J24</f>
        <v>0</v>
      </c>
      <c r="K158" s="268">
        <v>1</v>
      </c>
    </row>
    <row r="159" spans="1:11">
      <c r="A159" s="25" t="s">
        <v>97</v>
      </c>
      <c r="B159" s="26" t="s">
        <v>972</v>
      </c>
      <c r="C159" s="26"/>
      <c r="D159" s="26"/>
      <c r="E159" s="27"/>
      <c r="F159" s="195">
        <f>SF!F25</f>
        <v>42</v>
      </c>
      <c r="G159" s="27"/>
      <c r="H159" s="34"/>
      <c r="I159" s="195">
        <f>SF!I25</f>
        <v>14.858499999999999</v>
      </c>
      <c r="J159" s="195">
        <f>SF!J25</f>
        <v>0</v>
      </c>
      <c r="K159" s="376">
        <v>1</v>
      </c>
    </row>
    <row r="160" spans="1:11">
      <c r="A160" s="25" t="s">
        <v>987</v>
      </c>
      <c r="B160" s="163" t="s">
        <v>957</v>
      </c>
      <c r="C160" s="26"/>
      <c r="D160" s="26"/>
      <c r="E160" s="27"/>
      <c r="F160" s="34"/>
      <c r="G160" s="195">
        <f>SF!G41</f>
        <v>14.632999999999999</v>
      </c>
      <c r="H160" s="34"/>
      <c r="I160" s="195">
        <f>SF!I41</f>
        <v>121.16124000000001</v>
      </c>
      <c r="J160" s="34"/>
      <c r="K160" s="376">
        <v>1</v>
      </c>
    </row>
    <row r="161" spans="1:11">
      <c r="A161" s="278" t="s">
        <v>1132</v>
      </c>
      <c r="B161" s="262"/>
      <c r="C161" s="262"/>
      <c r="D161" s="262"/>
      <c r="E161" s="263"/>
      <c r="F161" s="279"/>
      <c r="G161" s="280"/>
      <c r="H161" s="264"/>
      <c r="I161" s="279"/>
      <c r="J161" s="264"/>
      <c r="K161" s="650">
        <v>0.5</v>
      </c>
    </row>
    <row r="162" spans="1:11">
      <c r="A162" s="25" t="s">
        <v>991</v>
      </c>
      <c r="B162" s="26" t="s">
        <v>989</v>
      </c>
      <c r="C162" s="26"/>
      <c r="D162" s="26"/>
      <c r="E162" s="27"/>
      <c r="F162" s="197"/>
      <c r="G162" s="172">
        <f>SF!G52</f>
        <v>94.821839999999995</v>
      </c>
      <c r="H162" s="34"/>
      <c r="I162" s="172">
        <f>SF!I52</f>
        <v>785.12483520000001</v>
      </c>
      <c r="J162" s="89"/>
      <c r="K162" s="268">
        <v>0.5</v>
      </c>
    </row>
    <row r="163" spans="1:11">
      <c r="A163" s="25" t="s">
        <v>217</v>
      </c>
      <c r="B163" s="26" t="s">
        <v>211</v>
      </c>
      <c r="C163" s="26"/>
      <c r="D163" s="26"/>
      <c r="E163" s="27"/>
      <c r="F163" s="197"/>
      <c r="G163" s="196">
        <f>SF!G58</f>
        <v>26.798532263701709</v>
      </c>
      <c r="H163" s="199"/>
      <c r="I163" s="172">
        <f>SF!I58</f>
        <v>147.28381289471153</v>
      </c>
      <c r="J163" s="195"/>
      <c r="K163" s="376">
        <v>0.5</v>
      </c>
    </row>
    <row r="164" spans="1:11">
      <c r="A164" s="278" t="s">
        <v>1135</v>
      </c>
      <c r="B164" s="262"/>
      <c r="C164" s="262"/>
      <c r="D164" s="262"/>
      <c r="E164" s="263"/>
      <c r="F164" s="279"/>
      <c r="G164" s="280"/>
      <c r="H164" s="264"/>
      <c r="I164" s="279"/>
      <c r="J164" s="264"/>
      <c r="K164" s="708">
        <v>0.15</v>
      </c>
    </row>
    <row r="165" spans="1:11">
      <c r="A165" s="25" t="s">
        <v>998</v>
      </c>
      <c r="B165" s="26" t="s">
        <v>989</v>
      </c>
      <c r="C165" s="26"/>
      <c r="D165" s="26"/>
      <c r="E165" s="27"/>
      <c r="F165" s="197"/>
      <c r="G165" s="211"/>
      <c r="H165" s="254">
        <f>SF!H68</f>
        <v>47.410919999999997</v>
      </c>
      <c r="I165" s="197"/>
      <c r="J165" s="254">
        <f>SF!J68</f>
        <v>433.10062959257624</v>
      </c>
      <c r="K165" s="376">
        <v>0.15</v>
      </c>
    </row>
    <row r="166" spans="1:11">
      <c r="A166" s="25" t="s">
        <v>1006</v>
      </c>
      <c r="B166" s="26" t="s">
        <v>211</v>
      </c>
      <c r="C166" s="26"/>
      <c r="D166" s="26"/>
      <c r="E166" s="27"/>
      <c r="F166" s="197"/>
      <c r="G166" s="195"/>
      <c r="H166" s="254">
        <f>SF!H78</f>
        <v>26.798532263701709</v>
      </c>
      <c r="I166" s="195"/>
      <c r="J166" s="254">
        <f>SF!J78</f>
        <v>147.28381289471153</v>
      </c>
      <c r="K166" s="376">
        <v>0.15</v>
      </c>
    </row>
    <row r="167" spans="1:11">
      <c r="A167" s="290" t="s">
        <v>1137</v>
      </c>
      <c r="B167" s="11"/>
      <c r="C167" s="11"/>
      <c r="D167" s="11"/>
      <c r="E167" s="191"/>
      <c r="F167" s="197"/>
      <c r="G167" s="211"/>
      <c r="H167" s="89"/>
      <c r="I167" s="197"/>
      <c r="J167" s="89"/>
      <c r="K167" s="994">
        <v>0.15</v>
      </c>
    </row>
    <row r="168" spans="1:11">
      <c r="A168" s="25" t="s">
        <v>1008</v>
      </c>
      <c r="B168" s="26" t="s">
        <v>989</v>
      </c>
      <c r="C168" s="26"/>
      <c r="D168" s="26"/>
      <c r="E168" s="27"/>
      <c r="F168" s="196">
        <f>SF!F88</f>
        <v>31.607279999999999</v>
      </c>
      <c r="G168" s="211"/>
      <c r="H168" s="34"/>
      <c r="I168" s="196">
        <f>SF!I88</f>
        <v>15.140358000000003</v>
      </c>
      <c r="J168" s="196">
        <f>SF!J88</f>
        <v>0</v>
      </c>
      <c r="K168" s="268">
        <v>0.15</v>
      </c>
    </row>
    <row r="169" spans="1:11">
      <c r="A169" s="25" t="s">
        <v>1011</v>
      </c>
      <c r="B169" s="26" t="s">
        <v>211</v>
      </c>
      <c r="C169" s="26"/>
      <c r="D169" s="26"/>
      <c r="E169" s="27"/>
      <c r="F169" s="196">
        <f>SF!F98</f>
        <v>17.865688175801139</v>
      </c>
      <c r="G169" s="211"/>
      <c r="H169" s="197"/>
      <c r="I169" s="196">
        <f>SF!I98</f>
        <v>0</v>
      </c>
      <c r="J169" s="196">
        <f>SF!J98</f>
        <v>0</v>
      </c>
      <c r="K169" s="268">
        <v>0.15</v>
      </c>
    </row>
    <row r="170" spans="1:11">
      <c r="A170" s="253"/>
      <c r="B170" s="15"/>
      <c r="C170" s="15"/>
      <c r="D170" s="15"/>
      <c r="E170" s="22"/>
      <c r="F170" s="212"/>
      <c r="G170" s="213"/>
      <c r="H170" s="198"/>
      <c r="I170" s="198"/>
      <c r="J170" s="58"/>
      <c r="K170" s="379"/>
    </row>
    <row r="171" spans="1:11">
      <c r="A171" s="46"/>
      <c r="B171" s="46"/>
      <c r="C171" s="46"/>
      <c r="D171" s="46"/>
      <c r="E171" s="46"/>
      <c r="F171" s="46"/>
      <c r="G171" s="46"/>
      <c r="H171" s="46"/>
      <c r="I171" s="46"/>
      <c r="J171" s="46"/>
      <c r="K171" s="87"/>
    </row>
    <row r="172" spans="1:11">
      <c r="A172" s="220" t="s">
        <v>73</v>
      </c>
      <c r="B172" s="220" t="s">
        <v>74</v>
      </c>
      <c r="C172" s="200"/>
      <c r="D172" s="200"/>
      <c r="E172" s="217"/>
      <c r="F172" s="1636" t="s">
        <v>72</v>
      </c>
      <c r="G172" s="1637"/>
      <c r="H172" s="1637"/>
      <c r="I172" s="1637"/>
      <c r="J172" s="1638"/>
      <c r="K172" s="87"/>
    </row>
    <row r="173" spans="1:11" ht="18">
      <c r="A173" s="221"/>
      <c r="B173" s="221"/>
      <c r="C173" s="201"/>
      <c r="D173" s="201"/>
      <c r="E173" s="219"/>
      <c r="F173" s="223" t="s">
        <v>23</v>
      </c>
      <c r="G173" s="223" t="s">
        <v>87</v>
      </c>
      <c r="H173" s="223" t="s">
        <v>212</v>
      </c>
      <c r="I173" s="223" t="s">
        <v>80</v>
      </c>
      <c r="J173" s="223" t="s">
        <v>81</v>
      </c>
      <c r="K173" s="87"/>
    </row>
    <row r="174" spans="1:11">
      <c r="A174" s="222"/>
      <c r="B174" s="222"/>
      <c r="C174" s="203"/>
      <c r="D174" s="203"/>
      <c r="E174" s="218"/>
      <c r="F174" s="204" t="s">
        <v>34</v>
      </c>
      <c r="G174" s="204" t="s">
        <v>34</v>
      </c>
      <c r="H174" s="203" t="s">
        <v>34</v>
      </c>
      <c r="I174" s="204" t="s">
        <v>77</v>
      </c>
      <c r="J174" s="204" t="s">
        <v>77</v>
      </c>
      <c r="K174" s="87"/>
    </row>
    <row r="175" spans="1:11">
      <c r="A175" s="202"/>
      <c r="B175" s="200"/>
      <c r="C175" s="200"/>
      <c r="D175" s="200"/>
      <c r="E175" s="217"/>
      <c r="F175" s="205"/>
      <c r="G175" s="205"/>
      <c r="H175" s="201"/>
      <c r="I175" s="205"/>
      <c r="J175" s="205"/>
      <c r="K175" s="87"/>
    </row>
    <row r="176" spans="1:11">
      <c r="A176" s="205" t="str">
        <f>A152</f>
        <v>LC-7</v>
      </c>
      <c r="B176" s="201" t="str">
        <f>B152</f>
        <v>LC-1 + Seismic Sx=1,Sz=0.3,Sy=0.3 (50% seismic)</v>
      </c>
      <c r="C176" s="201"/>
      <c r="D176" s="201"/>
      <c r="E176" s="219"/>
      <c r="F176" s="205">
        <f>SUMPRODUCT(F155:F169,$K$155:$K$169)</f>
        <v>701.80801053590301</v>
      </c>
      <c r="G176" s="1080">
        <f>SUMPRODUCT(G155:G169,$K$155:$K$169)</f>
        <v>75.443186131850851</v>
      </c>
      <c r="H176" s="1080">
        <f>SUMPRODUCT(H155:H169,$K$155:$K$169)</f>
        <v>11.131417839555255</v>
      </c>
      <c r="I176" s="1080">
        <f>SUMPRODUCT(I155:I169,$K$155:$K$169)</f>
        <v>729.82511774735576</v>
      </c>
      <c r="J176" s="1080">
        <f>SUMPRODUCT(J155:J169,$K$155:$K$169)</f>
        <v>87.05766637309317</v>
      </c>
      <c r="K176" s="87"/>
    </row>
    <row r="177" spans="1:11">
      <c r="A177" s="204"/>
      <c r="B177" s="203"/>
      <c r="C177" s="203"/>
      <c r="D177" s="203"/>
      <c r="E177" s="218"/>
      <c r="F177" s="204"/>
      <c r="G177" s="204"/>
      <c r="H177" s="203"/>
      <c r="I177" s="204"/>
      <c r="J177" s="204"/>
      <c r="K177" s="87"/>
    </row>
    <row r="180" spans="1:11">
      <c r="A180" s="1318" t="str">
        <f>K180</f>
        <v>LC-8</v>
      </c>
      <c r="B180" s="24" t="str">
        <f>VLOOKUP(A180,LC_DEF_2!A3:B42,2,FALSE)</f>
        <v>LC-1 + Seismic Sx=0.3,Sz=1,Sy=0.3 (50% seismic)</v>
      </c>
      <c r="C180" s="24"/>
      <c r="D180" s="24"/>
      <c r="E180" s="21"/>
      <c r="F180" s="1635" t="s">
        <v>742</v>
      </c>
      <c r="G180" s="1635"/>
      <c r="H180" s="1635"/>
      <c r="I180" s="1635"/>
      <c r="J180" s="1600"/>
      <c r="K180" s="413" t="s">
        <v>223</v>
      </c>
    </row>
    <row r="181" spans="1:11" ht="18">
      <c r="A181" s="25" t="s">
        <v>73</v>
      </c>
      <c r="B181" s="26" t="s">
        <v>74</v>
      </c>
      <c r="C181" s="26"/>
      <c r="D181" s="26"/>
      <c r="E181" s="27"/>
      <c r="F181" s="32" t="s">
        <v>23</v>
      </c>
      <c r="G181" s="33" t="s">
        <v>87</v>
      </c>
      <c r="H181" s="33" t="s">
        <v>212</v>
      </c>
      <c r="I181" s="33" t="s">
        <v>80</v>
      </c>
      <c r="J181" s="33" t="s">
        <v>81</v>
      </c>
      <c r="K181" s="376"/>
    </row>
    <row r="182" spans="1:11">
      <c r="A182" s="28"/>
      <c r="B182" s="15"/>
      <c r="C182" s="15"/>
      <c r="D182" s="15"/>
      <c r="E182" s="22"/>
      <c r="F182" s="21" t="s">
        <v>34</v>
      </c>
      <c r="G182" s="36" t="s">
        <v>34</v>
      </c>
      <c r="H182" s="36" t="s">
        <v>34</v>
      </c>
      <c r="I182" s="36" t="s">
        <v>77</v>
      </c>
      <c r="J182" s="36" t="s">
        <v>77</v>
      </c>
      <c r="K182" s="376"/>
    </row>
    <row r="183" spans="1:11">
      <c r="A183" s="25" t="s">
        <v>88</v>
      </c>
      <c r="B183" s="26" t="s">
        <v>75</v>
      </c>
      <c r="C183" s="26"/>
      <c r="D183" s="26"/>
      <c r="E183" s="27"/>
      <c r="F183" s="195">
        <f>SF!F14</f>
        <v>365.08803866482532</v>
      </c>
      <c r="G183" s="210"/>
      <c r="H183" s="34"/>
      <c r="I183" s="195">
        <f>SF!I14</f>
        <v>0</v>
      </c>
      <c r="J183" s="195">
        <f>SF!J14</f>
        <v>0</v>
      </c>
      <c r="K183" s="268">
        <v>1</v>
      </c>
    </row>
    <row r="184" spans="1:11">
      <c r="A184" s="25" t="s">
        <v>90</v>
      </c>
      <c r="B184" s="26" t="s">
        <v>249</v>
      </c>
      <c r="C184" s="26"/>
      <c r="D184" s="26"/>
      <c r="E184" s="27"/>
      <c r="F184" s="195">
        <f>SF!F16</f>
        <v>36.639026644707663</v>
      </c>
      <c r="G184" s="210"/>
      <c r="H184" s="34"/>
      <c r="I184" s="195">
        <f>SF!I16</f>
        <v>0</v>
      </c>
      <c r="J184" s="195">
        <f>SF!J16</f>
        <v>0</v>
      </c>
      <c r="K184" s="268">
        <v>1</v>
      </c>
    </row>
    <row r="185" spans="1:11">
      <c r="A185" s="25" t="s">
        <v>250</v>
      </c>
      <c r="B185" s="26" t="s">
        <v>970</v>
      </c>
      <c r="C185" s="26"/>
      <c r="D185" s="26"/>
      <c r="E185" s="27"/>
      <c r="F185" s="195">
        <f>SF!F23</f>
        <v>230</v>
      </c>
      <c r="G185" s="27"/>
      <c r="H185" s="34"/>
      <c r="I185" s="195">
        <f>SF!I23</f>
        <v>115</v>
      </c>
      <c r="J185" s="195">
        <f>SF!J23</f>
        <v>0</v>
      </c>
      <c r="K185" s="376">
        <v>1</v>
      </c>
    </row>
    <row r="186" spans="1:11">
      <c r="A186" s="25" t="s">
        <v>251</v>
      </c>
      <c r="B186" s="26" t="s">
        <v>971</v>
      </c>
      <c r="C186" s="26"/>
      <c r="D186" s="26"/>
      <c r="E186" s="27"/>
      <c r="F186" s="195">
        <f>SF!F24</f>
        <v>20.660000000000004</v>
      </c>
      <c r="G186" s="27"/>
      <c r="H186" s="34"/>
      <c r="I186" s="195">
        <f>SF!I24</f>
        <v>10.330000000000002</v>
      </c>
      <c r="J186" s="195">
        <f>SF!J24</f>
        <v>0</v>
      </c>
      <c r="K186" s="268">
        <v>1</v>
      </c>
    </row>
    <row r="187" spans="1:11">
      <c r="A187" s="25" t="s">
        <v>97</v>
      </c>
      <c r="B187" s="26" t="s">
        <v>972</v>
      </c>
      <c r="C187" s="26"/>
      <c r="D187" s="26"/>
      <c r="E187" s="27"/>
      <c r="F187" s="195">
        <f>SF!F25</f>
        <v>42</v>
      </c>
      <c r="G187" s="27"/>
      <c r="H187" s="34"/>
      <c r="I187" s="195">
        <f>SF!I25</f>
        <v>14.858499999999999</v>
      </c>
      <c r="J187" s="195">
        <f>SF!J25</f>
        <v>0</v>
      </c>
      <c r="K187" s="376">
        <v>1</v>
      </c>
    </row>
    <row r="188" spans="1:11">
      <c r="A188" s="25" t="s">
        <v>987</v>
      </c>
      <c r="B188" s="163" t="s">
        <v>957</v>
      </c>
      <c r="C188" s="26"/>
      <c r="D188" s="26"/>
      <c r="E188" s="27"/>
      <c r="F188" s="34"/>
      <c r="G188" s="195">
        <f>SF!G41</f>
        <v>14.632999999999999</v>
      </c>
      <c r="H188" s="34"/>
      <c r="I188" s="195">
        <f>SF!I41</f>
        <v>121.16124000000001</v>
      </c>
      <c r="J188" s="34"/>
      <c r="K188" s="376">
        <v>1</v>
      </c>
    </row>
    <row r="189" spans="1:11">
      <c r="A189" s="278" t="s">
        <v>1132</v>
      </c>
      <c r="B189" s="262"/>
      <c r="C189" s="262"/>
      <c r="D189" s="262"/>
      <c r="E189" s="263"/>
      <c r="F189" s="279"/>
      <c r="G189" s="280"/>
      <c r="H189" s="264"/>
      <c r="I189" s="279"/>
      <c r="J189" s="264"/>
      <c r="K189" s="650">
        <v>0.15</v>
      </c>
    </row>
    <row r="190" spans="1:11">
      <c r="A190" s="25" t="s">
        <v>991</v>
      </c>
      <c r="B190" s="26" t="s">
        <v>989</v>
      </c>
      <c r="C190" s="26"/>
      <c r="D190" s="26"/>
      <c r="E190" s="27"/>
      <c r="F190" s="197"/>
      <c r="G190" s="172">
        <f>SF!G52</f>
        <v>94.821839999999995</v>
      </c>
      <c r="H190" s="34"/>
      <c r="I190" s="172">
        <f>SF!I52</f>
        <v>785.12483520000001</v>
      </c>
      <c r="J190" s="89"/>
      <c r="K190" s="268">
        <v>0.15</v>
      </c>
    </row>
    <row r="191" spans="1:11">
      <c r="A191" s="25" t="s">
        <v>217</v>
      </c>
      <c r="B191" s="26" t="s">
        <v>211</v>
      </c>
      <c r="C191" s="26"/>
      <c r="D191" s="26"/>
      <c r="E191" s="27"/>
      <c r="F191" s="197"/>
      <c r="G191" s="196">
        <f>SF!G58</f>
        <v>26.798532263701709</v>
      </c>
      <c r="H191" s="199"/>
      <c r="I191" s="172">
        <f>SF!I58</f>
        <v>147.28381289471153</v>
      </c>
      <c r="J191" s="195"/>
      <c r="K191" s="376">
        <v>0.15</v>
      </c>
    </row>
    <row r="192" spans="1:11">
      <c r="A192" s="278" t="s">
        <v>1135</v>
      </c>
      <c r="B192" s="262"/>
      <c r="C192" s="262"/>
      <c r="D192" s="262"/>
      <c r="E192" s="263"/>
      <c r="F192" s="279"/>
      <c r="G192" s="280"/>
      <c r="H192" s="264"/>
      <c r="I192" s="279"/>
      <c r="J192" s="264"/>
      <c r="K192" s="708">
        <v>0.5</v>
      </c>
    </row>
    <row r="193" spans="1:11">
      <c r="A193" s="25" t="s">
        <v>998</v>
      </c>
      <c r="B193" s="26" t="s">
        <v>989</v>
      </c>
      <c r="C193" s="26"/>
      <c r="D193" s="26"/>
      <c r="E193" s="27"/>
      <c r="F193" s="197"/>
      <c r="G193" s="211"/>
      <c r="H193" s="254">
        <f>SF!H68</f>
        <v>47.410919999999997</v>
      </c>
      <c r="I193" s="197"/>
      <c r="J193" s="254">
        <f>SF!J68</f>
        <v>433.10062959257624</v>
      </c>
      <c r="K193" s="376">
        <v>0.5</v>
      </c>
    </row>
    <row r="194" spans="1:11">
      <c r="A194" s="25" t="s">
        <v>1006</v>
      </c>
      <c r="B194" s="26" t="s">
        <v>211</v>
      </c>
      <c r="C194" s="26"/>
      <c r="D194" s="26"/>
      <c r="E194" s="27"/>
      <c r="F194" s="197"/>
      <c r="G194" s="195"/>
      <c r="H194" s="254">
        <f>SF!H78</f>
        <v>26.798532263701709</v>
      </c>
      <c r="I194" s="195"/>
      <c r="J194" s="254">
        <f>SF!J78</f>
        <v>147.28381289471153</v>
      </c>
      <c r="K194" s="376">
        <v>0.5</v>
      </c>
    </row>
    <row r="195" spans="1:11">
      <c r="A195" s="290" t="s">
        <v>1137</v>
      </c>
      <c r="B195" s="11"/>
      <c r="C195" s="11"/>
      <c r="D195" s="11"/>
      <c r="E195" s="191"/>
      <c r="F195" s="197"/>
      <c r="G195" s="211"/>
      <c r="H195" s="89"/>
      <c r="I195" s="197"/>
      <c r="J195" s="89"/>
      <c r="K195" s="994">
        <v>0.15</v>
      </c>
    </row>
    <row r="196" spans="1:11">
      <c r="A196" s="25" t="s">
        <v>1008</v>
      </c>
      <c r="B196" s="26" t="s">
        <v>989</v>
      </c>
      <c r="C196" s="26"/>
      <c r="D196" s="26"/>
      <c r="E196" s="27"/>
      <c r="F196" s="196">
        <f>SF!F88</f>
        <v>31.607279999999999</v>
      </c>
      <c r="G196" s="211"/>
      <c r="H196" s="34"/>
      <c r="I196" s="196">
        <f>SF!I88</f>
        <v>15.140358000000003</v>
      </c>
      <c r="J196" s="196">
        <f>SF!J88</f>
        <v>0</v>
      </c>
      <c r="K196" s="268">
        <v>0.15</v>
      </c>
    </row>
    <row r="197" spans="1:11">
      <c r="A197" s="25" t="s">
        <v>1011</v>
      </c>
      <c r="B197" s="26" t="s">
        <v>211</v>
      </c>
      <c r="C197" s="26"/>
      <c r="D197" s="26"/>
      <c r="E197" s="27"/>
      <c r="F197" s="196">
        <f>SF!F98</f>
        <v>17.865688175801139</v>
      </c>
      <c r="G197" s="211"/>
      <c r="H197" s="197"/>
      <c r="I197" s="196">
        <f>SF!I98</f>
        <v>0</v>
      </c>
      <c r="J197" s="196">
        <f>SF!J98</f>
        <v>0</v>
      </c>
      <c r="K197" s="268">
        <v>0.15</v>
      </c>
    </row>
    <row r="198" spans="1:11">
      <c r="A198" s="253"/>
      <c r="B198" s="15"/>
      <c r="C198" s="15"/>
      <c r="D198" s="15"/>
      <c r="E198" s="22"/>
      <c r="F198" s="212"/>
      <c r="G198" s="213"/>
      <c r="H198" s="198"/>
      <c r="I198" s="198"/>
      <c r="J198" s="58"/>
      <c r="K198" s="379"/>
    </row>
    <row r="199" spans="1:11">
      <c r="A199" s="46"/>
      <c r="B199" s="46"/>
      <c r="C199" s="46"/>
      <c r="D199" s="46"/>
      <c r="E199" s="46"/>
      <c r="F199" s="46"/>
      <c r="G199" s="46"/>
      <c r="H199" s="46"/>
      <c r="I199" s="46"/>
      <c r="J199" s="46"/>
      <c r="K199" s="87"/>
    </row>
    <row r="200" spans="1:11">
      <c r="A200" s="220" t="s">
        <v>73</v>
      </c>
      <c r="B200" s="220" t="s">
        <v>74</v>
      </c>
      <c r="C200" s="200"/>
      <c r="D200" s="200"/>
      <c r="E200" s="217"/>
      <c r="F200" s="1636" t="s">
        <v>72</v>
      </c>
      <c r="G200" s="1637"/>
      <c r="H200" s="1637"/>
      <c r="I200" s="1637"/>
      <c r="J200" s="1638"/>
      <c r="K200" s="87"/>
    </row>
    <row r="201" spans="1:11" ht="18">
      <c r="A201" s="221"/>
      <c r="B201" s="221"/>
      <c r="C201" s="201"/>
      <c r="D201" s="201"/>
      <c r="E201" s="219"/>
      <c r="F201" s="223" t="s">
        <v>23</v>
      </c>
      <c r="G201" s="223" t="s">
        <v>87</v>
      </c>
      <c r="H201" s="223" t="s">
        <v>212</v>
      </c>
      <c r="I201" s="223" t="s">
        <v>80</v>
      </c>
      <c r="J201" s="223" t="s">
        <v>81</v>
      </c>
      <c r="K201" s="87"/>
    </row>
    <row r="202" spans="1:11">
      <c r="A202" s="222"/>
      <c r="B202" s="222"/>
      <c r="C202" s="203"/>
      <c r="D202" s="203"/>
      <c r="E202" s="218"/>
      <c r="F202" s="204" t="s">
        <v>34</v>
      </c>
      <c r="G202" s="204" t="s">
        <v>34</v>
      </c>
      <c r="H202" s="203" t="s">
        <v>34</v>
      </c>
      <c r="I202" s="204" t="s">
        <v>77</v>
      </c>
      <c r="J202" s="204" t="s">
        <v>77</v>
      </c>
      <c r="K202" s="87"/>
    </row>
    <row r="203" spans="1:11">
      <c r="A203" s="202"/>
      <c r="B203" s="200"/>
      <c r="C203" s="200"/>
      <c r="D203" s="200"/>
      <c r="E203" s="217"/>
      <c r="F203" s="205"/>
      <c r="G203" s="205"/>
      <c r="H203" s="201"/>
      <c r="I203" s="205"/>
      <c r="J203" s="205"/>
      <c r="K203" s="87"/>
    </row>
    <row r="204" spans="1:11">
      <c r="A204" s="205" t="str">
        <f>A180</f>
        <v>LC-8</v>
      </c>
      <c r="B204" s="201" t="str">
        <f>B180</f>
        <v>LC-1 + Seismic Sx=0.3,Sz=1,Sy=0.3 (50% seismic)</v>
      </c>
      <c r="C204" s="201"/>
      <c r="D204" s="201"/>
      <c r="E204" s="219"/>
      <c r="F204" s="205">
        <f>SUMPRODUCT(F183:F197,$K$183:$K$197)</f>
        <v>701.80801053590301</v>
      </c>
      <c r="G204" s="1080">
        <f>SUMPRODUCT(G183:G197,$K$183:$K$197)</f>
        <v>32.876055839555256</v>
      </c>
      <c r="H204" s="1080">
        <f>SUMPRODUCT(H183:H197,$K$183:$K$197)</f>
        <v>37.104726131850853</v>
      </c>
      <c r="I204" s="1080">
        <f>SUMPRODUCT(I183:I197,$K$183:$K$197)</f>
        <v>403.48209091420671</v>
      </c>
      <c r="J204" s="1080">
        <f>SUMPRODUCT(J183:J197,$K$183:$K$197)</f>
        <v>290.19222124364387</v>
      </c>
      <c r="K204" s="87"/>
    </row>
    <row r="205" spans="1:11">
      <c r="A205" s="204"/>
      <c r="B205" s="203"/>
      <c r="C205" s="203"/>
      <c r="D205" s="203"/>
      <c r="E205" s="218"/>
      <c r="F205" s="204"/>
      <c r="G205" s="204"/>
      <c r="H205" s="203"/>
      <c r="I205" s="204"/>
      <c r="J205" s="204"/>
      <c r="K205" s="87"/>
    </row>
    <row r="208" spans="1:11">
      <c r="A208" s="1318" t="str">
        <f>K208</f>
        <v>LC-9</v>
      </c>
      <c r="B208" s="24" t="str">
        <f>VLOOKUP(A208,LC_DEF_2!A3:B42,2,FALSE)</f>
        <v>LC-2 + Seismic Sx=1,Sz=0.3,Sy=-0.3</v>
      </c>
      <c r="C208" s="24"/>
      <c r="D208" s="24"/>
      <c r="E208" s="21"/>
      <c r="F208" s="1635" t="s">
        <v>742</v>
      </c>
      <c r="G208" s="1635"/>
      <c r="H208" s="1635"/>
      <c r="I208" s="1635"/>
      <c r="J208" s="1600"/>
      <c r="K208" s="413" t="s">
        <v>224</v>
      </c>
    </row>
    <row r="209" spans="1:11" ht="18">
      <c r="A209" s="25" t="s">
        <v>73</v>
      </c>
      <c r="B209" s="26" t="s">
        <v>74</v>
      </c>
      <c r="C209" s="26"/>
      <c r="D209" s="26"/>
      <c r="E209" s="27"/>
      <c r="F209" s="32" t="s">
        <v>23</v>
      </c>
      <c r="G209" s="33" t="s">
        <v>87</v>
      </c>
      <c r="H209" s="33" t="s">
        <v>212</v>
      </c>
      <c r="I209" s="33" t="s">
        <v>80</v>
      </c>
      <c r="J209" s="33" t="s">
        <v>81</v>
      </c>
      <c r="K209" s="376"/>
    </row>
    <row r="210" spans="1:11">
      <c r="A210" s="28"/>
      <c r="B210" s="15"/>
      <c r="C210" s="15"/>
      <c r="D210" s="15"/>
      <c r="E210" s="22"/>
      <c r="F210" s="21" t="s">
        <v>34</v>
      </c>
      <c r="G210" s="36" t="s">
        <v>34</v>
      </c>
      <c r="H210" s="36" t="s">
        <v>34</v>
      </c>
      <c r="I210" s="36" t="s">
        <v>77</v>
      </c>
      <c r="J210" s="36" t="s">
        <v>77</v>
      </c>
      <c r="K210" s="376"/>
    </row>
    <row r="211" spans="1:11">
      <c r="A211" s="25" t="s">
        <v>88</v>
      </c>
      <c r="B211" s="26" t="s">
        <v>75</v>
      </c>
      <c r="C211" s="26"/>
      <c r="D211" s="26"/>
      <c r="E211" s="27"/>
      <c r="F211" s="195">
        <f>SF!F14</f>
        <v>365.08803866482532</v>
      </c>
      <c r="G211" s="210"/>
      <c r="H211" s="34"/>
      <c r="I211" s="195">
        <f>SF!I14</f>
        <v>0</v>
      </c>
      <c r="J211" s="195">
        <f>SF!J14</f>
        <v>0</v>
      </c>
      <c r="K211" s="268">
        <v>1</v>
      </c>
    </row>
    <row r="212" spans="1:11">
      <c r="A212" s="25" t="s">
        <v>90</v>
      </c>
      <c r="B212" s="26" t="s">
        <v>249</v>
      </c>
      <c r="C212" s="26"/>
      <c r="D212" s="26"/>
      <c r="E212" s="27"/>
      <c r="F212" s="195">
        <f>SF!F16</f>
        <v>36.639026644707663</v>
      </c>
      <c r="G212" s="210"/>
      <c r="H212" s="34"/>
      <c r="I212" s="195">
        <f>SF!I16</f>
        <v>0</v>
      </c>
      <c r="J212" s="195">
        <f>SF!J16</f>
        <v>0</v>
      </c>
      <c r="K212" s="268">
        <v>1</v>
      </c>
    </row>
    <row r="213" spans="1:11">
      <c r="A213" s="25" t="s">
        <v>250</v>
      </c>
      <c r="B213" s="26" t="s">
        <v>967</v>
      </c>
      <c r="C213" s="26"/>
      <c r="D213" s="26"/>
      <c r="E213" s="27"/>
      <c r="F213" s="195">
        <f>SF!F19</f>
        <v>230</v>
      </c>
      <c r="G213" s="27"/>
      <c r="H213" s="34"/>
      <c r="I213" s="195">
        <f>SF!I19</f>
        <v>-115</v>
      </c>
      <c r="J213" s="195">
        <f>SF!J19</f>
        <v>0</v>
      </c>
      <c r="K213" s="376">
        <v>1</v>
      </c>
    </row>
    <row r="214" spans="1:11">
      <c r="A214" s="25" t="s">
        <v>251</v>
      </c>
      <c r="B214" s="26" t="s">
        <v>968</v>
      </c>
      <c r="C214" s="26"/>
      <c r="D214" s="26"/>
      <c r="E214" s="27"/>
      <c r="F214" s="195">
        <f>SF!F20</f>
        <v>20.660000000000004</v>
      </c>
      <c r="G214" s="27"/>
      <c r="H214" s="34"/>
      <c r="I214" s="195">
        <f>SF!I20</f>
        <v>-10.330000000000002</v>
      </c>
      <c r="J214" s="195">
        <f>SF!J20</f>
        <v>0</v>
      </c>
      <c r="K214" s="376">
        <v>1</v>
      </c>
    </row>
    <row r="215" spans="1:11">
      <c r="A215" s="25" t="s">
        <v>97</v>
      </c>
      <c r="B215" s="26" t="s">
        <v>969</v>
      </c>
      <c r="C215" s="26"/>
      <c r="D215" s="26"/>
      <c r="E215" s="27"/>
      <c r="F215" s="195">
        <f>SF!F21</f>
        <v>42</v>
      </c>
      <c r="G215" s="27"/>
      <c r="H215" s="34"/>
      <c r="I215" s="195">
        <f>SF!I21</f>
        <v>-14.858499999999999</v>
      </c>
      <c r="J215" s="195">
        <f>SF!J21</f>
        <v>0</v>
      </c>
      <c r="K215" s="376">
        <v>1</v>
      </c>
    </row>
    <row r="216" spans="1:11">
      <c r="A216" s="25" t="s">
        <v>250</v>
      </c>
      <c r="B216" s="26" t="s">
        <v>970</v>
      </c>
      <c r="C216" s="26"/>
      <c r="D216" s="26"/>
      <c r="E216" s="27"/>
      <c r="F216" s="195">
        <f>SF!F23</f>
        <v>230</v>
      </c>
      <c r="G216" s="27"/>
      <c r="H216" s="34"/>
      <c r="I216" s="195">
        <f>SF!I23</f>
        <v>115</v>
      </c>
      <c r="J216" s="195">
        <f>SF!J23</f>
        <v>0</v>
      </c>
      <c r="K216" s="376">
        <v>1</v>
      </c>
    </row>
    <row r="217" spans="1:11">
      <c r="A217" s="25" t="s">
        <v>251</v>
      </c>
      <c r="B217" s="26" t="s">
        <v>971</v>
      </c>
      <c r="C217" s="26"/>
      <c r="D217" s="26"/>
      <c r="E217" s="27"/>
      <c r="F217" s="195">
        <f>SF!F24</f>
        <v>20.660000000000004</v>
      </c>
      <c r="G217" s="27"/>
      <c r="H217" s="34"/>
      <c r="I217" s="195">
        <f>SF!I24</f>
        <v>10.330000000000002</v>
      </c>
      <c r="J217" s="195">
        <f>SF!J24</f>
        <v>0</v>
      </c>
      <c r="K217" s="268">
        <v>1</v>
      </c>
    </row>
    <row r="218" spans="1:11">
      <c r="A218" s="25" t="s">
        <v>97</v>
      </c>
      <c r="B218" s="26" t="s">
        <v>972</v>
      </c>
      <c r="C218" s="26"/>
      <c r="D218" s="26"/>
      <c r="E218" s="27"/>
      <c r="F218" s="195">
        <f>SF!F25</f>
        <v>42</v>
      </c>
      <c r="G218" s="27"/>
      <c r="H218" s="34"/>
      <c r="I218" s="195">
        <f>SF!I25</f>
        <v>14.858499999999999</v>
      </c>
      <c r="J218" s="195">
        <f>SF!J25</f>
        <v>0</v>
      </c>
      <c r="K218" s="376">
        <v>1</v>
      </c>
    </row>
    <row r="219" spans="1:11">
      <c r="A219" s="25" t="s">
        <v>986</v>
      </c>
      <c r="B219" s="163" t="s">
        <v>955</v>
      </c>
      <c r="C219" s="26"/>
      <c r="D219" s="26"/>
      <c r="E219" s="27"/>
      <c r="F219" s="34"/>
      <c r="G219" s="195">
        <f>SF!G40</f>
        <v>5.8532000000000011</v>
      </c>
      <c r="H219" s="34"/>
      <c r="I219" s="195">
        <f>SF!I40</f>
        <v>48.464496000000018</v>
      </c>
      <c r="J219" s="34"/>
      <c r="K219" s="376">
        <v>1</v>
      </c>
    </row>
    <row r="220" spans="1:11">
      <c r="A220" s="278" t="s">
        <v>1132</v>
      </c>
      <c r="B220" s="262"/>
      <c r="C220" s="262"/>
      <c r="D220" s="262"/>
      <c r="E220" s="263"/>
      <c r="F220" s="279"/>
      <c r="G220" s="280"/>
      <c r="H220" s="264"/>
      <c r="I220" s="279"/>
      <c r="J220" s="264"/>
      <c r="K220" s="650">
        <v>1</v>
      </c>
    </row>
    <row r="221" spans="1:11">
      <c r="A221" s="25" t="s">
        <v>991</v>
      </c>
      <c r="B221" s="26" t="s">
        <v>989</v>
      </c>
      <c r="C221" s="26"/>
      <c r="D221" s="26"/>
      <c r="E221" s="27"/>
      <c r="F221" s="197"/>
      <c r="G221" s="172">
        <f>SF!G52</f>
        <v>94.821839999999995</v>
      </c>
      <c r="H221" s="34"/>
      <c r="I221" s="172">
        <f>SF!I52</f>
        <v>785.12483520000001</v>
      </c>
      <c r="J221" s="89"/>
      <c r="K221" s="268">
        <v>1</v>
      </c>
    </row>
    <row r="222" spans="1:11">
      <c r="A222" s="25" t="s">
        <v>217</v>
      </c>
      <c r="B222" s="26" t="s">
        <v>211</v>
      </c>
      <c r="C222" s="26"/>
      <c r="D222" s="26"/>
      <c r="E222" s="27"/>
      <c r="F222" s="197"/>
      <c r="G222" s="196">
        <f>SF!G58</f>
        <v>26.798532263701709</v>
      </c>
      <c r="H222" s="199"/>
      <c r="I222" s="172">
        <f>SF!I58</f>
        <v>147.28381289471153</v>
      </c>
      <c r="J222" s="195"/>
      <c r="K222" s="376">
        <v>1</v>
      </c>
    </row>
    <row r="223" spans="1:11">
      <c r="A223" s="278" t="s">
        <v>1135</v>
      </c>
      <c r="B223" s="262"/>
      <c r="C223" s="262"/>
      <c r="D223" s="262"/>
      <c r="E223" s="263"/>
      <c r="F223" s="279"/>
      <c r="G223" s="280"/>
      <c r="H223" s="264"/>
      <c r="I223" s="279"/>
      <c r="J223" s="264"/>
      <c r="K223" s="708">
        <v>0.3</v>
      </c>
    </row>
    <row r="224" spans="1:11">
      <c r="A224" s="25" t="s">
        <v>997</v>
      </c>
      <c r="B224" s="26" t="s">
        <v>988</v>
      </c>
      <c r="C224" s="26"/>
      <c r="D224" s="26"/>
      <c r="E224" s="27"/>
      <c r="F224" s="197"/>
      <c r="G224" s="211"/>
      <c r="H224" s="254">
        <f>SF!H67</f>
        <v>47.410919999999997</v>
      </c>
      <c r="I224" s="197"/>
      <c r="J224" s="254">
        <f>SF!J67</f>
        <v>433.10062959257624</v>
      </c>
      <c r="K224" s="268">
        <v>0.3</v>
      </c>
    </row>
    <row r="225" spans="1:11">
      <c r="A225" s="25" t="s">
        <v>998</v>
      </c>
      <c r="B225" s="26" t="s">
        <v>989</v>
      </c>
      <c r="C225" s="26"/>
      <c r="D225" s="26"/>
      <c r="E225" s="27"/>
      <c r="F225" s="197"/>
      <c r="G225" s="211"/>
      <c r="H225" s="254">
        <f>SF!H68</f>
        <v>47.410919999999997</v>
      </c>
      <c r="I225" s="197"/>
      <c r="J225" s="254">
        <f>SF!J68</f>
        <v>433.10062959257624</v>
      </c>
      <c r="K225" s="376">
        <v>0.3</v>
      </c>
    </row>
    <row r="226" spans="1:11">
      <c r="A226" s="25" t="s">
        <v>1006</v>
      </c>
      <c r="B226" s="26" t="s">
        <v>211</v>
      </c>
      <c r="C226" s="26"/>
      <c r="D226" s="26"/>
      <c r="E226" s="27"/>
      <c r="F226" s="197"/>
      <c r="G226" s="195"/>
      <c r="H226" s="254">
        <f>SF!H78</f>
        <v>26.798532263701709</v>
      </c>
      <c r="I226" s="195"/>
      <c r="J226" s="254">
        <f>SF!J78</f>
        <v>147.28381289471153</v>
      </c>
      <c r="K226" s="376">
        <v>0.3</v>
      </c>
    </row>
    <row r="227" spans="1:11">
      <c r="A227" s="290" t="s">
        <v>1137</v>
      </c>
      <c r="B227" s="11"/>
      <c r="C227" s="11"/>
      <c r="D227" s="11"/>
      <c r="E227" s="191"/>
      <c r="F227" s="197"/>
      <c r="G227" s="211"/>
      <c r="H227" s="89"/>
      <c r="I227" s="197"/>
      <c r="J227" s="89"/>
      <c r="K227" s="994">
        <v>0.3</v>
      </c>
    </row>
    <row r="228" spans="1:11">
      <c r="A228" s="25" t="s">
        <v>1007</v>
      </c>
      <c r="B228" s="26" t="s">
        <v>988</v>
      </c>
      <c r="C228" s="26"/>
      <c r="D228" s="26"/>
      <c r="E228" s="27"/>
      <c r="F228" s="196">
        <f>SF!F87</f>
        <v>31.607279999999999</v>
      </c>
      <c r="G228" s="211"/>
      <c r="H228" s="34"/>
      <c r="I228" s="196">
        <f>SF!I87</f>
        <v>-15.140358000000003</v>
      </c>
      <c r="J228" s="196">
        <f>SF!J87</f>
        <v>0</v>
      </c>
      <c r="K228" s="376">
        <v>-0.3</v>
      </c>
    </row>
    <row r="229" spans="1:11">
      <c r="A229" s="25" t="s">
        <v>1008</v>
      </c>
      <c r="B229" s="26" t="s">
        <v>989</v>
      </c>
      <c r="C229" s="26"/>
      <c r="D229" s="26"/>
      <c r="E229" s="27"/>
      <c r="F229" s="196">
        <f>SF!F88</f>
        <v>31.607279999999999</v>
      </c>
      <c r="G229" s="211"/>
      <c r="H229" s="34"/>
      <c r="I229" s="196">
        <f>SF!I88</f>
        <v>15.140358000000003</v>
      </c>
      <c r="J229" s="196">
        <f>SF!J88</f>
        <v>0</v>
      </c>
      <c r="K229" s="268">
        <v>-0.3</v>
      </c>
    </row>
    <row r="230" spans="1:11">
      <c r="A230" s="25" t="s">
        <v>1011</v>
      </c>
      <c r="B230" s="26" t="s">
        <v>211</v>
      </c>
      <c r="C230" s="26"/>
      <c r="D230" s="26"/>
      <c r="E230" s="27"/>
      <c r="F230" s="196">
        <f>SF!F98</f>
        <v>17.865688175801139</v>
      </c>
      <c r="G230" s="211"/>
      <c r="H230" s="197"/>
      <c r="I230" s="196">
        <f>SF!I98</f>
        <v>0</v>
      </c>
      <c r="J230" s="196">
        <f>SF!J98</f>
        <v>0</v>
      </c>
      <c r="K230" s="268">
        <v>-0.3</v>
      </c>
    </row>
    <row r="231" spans="1:11">
      <c r="A231" s="253"/>
      <c r="B231" s="15"/>
      <c r="C231" s="15"/>
      <c r="D231" s="15"/>
      <c r="E231" s="22"/>
      <c r="F231" s="212"/>
      <c r="G231" s="213"/>
      <c r="H231" s="198"/>
      <c r="I231" s="198"/>
      <c r="J231" s="58"/>
      <c r="K231" s="379"/>
    </row>
    <row r="232" spans="1:11">
      <c r="A232" s="46"/>
      <c r="B232" s="46"/>
      <c r="C232" s="46"/>
      <c r="D232" s="46"/>
      <c r="E232" s="46"/>
      <c r="F232" s="46"/>
      <c r="G232" s="46"/>
      <c r="H232" s="46"/>
      <c r="I232" s="46"/>
      <c r="J232" s="46"/>
      <c r="K232" s="87"/>
    </row>
    <row r="233" spans="1:11">
      <c r="A233" s="220" t="s">
        <v>73</v>
      </c>
      <c r="B233" s="220" t="s">
        <v>74</v>
      </c>
      <c r="C233" s="200"/>
      <c r="D233" s="200"/>
      <c r="E233" s="217"/>
      <c r="F233" s="1636" t="s">
        <v>72</v>
      </c>
      <c r="G233" s="1637"/>
      <c r="H233" s="1637"/>
      <c r="I233" s="1637"/>
      <c r="J233" s="1638"/>
      <c r="K233" s="87"/>
    </row>
    <row r="234" spans="1:11" ht="18">
      <c r="A234" s="221"/>
      <c r="B234" s="221"/>
      <c r="C234" s="201"/>
      <c r="D234" s="201"/>
      <c r="E234" s="219"/>
      <c r="F234" s="223" t="s">
        <v>23</v>
      </c>
      <c r="G234" s="223" t="s">
        <v>87</v>
      </c>
      <c r="H234" s="223" t="s">
        <v>212</v>
      </c>
      <c r="I234" s="223" t="s">
        <v>80</v>
      </c>
      <c r="J234" s="223" t="s">
        <v>81</v>
      </c>
      <c r="K234" s="87"/>
    </row>
    <row r="235" spans="1:11">
      <c r="A235" s="222"/>
      <c r="B235" s="222"/>
      <c r="C235" s="203"/>
      <c r="D235" s="203"/>
      <c r="E235" s="218"/>
      <c r="F235" s="204" t="s">
        <v>34</v>
      </c>
      <c r="G235" s="204" t="s">
        <v>34</v>
      </c>
      <c r="H235" s="203" t="s">
        <v>34</v>
      </c>
      <c r="I235" s="204" t="s">
        <v>77</v>
      </c>
      <c r="J235" s="204" t="s">
        <v>77</v>
      </c>
      <c r="K235" s="87"/>
    </row>
    <row r="236" spans="1:11">
      <c r="A236" s="202"/>
      <c r="B236" s="200"/>
      <c r="C236" s="200"/>
      <c r="D236" s="200"/>
      <c r="E236" s="217"/>
      <c r="F236" s="205"/>
      <c r="G236" s="205"/>
      <c r="H236" s="201"/>
      <c r="I236" s="205"/>
      <c r="J236" s="205"/>
      <c r="K236" s="87"/>
    </row>
    <row r="237" spans="1:11">
      <c r="A237" s="205" t="str">
        <f>A208</f>
        <v>LC-9</v>
      </c>
      <c r="B237" s="201" t="str">
        <f>B208</f>
        <v>LC-2 + Seismic Sx=1,Sz=0.3,Sy=-0.3</v>
      </c>
      <c r="C237" s="201"/>
      <c r="D237" s="201"/>
      <c r="E237" s="219"/>
      <c r="F237" s="205">
        <f>SUMPRODUCT(F211:F230,$K$211:$K$230)</f>
        <v>962.72299085679253</v>
      </c>
      <c r="G237" s="1080">
        <f>SUMPRODUCT(G211:G230,$K$211:$K$230)</f>
        <v>127.4735722637017</v>
      </c>
      <c r="H237" s="1080">
        <f>SUMPRODUCT(H211:H230,$K$211:$K$230)</f>
        <v>36.486111679110508</v>
      </c>
      <c r="I237" s="1080">
        <f>SUMPRODUCT(I211:I230,$K$211:$K$230)</f>
        <v>980.87314409471162</v>
      </c>
      <c r="J237" s="1080">
        <f>SUMPRODUCT(J211:J230,$K$211:$K$230)</f>
        <v>304.04552162395919</v>
      </c>
      <c r="K237" s="87"/>
    </row>
    <row r="238" spans="1:11">
      <c r="A238" s="204"/>
      <c r="B238" s="203"/>
      <c r="C238" s="203"/>
      <c r="D238" s="203"/>
      <c r="E238" s="218"/>
      <c r="F238" s="204"/>
      <c r="G238" s="204"/>
      <c r="H238" s="203"/>
      <c r="I238" s="204"/>
      <c r="J238" s="204"/>
      <c r="K238" s="87"/>
    </row>
    <row r="241" spans="1:11">
      <c r="A241" s="1318" t="str">
        <f>K241</f>
        <v>LC-10</v>
      </c>
      <c r="B241" s="24" t="str">
        <f>VLOOKUP(A241,LC_DEF_2!A3:B42,2,FALSE)</f>
        <v>LC-2 + Seismic Sx=0.3,Sz=1,Sy=-0.3</v>
      </c>
      <c r="C241" s="24"/>
      <c r="D241" s="24"/>
      <c r="E241" s="21"/>
      <c r="F241" s="1635" t="s">
        <v>742</v>
      </c>
      <c r="G241" s="1635"/>
      <c r="H241" s="1635"/>
      <c r="I241" s="1635"/>
      <c r="J241" s="1600"/>
      <c r="K241" s="413" t="s">
        <v>225</v>
      </c>
    </row>
    <row r="242" spans="1:11" ht="18">
      <c r="A242" s="25" t="s">
        <v>73</v>
      </c>
      <c r="B242" s="26" t="s">
        <v>74</v>
      </c>
      <c r="C242" s="26"/>
      <c r="D242" s="26"/>
      <c r="E242" s="27"/>
      <c r="F242" s="32" t="s">
        <v>23</v>
      </c>
      <c r="G242" s="33" t="s">
        <v>87</v>
      </c>
      <c r="H242" s="33" t="s">
        <v>212</v>
      </c>
      <c r="I242" s="33" t="s">
        <v>80</v>
      </c>
      <c r="J242" s="33" t="s">
        <v>81</v>
      </c>
      <c r="K242" s="376"/>
    </row>
    <row r="243" spans="1:11">
      <c r="A243" s="28"/>
      <c r="B243" s="15"/>
      <c r="C243" s="15"/>
      <c r="D243" s="15"/>
      <c r="E243" s="22"/>
      <c r="F243" s="21" t="s">
        <v>34</v>
      </c>
      <c r="G243" s="36" t="s">
        <v>34</v>
      </c>
      <c r="H243" s="36" t="s">
        <v>34</v>
      </c>
      <c r="I243" s="36" t="s">
        <v>77</v>
      </c>
      <c r="J243" s="36" t="s">
        <v>77</v>
      </c>
      <c r="K243" s="376"/>
    </row>
    <row r="244" spans="1:11">
      <c r="A244" s="25" t="s">
        <v>88</v>
      </c>
      <c r="B244" s="26" t="s">
        <v>75</v>
      </c>
      <c r="C244" s="26"/>
      <c r="D244" s="26"/>
      <c r="E244" s="27"/>
      <c r="F244" s="195">
        <f>SF!F14</f>
        <v>365.08803866482532</v>
      </c>
      <c r="G244" s="210"/>
      <c r="H244" s="34"/>
      <c r="I244" s="195">
        <f>SF!I14</f>
        <v>0</v>
      </c>
      <c r="J244" s="195">
        <f>SF!J14</f>
        <v>0</v>
      </c>
      <c r="K244" s="268">
        <v>1</v>
      </c>
    </row>
    <row r="245" spans="1:11">
      <c r="A245" s="25" t="s">
        <v>90</v>
      </c>
      <c r="B245" s="26" t="s">
        <v>249</v>
      </c>
      <c r="C245" s="26"/>
      <c r="D245" s="26"/>
      <c r="E245" s="27"/>
      <c r="F245" s="195">
        <f>SF!F16</f>
        <v>36.639026644707663</v>
      </c>
      <c r="G245" s="210"/>
      <c r="H245" s="34"/>
      <c r="I245" s="195">
        <f>SF!I16</f>
        <v>0</v>
      </c>
      <c r="J245" s="195">
        <f>SF!J16</f>
        <v>0</v>
      </c>
      <c r="K245" s="268">
        <v>1</v>
      </c>
    </row>
    <row r="246" spans="1:11">
      <c r="A246" s="25" t="s">
        <v>250</v>
      </c>
      <c r="B246" s="26" t="s">
        <v>967</v>
      </c>
      <c r="C246" s="26"/>
      <c r="D246" s="26"/>
      <c r="E246" s="27"/>
      <c r="F246" s="195">
        <f>SF!F19</f>
        <v>230</v>
      </c>
      <c r="G246" s="27"/>
      <c r="H246" s="34"/>
      <c r="I246" s="195">
        <f>SF!I19</f>
        <v>-115</v>
      </c>
      <c r="J246" s="195">
        <f>SF!J19</f>
        <v>0</v>
      </c>
      <c r="K246" s="376">
        <v>1</v>
      </c>
    </row>
    <row r="247" spans="1:11">
      <c r="A247" s="25" t="s">
        <v>251</v>
      </c>
      <c r="B247" s="26" t="s">
        <v>968</v>
      </c>
      <c r="C247" s="26"/>
      <c r="D247" s="26"/>
      <c r="E247" s="27"/>
      <c r="F247" s="195">
        <f>SF!F20</f>
        <v>20.660000000000004</v>
      </c>
      <c r="G247" s="27"/>
      <c r="H247" s="34"/>
      <c r="I247" s="195">
        <f>SF!I20</f>
        <v>-10.330000000000002</v>
      </c>
      <c r="J247" s="195">
        <f>SF!J20</f>
        <v>0</v>
      </c>
      <c r="K247" s="376">
        <v>1</v>
      </c>
    </row>
    <row r="248" spans="1:11">
      <c r="A248" s="25" t="s">
        <v>97</v>
      </c>
      <c r="B248" s="26" t="s">
        <v>969</v>
      </c>
      <c r="C248" s="26"/>
      <c r="D248" s="26"/>
      <c r="E248" s="27"/>
      <c r="F248" s="195">
        <f>SF!F21</f>
        <v>42</v>
      </c>
      <c r="G248" s="27"/>
      <c r="H248" s="34"/>
      <c r="I248" s="195">
        <f>SF!I21</f>
        <v>-14.858499999999999</v>
      </c>
      <c r="J248" s="195">
        <f>SF!J21</f>
        <v>0</v>
      </c>
      <c r="K248" s="376">
        <v>1</v>
      </c>
    </row>
    <row r="249" spans="1:11">
      <c r="A249" s="25" t="s">
        <v>250</v>
      </c>
      <c r="B249" s="26" t="s">
        <v>970</v>
      </c>
      <c r="C249" s="26"/>
      <c r="D249" s="26"/>
      <c r="E249" s="27"/>
      <c r="F249" s="195">
        <f>SF!F23</f>
        <v>230</v>
      </c>
      <c r="G249" s="27"/>
      <c r="H249" s="34"/>
      <c r="I249" s="195">
        <f>SF!I23</f>
        <v>115</v>
      </c>
      <c r="J249" s="195">
        <f>SF!J23</f>
        <v>0</v>
      </c>
      <c r="K249" s="376">
        <v>1</v>
      </c>
    </row>
    <row r="250" spans="1:11">
      <c r="A250" s="25" t="s">
        <v>251</v>
      </c>
      <c r="B250" s="26" t="s">
        <v>971</v>
      </c>
      <c r="C250" s="26"/>
      <c r="D250" s="26"/>
      <c r="E250" s="27"/>
      <c r="F250" s="195">
        <f>SF!F24</f>
        <v>20.660000000000004</v>
      </c>
      <c r="G250" s="27"/>
      <c r="H250" s="34"/>
      <c r="I250" s="195">
        <f>SF!I24</f>
        <v>10.330000000000002</v>
      </c>
      <c r="J250" s="195">
        <f>SF!J24</f>
        <v>0</v>
      </c>
      <c r="K250" s="268">
        <v>1</v>
      </c>
    </row>
    <row r="251" spans="1:11">
      <c r="A251" s="25" t="s">
        <v>97</v>
      </c>
      <c r="B251" s="26" t="s">
        <v>972</v>
      </c>
      <c r="C251" s="26"/>
      <c r="D251" s="26"/>
      <c r="E251" s="27"/>
      <c r="F251" s="195">
        <f>SF!F25</f>
        <v>42</v>
      </c>
      <c r="G251" s="27"/>
      <c r="H251" s="34"/>
      <c r="I251" s="195">
        <f>SF!I25</f>
        <v>14.858499999999999</v>
      </c>
      <c r="J251" s="195">
        <f>SF!J25</f>
        <v>0</v>
      </c>
      <c r="K251" s="376">
        <v>1</v>
      </c>
    </row>
    <row r="252" spans="1:11">
      <c r="A252" s="25" t="s">
        <v>986</v>
      </c>
      <c r="B252" s="163" t="s">
        <v>955</v>
      </c>
      <c r="C252" s="26"/>
      <c r="D252" s="26"/>
      <c r="E252" s="27"/>
      <c r="F252" s="34"/>
      <c r="G252" s="195">
        <f>SF!G40</f>
        <v>5.8532000000000011</v>
      </c>
      <c r="H252" s="34"/>
      <c r="I252" s="195">
        <f>SF!I40</f>
        <v>48.464496000000018</v>
      </c>
      <c r="J252" s="34"/>
      <c r="K252" s="376">
        <v>1</v>
      </c>
    </row>
    <row r="253" spans="1:11">
      <c r="A253" s="278" t="s">
        <v>1132</v>
      </c>
      <c r="B253" s="262"/>
      <c r="C253" s="262"/>
      <c r="D253" s="262"/>
      <c r="E253" s="263"/>
      <c r="F253" s="279"/>
      <c r="G253" s="280"/>
      <c r="H253" s="264"/>
      <c r="I253" s="279"/>
      <c r="J253" s="264"/>
      <c r="K253" s="650">
        <v>0.3</v>
      </c>
    </row>
    <row r="254" spans="1:11">
      <c r="A254" s="25" t="s">
        <v>991</v>
      </c>
      <c r="B254" s="26" t="s">
        <v>989</v>
      </c>
      <c r="C254" s="26"/>
      <c r="D254" s="26"/>
      <c r="E254" s="27"/>
      <c r="F254" s="197"/>
      <c r="G254" s="172">
        <f>SF!G52</f>
        <v>94.821839999999995</v>
      </c>
      <c r="H254" s="34"/>
      <c r="I254" s="172">
        <f>SF!I52</f>
        <v>785.12483520000001</v>
      </c>
      <c r="J254" s="89"/>
      <c r="K254" s="268">
        <v>0.3</v>
      </c>
    </row>
    <row r="255" spans="1:11">
      <c r="A255" s="25" t="s">
        <v>217</v>
      </c>
      <c r="B255" s="26" t="s">
        <v>211</v>
      </c>
      <c r="C255" s="26"/>
      <c r="D255" s="26"/>
      <c r="E255" s="27"/>
      <c r="F255" s="197"/>
      <c r="G255" s="196">
        <f>SF!G58</f>
        <v>26.798532263701709</v>
      </c>
      <c r="H255" s="199"/>
      <c r="I255" s="172">
        <f>SF!I58</f>
        <v>147.28381289471153</v>
      </c>
      <c r="J255" s="195"/>
      <c r="K255" s="376">
        <v>0.3</v>
      </c>
    </row>
    <row r="256" spans="1:11">
      <c r="A256" s="278" t="s">
        <v>1135</v>
      </c>
      <c r="B256" s="262"/>
      <c r="C256" s="262"/>
      <c r="D256" s="262"/>
      <c r="E256" s="263"/>
      <c r="F256" s="279"/>
      <c r="G256" s="280"/>
      <c r="H256" s="264"/>
      <c r="I256" s="279"/>
      <c r="J256" s="264"/>
      <c r="K256" s="708">
        <v>1</v>
      </c>
    </row>
    <row r="257" spans="1:11">
      <c r="A257" s="25" t="s">
        <v>997</v>
      </c>
      <c r="B257" s="26" t="s">
        <v>988</v>
      </c>
      <c r="C257" s="26"/>
      <c r="D257" s="26"/>
      <c r="E257" s="27"/>
      <c r="F257" s="197"/>
      <c r="G257" s="211"/>
      <c r="H257" s="254">
        <f>SF!H67</f>
        <v>47.410919999999997</v>
      </c>
      <c r="I257" s="197"/>
      <c r="J257" s="254">
        <f>SF!J67</f>
        <v>433.10062959257624</v>
      </c>
      <c r="K257" s="268">
        <v>1</v>
      </c>
    </row>
    <row r="258" spans="1:11">
      <c r="A258" s="25" t="s">
        <v>998</v>
      </c>
      <c r="B258" s="26" t="s">
        <v>989</v>
      </c>
      <c r="C258" s="26"/>
      <c r="D258" s="26"/>
      <c r="E258" s="27"/>
      <c r="F258" s="197"/>
      <c r="G258" s="211"/>
      <c r="H258" s="254">
        <f>SF!H68</f>
        <v>47.410919999999997</v>
      </c>
      <c r="I258" s="197"/>
      <c r="J258" s="254">
        <f>SF!J68</f>
        <v>433.10062959257624</v>
      </c>
      <c r="K258" s="376">
        <v>1</v>
      </c>
    </row>
    <row r="259" spans="1:11">
      <c r="A259" s="25" t="s">
        <v>1006</v>
      </c>
      <c r="B259" s="26" t="s">
        <v>211</v>
      </c>
      <c r="C259" s="26"/>
      <c r="D259" s="26"/>
      <c r="E259" s="27"/>
      <c r="F259" s="197"/>
      <c r="G259" s="195"/>
      <c r="H259" s="254">
        <f>SF!H78</f>
        <v>26.798532263701709</v>
      </c>
      <c r="I259" s="195"/>
      <c r="J259" s="254">
        <f>SF!J78</f>
        <v>147.28381289471153</v>
      </c>
      <c r="K259" s="376">
        <v>1</v>
      </c>
    </row>
    <row r="260" spans="1:11">
      <c r="A260" s="290" t="s">
        <v>1137</v>
      </c>
      <c r="B260" s="11"/>
      <c r="C260" s="11"/>
      <c r="D260" s="11"/>
      <c r="E260" s="191"/>
      <c r="F260" s="197"/>
      <c r="G260" s="211"/>
      <c r="H260" s="89"/>
      <c r="I260" s="197"/>
      <c r="J260" s="89"/>
      <c r="K260" s="994">
        <v>0.3</v>
      </c>
    </row>
    <row r="261" spans="1:11">
      <c r="A261" s="25" t="s">
        <v>1007</v>
      </c>
      <c r="B261" s="26" t="s">
        <v>988</v>
      </c>
      <c r="C261" s="26"/>
      <c r="D261" s="26"/>
      <c r="E261" s="27"/>
      <c r="F261" s="196">
        <f>SF!F87</f>
        <v>31.607279999999999</v>
      </c>
      <c r="G261" s="211"/>
      <c r="H261" s="34"/>
      <c r="I261" s="196">
        <f>SF!I87</f>
        <v>-15.140358000000003</v>
      </c>
      <c r="J261" s="196">
        <f>SF!J87</f>
        <v>0</v>
      </c>
      <c r="K261" s="376">
        <v>-0.3</v>
      </c>
    </row>
    <row r="262" spans="1:11">
      <c r="A262" s="25" t="s">
        <v>1008</v>
      </c>
      <c r="B262" s="26" t="s">
        <v>989</v>
      </c>
      <c r="C262" s="26"/>
      <c r="D262" s="26"/>
      <c r="E262" s="27"/>
      <c r="F262" s="196">
        <f>SF!F88</f>
        <v>31.607279999999999</v>
      </c>
      <c r="G262" s="211"/>
      <c r="H262" s="34"/>
      <c r="I262" s="196">
        <f>SF!I88</f>
        <v>15.140358000000003</v>
      </c>
      <c r="J262" s="196">
        <f>SF!J88</f>
        <v>0</v>
      </c>
      <c r="K262" s="268">
        <v>-0.3</v>
      </c>
    </row>
    <row r="263" spans="1:11">
      <c r="A263" s="25" t="s">
        <v>1011</v>
      </c>
      <c r="B263" s="26" t="s">
        <v>211</v>
      </c>
      <c r="C263" s="26"/>
      <c r="D263" s="26"/>
      <c r="E263" s="27"/>
      <c r="F263" s="196">
        <f>SF!F98</f>
        <v>17.865688175801139</v>
      </c>
      <c r="G263" s="211"/>
      <c r="H263" s="197"/>
      <c r="I263" s="196">
        <f>SF!I98</f>
        <v>0</v>
      </c>
      <c r="J263" s="196">
        <f>SF!J98</f>
        <v>0</v>
      </c>
      <c r="K263" s="268">
        <v>-0.3</v>
      </c>
    </row>
    <row r="264" spans="1:11">
      <c r="A264" s="253"/>
      <c r="B264" s="15"/>
      <c r="C264" s="15"/>
      <c r="D264" s="15"/>
      <c r="E264" s="22"/>
      <c r="F264" s="212"/>
      <c r="G264" s="213"/>
      <c r="H264" s="198"/>
      <c r="I264" s="198"/>
      <c r="J264" s="58"/>
      <c r="K264" s="379"/>
    </row>
    <row r="265" spans="1:11">
      <c r="A265" s="46"/>
      <c r="B265" s="46"/>
      <c r="C265" s="46"/>
      <c r="D265" s="46"/>
      <c r="E265" s="46"/>
      <c r="F265" s="46"/>
      <c r="G265" s="46"/>
      <c r="H265" s="46"/>
      <c r="I265" s="46"/>
      <c r="J265" s="46"/>
      <c r="K265" s="87"/>
    </row>
    <row r="266" spans="1:11">
      <c r="A266" s="220" t="s">
        <v>73</v>
      </c>
      <c r="B266" s="220" t="s">
        <v>74</v>
      </c>
      <c r="C266" s="200"/>
      <c r="D266" s="200"/>
      <c r="E266" s="217"/>
      <c r="F266" s="1636" t="s">
        <v>72</v>
      </c>
      <c r="G266" s="1637"/>
      <c r="H266" s="1637"/>
      <c r="I266" s="1637"/>
      <c r="J266" s="1638"/>
      <c r="K266" s="87"/>
    </row>
    <row r="267" spans="1:11" ht="18">
      <c r="A267" s="221"/>
      <c r="B267" s="221"/>
      <c r="C267" s="201"/>
      <c r="D267" s="201"/>
      <c r="E267" s="219"/>
      <c r="F267" s="223" t="s">
        <v>23</v>
      </c>
      <c r="G267" s="223" t="s">
        <v>87</v>
      </c>
      <c r="H267" s="223" t="s">
        <v>212</v>
      </c>
      <c r="I267" s="223" t="s">
        <v>80</v>
      </c>
      <c r="J267" s="223" t="s">
        <v>81</v>
      </c>
      <c r="K267" s="87"/>
    </row>
    <row r="268" spans="1:11">
      <c r="A268" s="222"/>
      <c r="B268" s="222"/>
      <c r="C268" s="203"/>
      <c r="D268" s="203"/>
      <c r="E268" s="218"/>
      <c r="F268" s="204" t="s">
        <v>34</v>
      </c>
      <c r="G268" s="204" t="s">
        <v>34</v>
      </c>
      <c r="H268" s="203" t="s">
        <v>34</v>
      </c>
      <c r="I268" s="204" t="s">
        <v>77</v>
      </c>
      <c r="J268" s="204" t="s">
        <v>77</v>
      </c>
      <c r="K268" s="87"/>
    </row>
    <row r="269" spans="1:11">
      <c r="A269" s="202"/>
      <c r="B269" s="200"/>
      <c r="C269" s="200"/>
      <c r="D269" s="200"/>
      <c r="E269" s="217"/>
      <c r="F269" s="205"/>
      <c r="G269" s="205"/>
      <c r="H269" s="201"/>
      <c r="I269" s="205"/>
      <c r="J269" s="205"/>
      <c r="K269" s="87"/>
    </row>
    <row r="270" spans="1:11">
      <c r="A270" s="205" t="str">
        <f>A241</f>
        <v>LC-10</v>
      </c>
      <c r="B270" s="201" t="str">
        <f>B241</f>
        <v>LC-2 + Seismic Sx=0.3,Sz=1,Sy=-0.3</v>
      </c>
      <c r="C270" s="201"/>
      <c r="D270" s="201"/>
      <c r="E270" s="219"/>
      <c r="F270" s="205">
        <f>SUMPRODUCT(F244:F263,$K$244:$K$263)</f>
        <v>962.72299085679253</v>
      </c>
      <c r="G270" s="1080">
        <f>SUMPRODUCT(G244:G263,$K$244:$K$263)</f>
        <v>42.339311679110509</v>
      </c>
      <c r="H270" s="1080">
        <f>SUMPRODUCT(H244:H263,$K$244:$K$263)</f>
        <v>121.62037226370171</v>
      </c>
      <c r="I270" s="1080">
        <f>SUMPRODUCT(I244:I263,$K$244:$K$263)</f>
        <v>328.18709042841346</v>
      </c>
      <c r="J270" s="1080">
        <f>SUMPRODUCT(J244:J263,$K$244:$K$263)</f>
        <v>1013.485072079864</v>
      </c>
      <c r="K270" s="87"/>
    </row>
    <row r="271" spans="1:11">
      <c r="A271" s="204"/>
      <c r="B271" s="203"/>
      <c r="C271" s="203"/>
      <c r="D271" s="203"/>
      <c r="E271" s="218"/>
      <c r="F271" s="204"/>
      <c r="G271" s="204"/>
      <c r="H271" s="203"/>
      <c r="I271" s="204"/>
      <c r="J271" s="204"/>
      <c r="K271" s="87"/>
    </row>
    <row r="274" spans="1:11">
      <c r="A274" s="1318" t="str">
        <f>K274</f>
        <v>LC-11</v>
      </c>
      <c r="B274" s="24" t="str">
        <f>VLOOKUP(A274,LC_DEF_2!A3:B42,2,FALSE)</f>
        <v>LC-2 + Seismic Sx=1,Sz=0.3,Sy=0.3</v>
      </c>
      <c r="C274" s="24"/>
      <c r="D274" s="24"/>
      <c r="E274" s="21"/>
      <c r="F274" s="1635" t="s">
        <v>742</v>
      </c>
      <c r="G274" s="1635"/>
      <c r="H274" s="1635"/>
      <c r="I274" s="1635"/>
      <c r="J274" s="1600"/>
      <c r="K274" s="413" t="s">
        <v>230</v>
      </c>
    </row>
    <row r="275" spans="1:11" ht="18">
      <c r="A275" s="25" t="s">
        <v>73</v>
      </c>
      <c r="B275" s="26" t="s">
        <v>74</v>
      </c>
      <c r="C275" s="26"/>
      <c r="D275" s="26"/>
      <c r="E275" s="27"/>
      <c r="F275" s="32" t="s">
        <v>23</v>
      </c>
      <c r="G275" s="33" t="s">
        <v>87</v>
      </c>
      <c r="H275" s="33" t="s">
        <v>212</v>
      </c>
      <c r="I275" s="33" t="s">
        <v>80</v>
      </c>
      <c r="J275" s="33" t="s">
        <v>81</v>
      </c>
      <c r="K275" s="376"/>
    </row>
    <row r="276" spans="1:11">
      <c r="A276" s="28"/>
      <c r="B276" s="15"/>
      <c r="C276" s="15"/>
      <c r="D276" s="15"/>
      <c r="E276" s="22"/>
      <c r="F276" s="21" t="s">
        <v>34</v>
      </c>
      <c r="G276" s="36" t="s">
        <v>34</v>
      </c>
      <c r="H276" s="36" t="s">
        <v>34</v>
      </c>
      <c r="I276" s="36" t="s">
        <v>77</v>
      </c>
      <c r="J276" s="36" t="s">
        <v>77</v>
      </c>
      <c r="K276" s="376"/>
    </row>
    <row r="277" spans="1:11">
      <c r="A277" s="25" t="s">
        <v>88</v>
      </c>
      <c r="B277" s="26" t="s">
        <v>75</v>
      </c>
      <c r="C277" s="26"/>
      <c r="D277" s="26"/>
      <c r="E277" s="27"/>
      <c r="F277" s="195">
        <f>SF!F14</f>
        <v>365.08803866482532</v>
      </c>
      <c r="G277" s="210"/>
      <c r="H277" s="34"/>
      <c r="I277" s="195">
        <f>SF!I14</f>
        <v>0</v>
      </c>
      <c r="J277" s="195">
        <f>SF!J14</f>
        <v>0</v>
      </c>
      <c r="K277" s="268">
        <v>1</v>
      </c>
    </row>
    <row r="278" spans="1:11">
      <c r="A278" s="25" t="s">
        <v>90</v>
      </c>
      <c r="B278" s="26" t="s">
        <v>249</v>
      </c>
      <c r="C278" s="26"/>
      <c r="D278" s="26"/>
      <c r="E278" s="27"/>
      <c r="F278" s="195">
        <f>SF!F16</f>
        <v>36.639026644707663</v>
      </c>
      <c r="G278" s="210"/>
      <c r="H278" s="34"/>
      <c r="I278" s="195">
        <f>SF!I16</f>
        <v>0</v>
      </c>
      <c r="J278" s="195">
        <f>SF!J16</f>
        <v>0</v>
      </c>
      <c r="K278" s="268">
        <v>1</v>
      </c>
    </row>
    <row r="279" spans="1:11">
      <c r="A279" s="25" t="s">
        <v>250</v>
      </c>
      <c r="B279" s="26" t="s">
        <v>967</v>
      </c>
      <c r="C279" s="26"/>
      <c r="D279" s="26"/>
      <c r="E279" s="27"/>
      <c r="F279" s="195">
        <f>SF!F19</f>
        <v>230</v>
      </c>
      <c r="G279" s="27"/>
      <c r="H279" s="34"/>
      <c r="I279" s="195">
        <f>SF!I19</f>
        <v>-115</v>
      </c>
      <c r="J279" s="195">
        <f>SF!J19</f>
        <v>0</v>
      </c>
      <c r="K279" s="376">
        <v>1</v>
      </c>
    </row>
    <row r="280" spans="1:11">
      <c r="A280" s="25" t="s">
        <v>251</v>
      </c>
      <c r="B280" s="26" t="s">
        <v>968</v>
      </c>
      <c r="C280" s="26"/>
      <c r="D280" s="26"/>
      <c r="E280" s="27"/>
      <c r="F280" s="195">
        <f>SF!F20</f>
        <v>20.660000000000004</v>
      </c>
      <c r="G280" s="27"/>
      <c r="H280" s="34"/>
      <c r="I280" s="195">
        <f>SF!I20</f>
        <v>-10.330000000000002</v>
      </c>
      <c r="J280" s="195">
        <f>SF!J20</f>
        <v>0</v>
      </c>
      <c r="K280" s="376">
        <v>1</v>
      </c>
    </row>
    <row r="281" spans="1:11">
      <c r="A281" s="25" t="s">
        <v>97</v>
      </c>
      <c r="B281" s="26" t="s">
        <v>969</v>
      </c>
      <c r="C281" s="26"/>
      <c r="D281" s="26"/>
      <c r="E281" s="27"/>
      <c r="F281" s="195">
        <f>SF!F21</f>
        <v>42</v>
      </c>
      <c r="G281" s="27"/>
      <c r="H281" s="34"/>
      <c r="I281" s="195">
        <f>SF!I21</f>
        <v>-14.858499999999999</v>
      </c>
      <c r="J281" s="195">
        <f>SF!J21</f>
        <v>0</v>
      </c>
      <c r="K281" s="376">
        <v>1</v>
      </c>
    </row>
    <row r="282" spans="1:11">
      <c r="A282" s="25" t="s">
        <v>250</v>
      </c>
      <c r="B282" s="26" t="s">
        <v>970</v>
      </c>
      <c r="C282" s="26"/>
      <c r="D282" s="26"/>
      <c r="E282" s="27"/>
      <c r="F282" s="195">
        <f>SF!F23</f>
        <v>230</v>
      </c>
      <c r="G282" s="27"/>
      <c r="H282" s="34"/>
      <c r="I282" s="195">
        <f>SF!I23</f>
        <v>115</v>
      </c>
      <c r="J282" s="195">
        <f>SF!J23</f>
        <v>0</v>
      </c>
      <c r="K282" s="376">
        <v>1</v>
      </c>
    </row>
    <row r="283" spans="1:11">
      <c r="A283" s="25" t="s">
        <v>251</v>
      </c>
      <c r="B283" s="26" t="s">
        <v>971</v>
      </c>
      <c r="C283" s="26"/>
      <c r="D283" s="26"/>
      <c r="E283" s="27"/>
      <c r="F283" s="195">
        <f>SF!F24</f>
        <v>20.660000000000004</v>
      </c>
      <c r="G283" s="27"/>
      <c r="H283" s="34"/>
      <c r="I283" s="195">
        <f>SF!I24</f>
        <v>10.330000000000002</v>
      </c>
      <c r="J283" s="195">
        <f>SF!J24</f>
        <v>0</v>
      </c>
      <c r="K283" s="268">
        <v>1</v>
      </c>
    </row>
    <row r="284" spans="1:11">
      <c r="A284" s="25" t="s">
        <v>97</v>
      </c>
      <c r="B284" s="26" t="s">
        <v>972</v>
      </c>
      <c r="C284" s="26"/>
      <c r="D284" s="26"/>
      <c r="E284" s="27"/>
      <c r="F284" s="195">
        <f>SF!F25</f>
        <v>42</v>
      </c>
      <c r="G284" s="27"/>
      <c r="H284" s="34"/>
      <c r="I284" s="195">
        <f>SF!I25</f>
        <v>14.858499999999999</v>
      </c>
      <c r="J284" s="195">
        <f>SF!J25</f>
        <v>0</v>
      </c>
      <c r="K284" s="376">
        <v>1</v>
      </c>
    </row>
    <row r="285" spans="1:11">
      <c r="A285" s="25" t="s">
        <v>986</v>
      </c>
      <c r="B285" s="163" t="s">
        <v>955</v>
      </c>
      <c r="C285" s="26"/>
      <c r="D285" s="26"/>
      <c r="E285" s="27"/>
      <c r="F285" s="34"/>
      <c r="G285" s="195">
        <f>SF!G40</f>
        <v>5.8532000000000011</v>
      </c>
      <c r="H285" s="34"/>
      <c r="I285" s="195">
        <f>SF!I40</f>
        <v>48.464496000000018</v>
      </c>
      <c r="J285" s="34"/>
      <c r="K285" s="376">
        <v>1</v>
      </c>
    </row>
    <row r="286" spans="1:11">
      <c r="A286" s="278" t="s">
        <v>1132</v>
      </c>
      <c r="B286" s="262"/>
      <c r="C286" s="262"/>
      <c r="D286" s="262"/>
      <c r="E286" s="263"/>
      <c r="F286" s="279"/>
      <c r="G286" s="280"/>
      <c r="H286" s="264"/>
      <c r="I286" s="279"/>
      <c r="J286" s="264"/>
      <c r="K286" s="650">
        <v>1</v>
      </c>
    </row>
    <row r="287" spans="1:11">
      <c r="A287" s="25" t="s">
        <v>991</v>
      </c>
      <c r="B287" s="26" t="s">
        <v>989</v>
      </c>
      <c r="C287" s="26"/>
      <c r="D287" s="26"/>
      <c r="E287" s="27"/>
      <c r="F287" s="197"/>
      <c r="G287" s="172">
        <f>SF!G52</f>
        <v>94.821839999999995</v>
      </c>
      <c r="H287" s="34"/>
      <c r="I287" s="172">
        <f>SF!I52</f>
        <v>785.12483520000001</v>
      </c>
      <c r="J287" s="89"/>
      <c r="K287" s="268">
        <v>1</v>
      </c>
    </row>
    <row r="288" spans="1:11">
      <c r="A288" s="25" t="s">
        <v>217</v>
      </c>
      <c r="B288" s="26" t="s">
        <v>211</v>
      </c>
      <c r="C288" s="26"/>
      <c r="D288" s="26"/>
      <c r="E288" s="27"/>
      <c r="F288" s="197"/>
      <c r="G288" s="196">
        <f>SF!G58</f>
        <v>26.798532263701709</v>
      </c>
      <c r="H288" s="199"/>
      <c r="I288" s="172">
        <f>SF!I58</f>
        <v>147.28381289471153</v>
      </c>
      <c r="J288" s="195"/>
      <c r="K288" s="376">
        <v>1</v>
      </c>
    </row>
    <row r="289" spans="1:11">
      <c r="A289" s="278" t="s">
        <v>1135</v>
      </c>
      <c r="B289" s="262"/>
      <c r="C289" s="262"/>
      <c r="D289" s="262"/>
      <c r="E289" s="263"/>
      <c r="F289" s="279"/>
      <c r="G289" s="280"/>
      <c r="H289" s="264"/>
      <c r="I289" s="279"/>
      <c r="J289" s="264"/>
      <c r="K289" s="708">
        <v>0.3</v>
      </c>
    </row>
    <row r="290" spans="1:11">
      <c r="A290" s="25" t="s">
        <v>997</v>
      </c>
      <c r="B290" s="26" t="s">
        <v>988</v>
      </c>
      <c r="C290" s="26"/>
      <c r="D290" s="26"/>
      <c r="E290" s="27"/>
      <c r="F290" s="197"/>
      <c r="G290" s="211"/>
      <c r="H290" s="254">
        <f>SF!H67</f>
        <v>47.410919999999997</v>
      </c>
      <c r="I290" s="197"/>
      <c r="J290" s="254">
        <f>SF!J67</f>
        <v>433.10062959257624</v>
      </c>
      <c r="K290" s="268">
        <v>0.3</v>
      </c>
    </row>
    <row r="291" spans="1:11">
      <c r="A291" s="25" t="s">
        <v>998</v>
      </c>
      <c r="B291" s="26" t="s">
        <v>989</v>
      </c>
      <c r="C291" s="26"/>
      <c r="D291" s="26"/>
      <c r="E291" s="27"/>
      <c r="F291" s="197"/>
      <c r="G291" s="211"/>
      <c r="H291" s="254">
        <f>SF!H68</f>
        <v>47.410919999999997</v>
      </c>
      <c r="I291" s="197"/>
      <c r="J291" s="254">
        <f>SF!J68</f>
        <v>433.10062959257624</v>
      </c>
      <c r="K291" s="376">
        <v>0.3</v>
      </c>
    </row>
    <row r="292" spans="1:11">
      <c r="A292" s="25" t="s">
        <v>1006</v>
      </c>
      <c r="B292" s="26" t="s">
        <v>211</v>
      </c>
      <c r="C292" s="26"/>
      <c r="D292" s="26"/>
      <c r="E292" s="27"/>
      <c r="F292" s="197"/>
      <c r="G292" s="195"/>
      <c r="H292" s="254">
        <f>SF!H78</f>
        <v>26.798532263701709</v>
      </c>
      <c r="I292" s="195"/>
      <c r="J292" s="254">
        <f>SF!J78</f>
        <v>147.28381289471153</v>
      </c>
      <c r="K292" s="376">
        <v>0.3</v>
      </c>
    </row>
    <row r="293" spans="1:11">
      <c r="A293" s="290" t="s">
        <v>1137</v>
      </c>
      <c r="B293" s="11"/>
      <c r="C293" s="11"/>
      <c r="D293" s="11"/>
      <c r="E293" s="191"/>
      <c r="F293" s="197"/>
      <c r="G293" s="211"/>
      <c r="H293" s="89"/>
      <c r="I293" s="197"/>
      <c r="J293" s="89"/>
      <c r="K293" s="994">
        <v>0.3</v>
      </c>
    </row>
    <row r="294" spans="1:11">
      <c r="A294" s="25" t="s">
        <v>1007</v>
      </c>
      <c r="B294" s="26" t="s">
        <v>988</v>
      </c>
      <c r="C294" s="26"/>
      <c r="D294" s="26"/>
      <c r="E294" s="27"/>
      <c r="F294" s="196">
        <f>SF!F87</f>
        <v>31.607279999999999</v>
      </c>
      <c r="G294" s="211"/>
      <c r="H294" s="34"/>
      <c r="I294" s="196">
        <f>SF!I87</f>
        <v>-15.140358000000003</v>
      </c>
      <c r="J294" s="196">
        <f>SF!J87</f>
        <v>0</v>
      </c>
      <c r="K294" s="376">
        <v>0.3</v>
      </c>
    </row>
    <row r="295" spans="1:11">
      <c r="A295" s="25" t="s">
        <v>1008</v>
      </c>
      <c r="B295" s="26" t="s">
        <v>989</v>
      </c>
      <c r="C295" s="26"/>
      <c r="D295" s="26"/>
      <c r="E295" s="27"/>
      <c r="F295" s="196">
        <f>SF!F88</f>
        <v>31.607279999999999</v>
      </c>
      <c r="G295" s="211"/>
      <c r="H295" s="34"/>
      <c r="I295" s="196">
        <f>SF!I88</f>
        <v>15.140358000000003</v>
      </c>
      <c r="J295" s="196">
        <f>SF!J88</f>
        <v>0</v>
      </c>
      <c r="K295" s="268">
        <v>0.3</v>
      </c>
    </row>
    <row r="296" spans="1:11">
      <c r="A296" s="25" t="s">
        <v>1011</v>
      </c>
      <c r="B296" s="26" t="s">
        <v>211</v>
      </c>
      <c r="C296" s="26"/>
      <c r="D296" s="26"/>
      <c r="E296" s="27"/>
      <c r="F296" s="196">
        <f>SF!F98</f>
        <v>17.865688175801139</v>
      </c>
      <c r="G296" s="211"/>
      <c r="H296" s="197"/>
      <c r="I296" s="196">
        <f>SF!I98</f>
        <v>0</v>
      </c>
      <c r="J296" s="196">
        <f>SF!J98</f>
        <v>0</v>
      </c>
      <c r="K296" s="268">
        <v>0.3</v>
      </c>
    </row>
    <row r="297" spans="1:11">
      <c r="A297" s="253"/>
      <c r="B297" s="15"/>
      <c r="C297" s="15"/>
      <c r="D297" s="15"/>
      <c r="E297" s="22"/>
      <c r="F297" s="212"/>
      <c r="G297" s="213"/>
      <c r="H297" s="198"/>
      <c r="I297" s="198"/>
      <c r="J297" s="58"/>
      <c r="K297" s="379"/>
    </row>
    <row r="298" spans="1:11">
      <c r="A298" s="46"/>
      <c r="B298" s="46"/>
      <c r="C298" s="46"/>
      <c r="D298" s="46"/>
      <c r="E298" s="46"/>
      <c r="F298" s="46"/>
      <c r="G298" s="46"/>
      <c r="H298" s="46"/>
      <c r="I298" s="46"/>
      <c r="J298" s="46"/>
      <c r="K298" s="87"/>
    </row>
    <row r="299" spans="1:11">
      <c r="A299" s="220" t="s">
        <v>73</v>
      </c>
      <c r="B299" s="220" t="s">
        <v>74</v>
      </c>
      <c r="C299" s="200"/>
      <c r="D299" s="200"/>
      <c r="E299" s="217"/>
      <c r="F299" s="1636" t="s">
        <v>72</v>
      </c>
      <c r="G299" s="1637"/>
      <c r="H299" s="1637"/>
      <c r="I299" s="1637"/>
      <c r="J299" s="1638"/>
      <c r="K299" s="87"/>
    </row>
    <row r="300" spans="1:11" ht="18">
      <c r="A300" s="221"/>
      <c r="B300" s="221"/>
      <c r="C300" s="201"/>
      <c r="D300" s="201"/>
      <c r="E300" s="219"/>
      <c r="F300" s="223" t="s">
        <v>23</v>
      </c>
      <c r="G300" s="223" t="s">
        <v>87</v>
      </c>
      <c r="H300" s="223" t="s">
        <v>212</v>
      </c>
      <c r="I300" s="223" t="s">
        <v>80</v>
      </c>
      <c r="J300" s="223" t="s">
        <v>81</v>
      </c>
      <c r="K300" s="87"/>
    </row>
    <row r="301" spans="1:11">
      <c r="A301" s="222"/>
      <c r="B301" s="222"/>
      <c r="C301" s="203"/>
      <c r="D301" s="203"/>
      <c r="E301" s="218"/>
      <c r="F301" s="204" t="s">
        <v>34</v>
      </c>
      <c r="G301" s="204" t="s">
        <v>34</v>
      </c>
      <c r="H301" s="203" t="s">
        <v>34</v>
      </c>
      <c r="I301" s="204" t="s">
        <v>77</v>
      </c>
      <c r="J301" s="204" t="s">
        <v>77</v>
      </c>
      <c r="K301" s="87"/>
    </row>
    <row r="302" spans="1:11">
      <c r="A302" s="202"/>
      <c r="B302" s="200"/>
      <c r="C302" s="200"/>
      <c r="D302" s="200"/>
      <c r="E302" s="217"/>
      <c r="F302" s="205"/>
      <c r="G302" s="205"/>
      <c r="H302" s="201"/>
      <c r="I302" s="205"/>
      <c r="J302" s="205"/>
      <c r="K302" s="87"/>
    </row>
    <row r="303" spans="1:11">
      <c r="A303" s="205" t="str">
        <f>A274</f>
        <v>LC-11</v>
      </c>
      <c r="B303" s="201" t="str">
        <f>B274</f>
        <v>LC-2 + Seismic Sx=1,Sz=0.3,Sy=0.3</v>
      </c>
      <c r="C303" s="201"/>
      <c r="D303" s="201"/>
      <c r="E303" s="219"/>
      <c r="F303" s="205">
        <f>SUMPRODUCT(F277:F296,$K$277:$K$296)</f>
        <v>1011.3711397622732</v>
      </c>
      <c r="G303" s="1080">
        <f>SUMPRODUCT(G277:G296,$K$277:$K$296)</f>
        <v>127.4735722637017</v>
      </c>
      <c r="H303" s="1080">
        <f>SUMPRODUCT(H277:H296,$K$277:$K$296)</f>
        <v>36.486111679110508</v>
      </c>
      <c r="I303" s="1080">
        <f>SUMPRODUCT(I277:I296,$K$277:$K$296)</f>
        <v>980.87314409471162</v>
      </c>
      <c r="J303" s="1080">
        <f>SUMPRODUCT(J277:J296,$K$277:$K$296)</f>
        <v>304.04552162395919</v>
      </c>
      <c r="K303" s="87"/>
    </row>
    <row r="304" spans="1:11">
      <c r="A304" s="204"/>
      <c r="B304" s="203"/>
      <c r="C304" s="203"/>
      <c r="D304" s="203"/>
      <c r="E304" s="218"/>
      <c r="F304" s="204"/>
      <c r="G304" s="204"/>
      <c r="H304" s="203"/>
      <c r="I304" s="204"/>
      <c r="J304" s="204"/>
      <c r="K304" s="87"/>
    </row>
    <row r="307" spans="1:11">
      <c r="A307" s="1318" t="str">
        <f>K307</f>
        <v>LC-12</v>
      </c>
      <c r="B307" s="24" t="str">
        <f>VLOOKUP(A307,LC_DEF_2!A3:B42,2,FALSE)</f>
        <v>LC-2 + Seismic Sx=0.3,Sz=1,Sy=0.3</v>
      </c>
      <c r="C307" s="24"/>
      <c r="D307" s="24"/>
      <c r="E307" s="21"/>
      <c r="F307" s="1635" t="s">
        <v>742</v>
      </c>
      <c r="G307" s="1635"/>
      <c r="H307" s="1635"/>
      <c r="I307" s="1635"/>
      <c r="J307" s="1600"/>
      <c r="K307" s="413" t="s">
        <v>238</v>
      </c>
    </row>
    <row r="308" spans="1:11" ht="18">
      <c r="A308" s="25" t="s">
        <v>73</v>
      </c>
      <c r="B308" s="26" t="s">
        <v>74</v>
      </c>
      <c r="C308" s="26"/>
      <c r="D308" s="26"/>
      <c r="E308" s="27"/>
      <c r="F308" s="32" t="s">
        <v>23</v>
      </c>
      <c r="G308" s="33" t="s">
        <v>87</v>
      </c>
      <c r="H308" s="33" t="s">
        <v>212</v>
      </c>
      <c r="I308" s="33" t="s">
        <v>80</v>
      </c>
      <c r="J308" s="33" t="s">
        <v>81</v>
      </c>
      <c r="K308" s="376"/>
    </row>
    <row r="309" spans="1:11">
      <c r="A309" s="28"/>
      <c r="B309" s="15"/>
      <c r="C309" s="15"/>
      <c r="D309" s="15"/>
      <c r="E309" s="22"/>
      <c r="F309" s="21" t="s">
        <v>34</v>
      </c>
      <c r="G309" s="36" t="s">
        <v>34</v>
      </c>
      <c r="H309" s="36" t="s">
        <v>34</v>
      </c>
      <c r="I309" s="36" t="s">
        <v>77</v>
      </c>
      <c r="J309" s="36" t="s">
        <v>77</v>
      </c>
      <c r="K309" s="376"/>
    </row>
    <row r="310" spans="1:11">
      <c r="A310" s="25" t="s">
        <v>88</v>
      </c>
      <c r="B310" s="26" t="s">
        <v>75</v>
      </c>
      <c r="C310" s="26"/>
      <c r="D310" s="26"/>
      <c r="E310" s="27"/>
      <c r="F310" s="195">
        <f>SF!F14</f>
        <v>365.08803866482532</v>
      </c>
      <c r="G310" s="210"/>
      <c r="H310" s="34"/>
      <c r="I310" s="195">
        <f>SF!I14</f>
        <v>0</v>
      </c>
      <c r="J310" s="195">
        <f>SF!J14</f>
        <v>0</v>
      </c>
      <c r="K310" s="268">
        <v>1</v>
      </c>
    </row>
    <row r="311" spans="1:11">
      <c r="A311" s="25" t="s">
        <v>90</v>
      </c>
      <c r="B311" s="26" t="s">
        <v>249</v>
      </c>
      <c r="C311" s="26"/>
      <c r="D311" s="26"/>
      <c r="E311" s="27"/>
      <c r="F311" s="195">
        <f>SF!F16</f>
        <v>36.639026644707663</v>
      </c>
      <c r="G311" s="210"/>
      <c r="H311" s="34"/>
      <c r="I311" s="195">
        <f>SF!I16</f>
        <v>0</v>
      </c>
      <c r="J311" s="195">
        <f>SF!J16</f>
        <v>0</v>
      </c>
      <c r="K311" s="268">
        <v>1</v>
      </c>
    </row>
    <row r="312" spans="1:11">
      <c r="A312" s="25" t="s">
        <v>250</v>
      </c>
      <c r="B312" s="26" t="s">
        <v>967</v>
      </c>
      <c r="C312" s="26"/>
      <c r="D312" s="26"/>
      <c r="E312" s="27"/>
      <c r="F312" s="195">
        <f>SF!F19</f>
        <v>230</v>
      </c>
      <c r="G312" s="27"/>
      <c r="H312" s="34"/>
      <c r="I312" s="195">
        <f>SF!I19</f>
        <v>-115</v>
      </c>
      <c r="J312" s="195">
        <f>SF!J19</f>
        <v>0</v>
      </c>
      <c r="K312" s="376">
        <v>1</v>
      </c>
    </row>
    <row r="313" spans="1:11">
      <c r="A313" s="25" t="s">
        <v>251</v>
      </c>
      <c r="B313" s="26" t="s">
        <v>968</v>
      </c>
      <c r="C313" s="26"/>
      <c r="D313" s="26"/>
      <c r="E313" s="27"/>
      <c r="F313" s="195">
        <f>SF!F20</f>
        <v>20.660000000000004</v>
      </c>
      <c r="G313" s="27"/>
      <c r="H313" s="34"/>
      <c r="I313" s="195">
        <f>SF!I20</f>
        <v>-10.330000000000002</v>
      </c>
      <c r="J313" s="195">
        <f>SF!J20</f>
        <v>0</v>
      </c>
      <c r="K313" s="376">
        <v>1</v>
      </c>
    </row>
    <row r="314" spans="1:11">
      <c r="A314" s="25" t="s">
        <v>97</v>
      </c>
      <c r="B314" s="26" t="s">
        <v>969</v>
      </c>
      <c r="C314" s="26"/>
      <c r="D314" s="26"/>
      <c r="E314" s="27"/>
      <c r="F314" s="195">
        <f>SF!F21</f>
        <v>42</v>
      </c>
      <c r="G314" s="27"/>
      <c r="H314" s="34"/>
      <c r="I314" s="195">
        <f>SF!I21</f>
        <v>-14.858499999999999</v>
      </c>
      <c r="J314" s="195">
        <f>SF!J21</f>
        <v>0</v>
      </c>
      <c r="K314" s="376">
        <v>1</v>
      </c>
    </row>
    <row r="315" spans="1:11">
      <c r="A315" s="25" t="s">
        <v>250</v>
      </c>
      <c r="B315" s="26" t="s">
        <v>970</v>
      </c>
      <c r="C315" s="26"/>
      <c r="D315" s="26"/>
      <c r="E315" s="27"/>
      <c r="F315" s="195">
        <f>SF!F23</f>
        <v>230</v>
      </c>
      <c r="G315" s="27"/>
      <c r="H315" s="34"/>
      <c r="I315" s="195">
        <f>SF!I23</f>
        <v>115</v>
      </c>
      <c r="J315" s="195">
        <f>SF!J23</f>
        <v>0</v>
      </c>
      <c r="K315" s="376">
        <v>1</v>
      </c>
    </row>
    <row r="316" spans="1:11">
      <c r="A316" s="25" t="s">
        <v>251</v>
      </c>
      <c r="B316" s="26" t="s">
        <v>971</v>
      </c>
      <c r="C316" s="26"/>
      <c r="D316" s="26"/>
      <c r="E316" s="27"/>
      <c r="F316" s="195">
        <f>SF!F24</f>
        <v>20.660000000000004</v>
      </c>
      <c r="G316" s="27"/>
      <c r="H316" s="34"/>
      <c r="I316" s="195">
        <f>SF!I24</f>
        <v>10.330000000000002</v>
      </c>
      <c r="J316" s="195">
        <f>SF!J24</f>
        <v>0</v>
      </c>
      <c r="K316" s="268">
        <v>1</v>
      </c>
    </row>
    <row r="317" spans="1:11">
      <c r="A317" s="25" t="s">
        <v>97</v>
      </c>
      <c r="B317" s="26" t="s">
        <v>972</v>
      </c>
      <c r="C317" s="26"/>
      <c r="D317" s="26"/>
      <c r="E317" s="27"/>
      <c r="F317" s="195">
        <f>SF!F25</f>
        <v>42</v>
      </c>
      <c r="G317" s="27"/>
      <c r="H317" s="34"/>
      <c r="I317" s="195">
        <f>SF!I25</f>
        <v>14.858499999999999</v>
      </c>
      <c r="J317" s="195">
        <f>SF!J25</f>
        <v>0</v>
      </c>
      <c r="K317" s="376">
        <v>1</v>
      </c>
    </row>
    <row r="318" spans="1:11">
      <c r="A318" s="25" t="s">
        <v>986</v>
      </c>
      <c r="B318" s="163" t="s">
        <v>955</v>
      </c>
      <c r="C318" s="26"/>
      <c r="D318" s="26"/>
      <c r="E318" s="27"/>
      <c r="F318" s="34"/>
      <c r="G318" s="195">
        <f>SF!G40</f>
        <v>5.8532000000000011</v>
      </c>
      <c r="H318" s="34"/>
      <c r="I318" s="195">
        <f>SF!I40</f>
        <v>48.464496000000018</v>
      </c>
      <c r="J318" s="34"/>
      <c r="K318" s="376">
        <v>1</v>
      </c>
    </row>
    <row r="319" spans="1:11">
      <c r="A319" s="278" t="s">
        <v>1132</v>
      </c>
      <c r="B319" s="262"/>
      <c r="C319" s="262"/>
      <c r="D319" s="262"/>
      <c r="E319" s="263"/>
      <c r="F319" s="279"/>
      <c r="G319" s="280"/>
      <c r="H319" s="264"/>
      <c r="I319" s="279"/>
      <c r="J319" s="264"/>
      <c r="K319" s="650">
        <v>0.3</v>
      </c>
    </row>
    <row r="320" spans="1:11">
      <c r="A320" s="25" t="s">
        <v>991</v>
      </c>
      <c r="B320" s="26" t="s">
        <v>989</v>
      </c>
      <c r="C320" s="26"/>
      <c r="D320" s="26"/>
      <c r="E320" s="27"/>
      <c r="F320" s="197"/>
      <c r="G320" s="172">
        <f>SF!G52</f>
        <v>94.821839999999995</v>
      </c>
      <c r="H320" s="34"/>
      <c r="I320" s="172">
        <f>SF!I52</f>
        <v>785.12483520000001</v>
      </c>
      <c r="J320" s="89"/>
      <c r="K320" s="268">
        <v>0.3</v>
      </c>
    </row>
    <row r="321" spans="1:11">
      <c r="A321" s="25" t="s">
        <v>217</v>
      </c>
      <c r="B321" s="26" t="s">
        <v>211</v>
      </c>
      <c r="C321" s="26"/>
      <c r="D321" s="26"/>
      <c r="E321" s="27"/>
      <c r="F321" s="197"/>
      <c r="G321" s="196">
        <f>SF!G58</f>
        <v>26.798532263701709</v>
      </c>
      <c r="H321" s="199"/>
      <c r="I321" s="172">
        <f>SF!I58</f>
        <v>147.28381289471153</v>
      </c>
      <c r="J321" s="195"/>
      <c r="K321" s="376">
        <v>0.3</v>
      </c>
    </row>
    <row r="322" spans="1:11">
      <c r="A322" s="278" t="s">
        <v>1135</v>
      </c>
      <c r="B322" s="262"/>
      <c r="C322" s="262"/>
      <c r="D322" s="262"/>
      <c r="E322" s="263"/>
      <c r="F322" s="279"/>
      <c r="G322" s="280"/>
      <c r="H322" s="264"/>
      <c r="I322" s="279"/>
      <c r="J322" s="264"/>
      <c r="K322" s="708">
        <v>1</v>
      </c>
    </row>
    <row r="323" spans="1:11">
      <c r="A323" s="25" t="s">
        <v>997</v>
      </c>
      <c r="B323" s="26" t="s">
        <v>988</v>
      </c>
      <c r="C323" s="26"/>
      <c r="D323" s="26"/>
      <c r="E323" s="27"/>
      <c r="F323" s="197"/>
      <c r="G323" s="211"/>
      <c r="H323" s="254">
        <f>SF!H67</f>
        <v>47.410919999999997</v>
      </c>
      <c r="I323" s="197"/>
      <c r="J323" s="254">
        <f>SF!J67</f>
        <v>433.10062959257624</v>
      </c>
      <c r="K323" s="268">
        <v>1</v>
      </c>
    </row>
    <row r="324" spans="1:11">
      <c r="A324" s="25" t="s">
        <v>998</v>
      </c>
      <c r="B324" s="26" t="s">
        <v>989</v>
      </c>
      <c r="C324" s="26"/>
      <c r="D324" s="26"/>
      <c r="E324" s="27"/>
      <c r="F324" s="197"/>
      <c r="G324" s="211"/>
      <c r="H324" s="254">
        <f>SF!H68</f>
        <v>47.410919999999997</v>
      </c>
      <c r="I324" s="197"/>
      <c r="J324" s="254">
        <f>SF!J68</f>
        <v>433.10062959257624</v>
      </c>
      <c r="K324" s="376">
        <v>1</v>
      </c>
    </row>
    <row r="325" spans="1:11">
      <c r="A325" s="25" t="s">
        <v>1006</v>
      </c>
      <c r="B325" s="26" t="s">
        <v>211</v>
      </c>
      <c r="C325" s="26"/>
      <c r="D325" s="26"/>
      <c r="E325" s="27"/>
      <c r="F325" s="197"/>
      <c r="G325" s="195"/>
      <c r="H325" s="254">
        <f>SF!H78</f>
        <v>26.798532263701709</v>
      </c>
      <c r="I325" s="195"/>
      <c r="J325" s="254">
        <f>SF!J78</f>
        <v>147.28381289471153</v>
      </c>
      <c r="K325" s="376">
        <v>1</v>
      </c>
    </row>
    <row r="326" spans="1:11">
      <c r="A326" s="290" t="s">
        <v>1137</v>
      </c>
      <c r="B326" s="11"/>
      <c r="C326" s="11"/>
      <c r="D326" s="11"/>
      <c r="E326" s="191"/>
      <c r="F326" s="197"/>
      <c r="G326" s="211"/>
      <c r="H326" s="89"/>
      <c r="I326" s="197"/>
      <c r="J326" s="89"/>
      <c r="K326" s="994">
        <v>0.3</v>
      </c>
    </row>
    <row r="327" spans="1:11">
      <c r="A327" s="25" t="s">
        <v>1007</v>
      </c>
      <c r="B327" s="26" t="s">
        <v>988</v>
      </c>
      <c r="C327" s="26"/>
      <c r="D327" s="26"/>
      <c r="E327" s="27"/>
      <c r="F327" s="196">
        <f>SF!F87</f>
        <v>31.607279999999999</v>
      </c>
      <c r="G327" s="211"/>
      <c r="H327" s="34"/>
      <c r="I327" s="196">
        <f>SF!I87</f>
        <v>-15.140358000000003</v>
      </c>
      <c r="J327" s="196">
        <f>SF!J87</f>
        <v>0</v>
      </c>
      <c r="K327" s="376">
        <v>0.3</v>
      </c>
    </row>
    <row r="328" spans="1:11">
      <c r="A328" s="25" t="s">
        <v>1008</v>
      </c>
      <c r="B328" s="26" t="s">
        <v>989</v>
      </c>
      <c r="C328" s="26"/>
      <c r="D328" s="26"/>
      <c r="E328" s="27"/>
      <c r="F328" s="196">
        <f>SF!F88</f>
        <v>31.607279999999999</v>
      </c>
      <c r="G328" s="211"/>
      <c r="H328" s="34"/>
      <c r="I328" s="196">
        <f>SF!I88</f>
        <v>15.140358000000003</v>
      </c>
      <c r="J328" s="196">
        <f>SF!J88</f>
        <v>0</v>
      </c>
      <c r="K328" s="268">
        <v>0.3</v>
      </c>
    </row>
    <row r="329" spans="1:11">
      <c r="A329" s="25" t="s">
        <v>1011</v>
      </c>
      <c r="B329" s="26" t="s">
        <v>211</v>
      </c>
      <c r="C329" s="26"/>
      <c r="D329" s="26"/>
      <c r="E329" s="27"/>
      <c r="F329" s="196">
        <f>SF!F98</f>
        <v>17.865688175801139</v>
      </c>
      <c r="G329" s="211"/>
      <c r="H329" s="197"/>
      <c r="I329" s="196">
        <f>SF!I98</f>
        <v>0</v>
      </c>
      <c r="J329" s="196">
        <f>SF!J98</f>
        <v>0</v>
      </c>
      <c r="K329" s="268">
        <v>0.3</v>
      </c>
    </row>
    <row r="330" spans="1:11">
      <c r="A330" s="253"/>
      <c r="B330" s="15"/>
      <c r="C330" s="15"/>
      <c r="D330" s="15"/>
      <c r="E330" s="22"/>
      <c r="F330" s="212"/>
      <c r="G330" s="213"/>
      <c r="H330" s="198"/>
      <c r="I330" s="198"/>
      <c r="J330" s="58"/>
      <c r="K330" s="379"/>
    </row>
    <row r="331" spans="1:11">
      <c r="A331" s="46"/>
      <c r="B331" s="46"/>
      <c r="C331" s="46"/>
      <c r="D331" s="46"/>
      <c r="E331" s="46"/>
      <c r="F331" s="46"/>
      <c r="G331" s="46"/>
      <c r="H331" s="46"/>
      <c r="I331" s="46"/>
      <c r="J331" s="46"/>
      <c r="K331" s="87"/>
    </row>
    <row r="332" spans="1:11">
      <c r="A332" s="220" t="s">
        <v>73</v>
      </c>
      <c r="B332" s="220" t="s">
        <v>74</v>
      </c>
      <c r="C332" s="200"/>
      <c r="D332" s="200"/>
      <c r="E332" s="217"/>
      <c r="F332" s="1636" t="s">
        <v>72</v>
      </c>
      <c r="G332" s="1637"/>
      <c r="H332" s="1637"/>
      <c r="I332" s="1637"/>
      <c r="J332" s="1638"/>
      <c r="K332" s="87"/>
    </row>
    <row r="333" spans="1:11" ht="18">
      <c r="A333" s="221"/>
      <c r="B333" s="221"/>
      <c r="C333" s="201"/>
      <c r="D333" s="201"/>
      <c r="E333" s="219"/>
      <c r="F333" s="223" t="s">
        <v>23</v>
      </c>
      <c r="G333" s="223" t="s">
        <v>87</v>
      </c>
      <c r="H333" s="223" t="s">
        <v>212</v>
      </c>
      <c r="I333" s="223" t="s">
        <v>80</v>
      </c>
      <c r="J333" s="223" t="s">
        <v>81</v>
      </c>
      <c r="K333" s="87"/>
    </row>
    <row r="334" spans="1:11">
      <c r="A334" s="222"/>
      <c r="B334" s="222"/>
      <c r="C334" s="203"/>
      <c r="D334" s="203"/>
      <c r="E334" s="218"/>
      <c r="F334" s="204" t="s">
        <v>34</v>
      </c>
      <c r="G334" s="204" t="s">
        <v>34</v>
      </c>
      <c r="H334" s="203" t="s">
        <v>34</v>
      </c>
      <c r="I334" s="204" t="s">
        <v>77</v>
      </c>
      <c r="J334" s="204" t="s">
        <v>77</v>
      </c>
      <c r="K334" s="87"/>
    </row>
    <row r="335" spans="1:11">
      <c r="A335" s="202"/>
      <c r="B335" s="200"/>
      <c r="C335" s="200"/>
      <c r="D335" s="200"/>
      <c r="E335" s="217"/>
      <c r="F335" s="205"/>
      <c r="G335" s="205"/>
      <c r="H335" s="201"/>
      <c r="I335" s="205"/>
      <c r="J335" s="205"/>
      <c r="K335" s="87"/>
    </row>
    <row r="336" spans="1:11">
      <c r="A336" s="205" t="str">
        <f>A307</f>
        <v>LC-12</v>
      </c>
      <c r="B336" s="201" t="str">
        <f>B307</f>
        <v>LC-2 + Seismic Sx=0.3,Sz=1,Sy=0.3</v>
      </c>
      <c r="C336" s="201"/>
      <c r="D336" s="201"/>
      <c r="E336" s="219"/>
      <c r="F336" s="205">
        <f>SUMPRODUCT(F310:F329,$K$310:$K$329)</f>
        <v>1011.3711397622732</v>
      </c>
      <c r="G336" s="1080">
        <f>SUMPRODUCT(G310:G329,$K$310:$K$329)</f>
        <v>42.339311679110509</v>
      </c>
      <c r="H336" s="1080">
        <f>SUMPRODUCT(H310:H329,$K$310:$K$329)</f>
        <v>121.62037226370171</v>
      </c>
      <c r="I336" s="1080">
        <f>SUMPRODUCT(I310:I329,$K$310:$K$329)</f>
        <v>328.18709042841346</v>
      </c>
      <c r="J336" s="1080">
        <f>SUMPRODUCT(J310:J329,$K$310:$K$329)</f>
        <v>1013.485072079864</v>
      </c>
      <c r="K336" s="87"/>
    </row>
    <row r="337" spans="1:11">
      <c r="A337" s="204"/>
      <c r="B337" s="203"/>
      <c r="C337" s="203"/>
      <c r="D337" s="203"/>
      <c r="E337" s="218"/>
      <c r="F337" s="204"/>
      <c r="G337" s="204"/>
      <c r="H337" s="203"/>
      <c r="I337" s="204"/>
      <c r="J337" s="204"/>
      <c r="K337" s="87"/>
    </row>
    <row r="340" spans="1:11">
      <c r="A340" s="1318" t="str">
        <f>K340</f>
        <v>LC-13</v>
      </c>
      <c r="B340" s="24" t="str">
        <f>VLOOKUP(A340,LC_DEF_2!A3:B42,2,FALSE)</f>
        <v>LC-3 + Seismic Sx=1,Sz=0.3,Sy=-0.3</v>
      </c>
      <c r="C340" s="24"/>
      <c r="D340" s="24"/>
      <c r="E340" s="21"/>
      <c r="F340" s="1635" t="s">
        <v>742</v>
      </c>
      <c r="G340" s="1635"/>
      <c r="H340" s="1635"/>
      <c r="I340" s="1635"/>
      <c r="J340" s="1600"/>
      <c r="K340" s="413" t="s">
        <v>239</v>
      </c>
    </row>
    <row r="341" spans="1:11" ht="18">
      <c r="A341" s="25" t="s">
        <v>73</v>
      </c>
      <c r="B341" s="26" t="s">
        <v>74</v>
      </c>
      <c r="C341" s="26"/>
      <c r="D341" s="26"/>
      <c r="E341" s="27"/>
      <c r="F341" s="32" t="s">
        <v>23</v>
      </c>
      <c r="G341" s="33" t="s">
        <v>87</v>
      </c>
      <c r="H341" s="33" t="s">
        <v>212</v>
      </c>
      <c r="I341" s="33" t="s">
        <v>80</v>
      </c>
      <c r="J341" s="33" t="s">
        <v>81</v>
      </c>
      <c r="K341" s="376"/>
    </row>
    <row r="342" spans="1:11">
      <c r="A342" s="28"/>
      <c r="B342" s="15"/>
      <c r="C342" s="15"/>
      <c r="D342" s="15"/>
      <c r="E342" s="22"/>
      <c r="F342" s="21" t="s">
        <v>34</v>
      </c>
      <c r="G342" s="36" t="s">
        <v>34</v>
      </c>
      <c r="H342" s="36" t="s">
        <v>34</v>
      </c>
      <c r="I342" s="36" t="s">
        <v>77</v>
      </c>
      <c r="J342" s="36" t="s">
        <v>77</v>
      </c>
      <c r="K342" s="376"/>
    </row>
    <row r="343" spans="1:11">
      <c r="A343" s="25" t="s">
        <v>88</v>
      </c>
      <c r="B343" s="26" t="s">
        <v>75</v>
      </c>
      <c r="C343" s="26"/>
      <c r="D343" s="26"/>
      <c r="E343" s="27"/>
      <c r="F343" s="195">
        <f>SF!F14</f>
        <v>365.08803866482532</v>
      </c>
      <c r="G343" s="210"/>
      <c r="H343" s="34"/>
      <c r="I343" s="195">
        <f>SF!I14</f>
        <v>0</v>
      </c>
      <c r="J343" s="195">
        <f>SF!J14</f>
        <v>0</v>
      </c>
      <c r="K343" s="268">
        <v>1</v>
      </c>
    </row>
    <row r="344" spans="1:11">
      <c r="A344" s="25" t="s">
        <v>90</v>
      </c>
      <c r="B344" s="26" t="s">
        <v>249</v>
      </c>
      <c r="C344" s="26"/>
      <c r="D344" s="26"/>
      <c r="E344" s="27"/>
      <c r="F344" s="195">
        <f>SF!F16</f>
        <v>36.639026644707663</v>
      </c>
      <c r="G344" s="210"/>
      <c r="H344" s="34"/>
      <c r="I344" s="195">
        <f>SF!I16</f>
        <v>0</v>
      </c>
      <c r="J344" s="195">
        <f>SF!J16</f>
        <v>0</v>
      </c>
      <c r="K344" s="268">
        <v>1</v>
      </c>
    </row>
    <row r="345" spans="1:11">
      <c r="A345" s="25" t="s">
        <v>250</v>
      </c>
      <c r="B345" s="26" t="s">
        <v>967</v>
      </c>
      <c r="C345" s="26"/>
      <c r="D345" s="26"/>
      <c r="E345" s="27"/>
      <c r="F345" s="195">
        <f>SF!F19</f>
        <v>230</v>
      </c>
      <c r="G345" s="27"/>
      <c r="H345" s="34"/>
      <c r="I345" s="195">
        <f>SF!I19</f>
        <v>-115</v>
      </c>
      <c r="J345" s="195">
        <f>SF!J19</f>
        <v>0</v>
      </c>
      <c r="K345" s="376">
        <v>1</v>
      </c>
    </row>
    <row r="346" spans="1:11">
      <c r="A346" s="25" t="s">
        <v>251</v>
      </c>
      <c r="B346" s="26" t="s">
        <v>968</v>
      </c>
      <c r="C346" s="26"/>
      <c r="D346" s="26"/>
      <c r="E346" s="27"/>
      <c r="F346" s="195">
        <f>SF!F20</f>
        <v>20.660000000000004</v>
      </c>
      <c r="G346" s="27"/>
      <c r="H346" s="34"/>
      <c r="I346" s="195">
        <f>SF!I20</f>
        <v>-10.330000000000002</v>
      </c>
      <c r="J346" s="195">
        <f>SF!J20</f>
        <v>0</v>
      </c>
      <c r="K346" s="376">
        <v>1</v>
      </c>
    </row>
    <row r="347" spans="1:11">
      <c r="A347" s="25" t="s">
        <v>97</v>
      </c>
      <c r="B347" s="26" t="s">
        <v>969</v>
      </c>
      <c r="C347" s="26"/>
      <c r="D347" s="26"/>
      <c r="E347" s="27"/>
      <c r="F347" s="195">
        <f>SF!F21</f>
        <v>42</v>
      </c>
      <c r="G347" s="27"/>
      <c r="H347" s="34"/>
      <c r="I347" s="195">
        <f>SF!I21</f>
        <v>-14.858499999999999</v>
      </c>
      <c r="J347" s="195">
        <f>SF!J21</f>
        <v>0</v>
      </c>
      <c r="K347" s="376">
        <v>1</v>
      </c>
    </row>
    <row r="348" spans="1:11">
      <c r="A348" s="25" t="s">
        <v>250</v>
      </c>
      <c r="B348" s="26" t="s">
        <v>970</v>
      </c>
      <c r="C348" s="26"/>
      <c r="D348" s="26"/>
      <c r="E348" s="27"/>
      <c r="F348" s="195">
        <f>SF!F23</f>
        <v>230</v>
      </c>
      <c r="G348" s="27"/>
      <c r="H348" s="34"/>
      <c r="I348" s="195">
        <f>SF!I23</f>
        <v>115</v>
      </c>
      <c r="J348" s="195">
        <f>SF!J23</f>
        <v>0</v>
      </c>
      <c r="K348" s="376">
        <v>1</v>
      </c>
    </row>
    <row r="349" spans="1:11">
      <c r="A349" s="25" t="s">
        <v>251</v>
      </c>
      <c r="B349" s="26" t="s">
        <v>971</v>
      </c>
      <c r="C349" s="26"/>
      <c r="D349" s="26"/>
      <c r="E349" s="27"/>
      <c r="F349" s="195">
        <f>SF!F24</f>
        <v>20.660000000000004</v>
      </c>
      <c r="G349" s="27"/>
      <c r="H349" s="34"/>
      <c r="I349" s="195">
        <f>SF!I24</f>
        <v>10.330000000000002</v>
      </c>
      <c r="J349" s="195">
        <f>SF!J24</f>
        <v>0</v>
      </c>
      <c r="K349" s="268">
        <v>1</v>
      </c>
    </row>
    <row r="350" spans="1:11">
      <c r="A350" s="25" t="s">
        <v>97</v>
      </c>
      <c r="B350" s="26" t="s">
        <v>972</v>
      </c>
      <c r="C350" s="26"/>
      <c r="D350" s="26"/>
      <c r="E350" s="27"/>
      <c r="F350" s="195">
        <f>SF!F25</f>
        <v>42</v>
      </c>
      <c r="G350" s="27"/>
      <c r="H350" s="34"/>
      <c r="I350" s="195">
        <f>SF!I25</f>
        <v>14.858499999999999</v>
      </c>
      <c r="J350" s="195">
        <f>SF!J25</f>
        <v>0</v>
      </c>
      <c r="K350" s="376">
        <v>1</v>
      </c>
    </row>
    <row r="351" spans="1:11">
      <c r="A351" s="25" t="s">
        <v>976</v>
      </c>
      <c r="B351" s="26" t="s">
        <v>978</v>
      </c>
      <c r="C351" s="26"/>
      <c r="D351" s="26"/>
      <c r="E351" s="27"/>
      <c r="F351" s="195">
        <f>SF!F29</f>
        <v>65.160399999999996</v>
      </c>
      <c r="G351" s="27"/>
      <c r="H351" s="34"/>
      <c r="I351" s="195">
        <f>SF!I29</f>
        <v>-32.580199999999998</v>
      </c>
      <c r="J351" s="195">
        <f>SF!J29</f>
        <v>-10.105732306306301</v>
      </c>
      <c r="K351" s="268">
        <v>0.2</v>
      </c>
    </row>
    <row r="352" spans="1:11">
      <c r="A352" s="25" t="s">
        <v>977</v>
      </c>
      <c r="B352" s="26" t="s">
        <v>979</v>
      </c>
      <c r="C352" s="26"/>
      <c r="D352" s="26"/>
      <c r="E352" s="27"/>
      <c r="F352" s="195">
        <f>SF!F30</f>
        <v>75.185314285714313</v>
      </c>
      <c r="G352" s="27"/>
      <c r="H352" s="34"/>
      <c r="I352" s="195">
        <f>SF!I30</f>
        <v>37.592657142857156</v>
      </c>
      <c r="J352" s="195">
        <f>SF!J30</f>
        <v>-11.660497166023164</v>
      </c>
      <c r="K352" s="268">
        <v>0.2</v>
      </c>
    </row>
    <row r="353" spans="1:11">
      <c r="A353" s="278" t="s">
        <v>1132</v>
      </c>
      <c r="B353" s="262"/>
      <c r="C353" s="262"/>
      <c r="D353" s="262"/>
      <c r="E353" s="263"/>
      <c r="F353" s="279"/>
      <c r="G353" s="280"/>
      <c r="H353" s="264"/>
      <c r="I353" s="279"/>
      <c r="J353" s="264"/>
      <c r="K353" s="650">
        <v>1</v>
      </c>
    </row>
    <row r="354" spans="1:11">
      <c r="A354" s="25" t="s">
        <v>991</v>
      </c>
      <c r="B354" s="26" t="s">
        <v>989</v>
      </c>
      <c r="C354" s="26"/>
      <c r="D354" s="26"/>
      <c r="E354" s="27"/>
      <c r="F354" s="197"/>
      <c r="G354" s="172">
        <f>SF!G52</f>
        <v>94.821839999999995</v>
      </c>
      <c r="H354" s="34"/>
      <c r="I354" s="172">
        <f>SF!I52</f>
        <v>785.12483520000001</v>
      </c>
      <c r="J354" s="89"/>
      <c r="K354" s="268">
        <v>1</v>
      </c>
    </row>
    <row r="355" spans="1:11">
      <c r="A355" s="25" t="s">
        <v>994</v>
      </c>
      <c r="B355" s="26" t="s">
        <v>996</v>
      </c>
      <c r="C355" s="26"/>
      <c r="D355" s="26"/>
      <c r="E355" s="27"/>
      <c r="F355" s="197"/>
      <c r="G355" s="172">
        <f>SF!G56</f>
        <v>4.5540000000000003</v>
      </c>
      <c r="H355" s="34"/>
      <c r="I355" s="172">
        <f>SF!I56</f>
        <v>37.70712000000001</v>
      </c>
      <c r="J355" s="89"/>
      <c r="K355" s="376">
        <v>1</v>
      </c>
    </row>
    <row r="356" spans="1:11">
      <c r="A356" s="25" t="s">
        <v>217</v>
      </c>
      <c r="B356" s="26" t="s">
        <v>211</v>
      </c>
      <c r="C356" s="26"/>
      <c r="D356" s="26"/>
      <c r="E356" s="27"/>
      <c r="F356" s="197"/>
      <c r="G356" s="196">
        <f>SF!G58</f>
        <v>26.798532263701709</v>
      </c>
      <c r="H356" s="199"/>
      <c r="I356" s="172">
        <f>SF!I58</f>
        <v>147.28381289471153</v>
      </c>
      <c r="J356" s="195"/>
      <c r="K356" s="376">
        <v>1</v>
      </c>
    </row>
    <row r="357" spans="1:11">
      <c r="A357" s="278" t="s">
        <v>1135</v>
      </c>
      <c r="B357" s="262"/>
      <c r="C357" s="262"/>
      <c r="D357" s="262"/>
      <c r="E357" s="263"/>
      <c r="F357" s="279"/>
      <c r="G357" s="280"/>
      <c r="H357" s="264"/>
      <c r="I357" s="279"/>
      <c r="J357" s="264"/>
      <c r="K357" s="708">
        <v>0.3</v>
      </c>
    </row>
    <row r="358" spans="1:11">
      <c r="A358" s="25" t="s">
        <v>997</v>
      </c>
      <c r="B358" s="26" t="s">
        <v>988</v>
      </c>
      <c r="C358" s="26"/>
      <c r="D358" s="26"/>
      <c r="E358" s="27"/>
      <c r="F358" s="197"/>
      <c r="G358" s="211"/>
      <c r="H358" s="254">
        <f>SF!H67</f>
        <v>47.410919999999997</v>
      </c>
      <c r="I358" s="197"/>
      <c r="J358" s="254">
        <f>SF!J67</f>
        <v>433.10062959257624</v>
      </c>
      <c r="K358" s="268">
        <v>0.3</v>
      </c>
    </row>
    <row r="359" spans="1:11">
      <c r="A359" s="25" t="s">
        <v>998</v>
      </c>
      <c r="B359" s="26" t="s">
        <v>989</v>
      </c>
      <c r="C359" s="26"/>
      <c r="D359" s="26"/>
      <c r="E359" s="27"/>
      <c r="F359" s="197"/>
      <c r="G359" s="211"/>
      <c r="H359" s="254">
        <f>SF!H68</f>
        <v>47.410919999999997</v>
      </c>
      <c r="I359" s="197"/>
      <c r="J359" s="254">
        <f>SF!J68</f>
        <v>433.10062959257624</v>
      </c>
      <c r="K359" s="376">
        <v>0.3</v>
      </c>
    </row>
    <row r="360" spans="1:11">
      <c r="A360" s="25" t="s">
        <v>1004</v>
      </c>
      <c r="B360" s="26" t="s">
        <v>1000</v>
      </c>
      <c r="C360" s="26"/>
      <c r="D360" s="26"/>
      <c r="E360" s="27"/>
      <c r="F360" s="197"/>
      <c r="G360" s="211"/>
      <c r="H360" s="254">
        <f>SF!H72</f>
        <v>10.555984799999999</v>
      </c>
      <c r="I360" s="197"/>
      <c r="J360" s="254">
        <f>SF!J72</f>
        <v>115.74637333199999</v>
      </c>
      <c r="K360" s="376">
        <v>0.06</v>
      </c>
    </row>
    <row r="361" spans="1:11">
      <c r="A361" s="25" t="s">
        <v>1005</v>
      </c>
      <c r="B361" s="26" t="s">
        <v>1001</v>
      </c>
      <c r="C361" s="26"/>
      <c r="D361" s="26"/>
      <c r="E361" s="27"/>
      <c r="F361" s="197"/>
      <c r="G361" s="211"/>
      <c r="H361" s="254">
        <f>SF!H73</f>
        <v>12.18002091428572</v>
      </c>
      <c r="I361" s="197"/>
      <c r="J361" s="254">
        <f>SF!J73</f>
        <v>133.55392932514292</v>
      </c>
      <c r="K361" s="376">
        <v>0.06</v>
      </c>
    </row>
    <row r="362" spans="1:11">
      <c r="A362" s="25" t="s">
        <v>1006</v>
      </c>
      <c r="B362" s="26" t="s">
        <v>211</v>
      </c>
      <c r="C362" s="26"/>
      <c r="D362" s="26"/>
      <c r="E362" s="27"/>
      <c r="F362" s="197"/>
      <c r="G362" s="195"/>
      <c r="H362" s="254">
        <f>SF!H78</f>
        <v>26.798532263701709</v>
      </c>
      <c r="I362" s="195"/>
      <c r="J362" s="254">
        <f>SF!J78</f>
        <v>147.28381289471153</v>
      </c>
      <c r="K362" s="376">
        <v>0.3</v>
      </c>
    </row>
    <row r="363" spans="1:11">
      <c r="A363" s="290" t="s">
        <v>1137</v>
      </c>
      <c r="B363" s="11"/>
      <c r="C363" s="11"/>
      <c r="D363" s="11"/>
      <c r="E363" s="191"/>
      <c r="F363" s="197"/>
      <c r="G363" s="211"/>
      <c r="H363" s="89"/>
      <c r="I363" s="197"/>
      <c r="J363" s="89"/>
      <c r="K363" s="994">
        <v>0.3</v>
      </c>
    </row>
    <row r="364" spans="1:11">
      <c r="A364" s="25" t="s">
        <v>1007</v>
      </c>
      <c r="B364" s="26" t="s">
        <v>988</v>
      </c>
      <c r="C364" s="26"/>
      <c r="D364" s="26"/>
      <c r="E364" s="27"/>
      <c r="F364" s="196">
        <f>SF!F87</f>
        <v>31.607279999999999</v>
      </c>
      <c r="G364" s="211"/>
      <c r="H364" s="34"/>
      <c r="I364" s="196">
        <f>SF!I87</f>
        <v>-15.140358000000003</v>
      </c>
      <c r="J364" s="196">
        <f>SF!J87</f>
        <v>0</v>
      </c>
      <c r="K364" s="376">
        <v>-0.3</v>
      </c>
    </row>
    <row r="365" spans="1:11">
      <c r="A365" s="25" t="s">
        <v>1008</v>
      </c>
      <c r="B365" s="26" t="s">
        <v>989</v>
      </c>
      <c r="C365" s="26"/>
      <c r="D365" s="26"/>
      <c r="E365" s="27"/>
      <c r="F365" s="196">
        <f>SF!F88</f>
        <v>31.607279999999999</v>
      </c>
      <c r="G365" s="211"/>
      <c r="H365" s="34"/>
      <c r="I365" s="196">
        <f>SF!I88</f>
        <v>15.140358000000003</v>
      </c>
      <c r="J365" s="196">
        <f>SF!J88</f>
        <v>0</v>
      </c>
      <c r="K365" s="268">
        <v>-0.3</v>
      </c>
    </row>
    <row r="366" spans="1:11">
      <c r="A366" s="25" t="s">
        <v>1009</v>
      </c>
      <c r="B366" s="26" t="s">
        <v>1000</v>
      </c>
      <c r="C366" s="26"/>
      <c r="D366" s="26"/>
      <c r="E366" s="27"/>
      <c r="F366" s="196">
        <f>SF!F92</f>
        <v>7.0373232000000003</v>
      </c>
      <c r="G366" s="211"/>
      <c r="H366" s="34"/>
      <c r="I366" s="196">
        <f>SF!I92</f>
        <v>-3.5186616000000002</v>
      </c>
      <c r="J366" s="196">
        <f>SF!J92</f>
        <v>-1.0914190890810807</v>
      </c>
      <c r="K366" s="268">
        <v>-0.06</v>
      </c>
    </row>
    <row r="367" spans="1:11">
      <c r="A367" s="25" t="s">
        <v>1010</v>
      </c>
      <c r="B367" s="26" t="s">
        <v>1001</v>
      </c>
      <c r="C367" s="26"/>
      <c r="D367" s="26"/>
      <c r="E367" s="27"/>
      <c r="F367" s="196">
        <f>SF!F93</f>
        <v>8.1200139428571472</v>
      </c>
      <c r="G367" s="211"/>
      <c r="H367" s="34"/>
      <c r="I367" s="196">
        <f>SF!I93</f>
        <v>4.0600069714285736</v>
      </c>
      <c r="J367" s="196">
        <f>SF!J93</f>
        <v>-1.259333693930502</v>
      </c>
      <c r="K367" s="268">
        <v>-0.06</v>
      </c>
    </row>
    <row r="368" spans="1:11">
      <c r="A368" s="25" t="s">
        <v>1011</v>
      </c>
      <c r="B368" s="26" t="s">
        <v>211</v>
      </c>
      <c r="C368" s="26"/>
      <c r="D368" s="26"/>
      <c r="E368" s="27"/>
      <c r="F368" s="196">
        <f>SF!F98</f>
        <v>17.865688175801139</v>
      </c>
      <c r="G368" s="211"/>
      <c r="H368" s="197"/>
      <c r="I368" s="196">
        <f>SF!I98</f>
        <v>0</v>
      </c>
      <c r="J368" s="196">
        <f>SF!J98</f>
        <v>0</v>
      </c>
      <c r="K368" s="268">
        <v>-0.3</v>
      </c>
    </row>
    <row r="369" spans="1:11">
      <c r="A369" s="253"/>
      <c r="B369" s="15"/>
      <c r="C369" s="15"/>
      <c r="D369" s="15"/>
      <c r="E369" s="22"/>
      <c r="F369" s="212"/>
      <c r="G369" s="213"/>
      <c r="H369" s="198"/>
      <c r="I369" s="198"/>
      <c r="J369" s="58"/>
      <c r="K369" s="379"/>
    </row>
    <row r="370" spans="1:11">
      <c r="A370" s="46"/>
      <c r="B370" s="46"/>
      <c r="C370" s="46"/>
      <c r="D370" s="46"/>
      <c r="E370" s="46"/>
      <c r="F370" s="46"/>
      <c r="G370" s="46"/>
      <c r="H370" s="46"/>
      <c r="I370" s="46"/>
      <c r="J370" s="46"/>
      <c r="K370" s="87"/>
    </row>
    <row r="371" spans="1:11">
      <c r="A371" s="220" t="s">
        <v>73</v>
      </c>
      <c r="B371" s="220" t="s">
        <v>74</v>
      </c>
      <c r="C371" s="200"/>
      <c r="D371" s="200"/>
      <c r="E371" s="217"/>
      <c r="F371" s="1636" t="s">
        <v>72</v>
      </c>
      <c r="G371" s="1637"/>
      <c r="H371" s="1637"/>
      <c r="I371" s="1637"/>
      <c r="J371" s="1638"/>
      <c r="K371" s="87"/>
    </row>
    <row r="372" spans="1:11" ht="18">
      <c r="A372" s="221"/>
      <c r="B372" s="221"/>
      <c r="C372" s="201"/>
      <c r="D372" s="201"/>
      <c r="E372" s="219"/>
      <c r="F372" s="223" t="s">
        <v>23</v>
      </c>
      <c r="G372" s="223" t="s">
        <v>87</v>
      </c>
      <c r="H372" s="223" t="s">
        <v>212</v>
      </c>
      <c r="I372" s="223" t="s">
        <v>80</v>
      </c>
      <c r="J372" s="223" t="s">
        <v>81</v>
      </c>
      <c r="K372" s="87"/>
    </row>
    <row r="373" spans="1:11">
      <c r="A373" s="222"/>
      <c r="B373" s="222"/>
      <c r="C373" s="203"/>
      <c r="D373" s="203"/>
      <c r="E373" s="218"/>
      <c r="F373" s="204" t="s">
        <v>34</v>
      </c>
      <c r="G373" s="204" t="s">
        <v>34</v>
      </c>
      <c r="H373" s="203" t="s">
        <v>34</v>
      </c>
      <c r="I373" s="204" t="s">
        <v>77</v>
      </c>
      <c r="J373" s="204" t="s">
        <v>77</v>
      </c>
      <c r="K373" s="87"/>
    </row>
    <row r="374" spans="1:11">
      <c r="A374" s="202"/>
      <c r="B374" s="200"/>
      <c r="C374" s="200"/>
      <c r="D374" s="200"/>
      <c r="E374" s="217"/>
      <c r="F374" s="205"/>
      <c r="G374" s="205"/>
      <c r="H374" s="201"/>
      <c r="I374" s="205"/>
      <c r="J374" s="205"/>
      <c r="K374" s="87"/>
    </row>
    <row r="375" spans="1:11">
      <c r="A375" s="205" t="str">
        <f>A340</f>
        <v>LC-13</v>
      </c>
      <c r="B375" s="201" t="str">
        <f>B340</f>
        <v>LC-3 + Seismic Sx=1,Sz=0.3,Sy=-0.3</v>
      </c>
      <c r="C375" s="201"/>
      <c r="D375" s="201"/>
      <c r="E375" s="219"/>
      <c r="F375" s="205">
        <f>SUMPRODUCT(F343:F368,$K$343:$K$368)</f>
        <v>989.8826934853638</v>
      </c>
      <c r="G375" s="1080">
        <f>SUMPRODUCT(G343:G368,$K$343:$K$368)</f>
        <v>126.17437226370171</v>
      </c>
      <c r="H375" s="1080">
        <f>SUMPRODUCT(H343:H368,$K$343:$K$368)</f>
        <v>37.850272021967655</v>
      </c>
      <c r="I375" s="1080">
        <f>SUMPRODUCT(I343:I368,$K$343:$K$368)</f>
        <v>971.08577880099722</v>
      </c>
      <c r="J375" s="1080">
        <f>SUMPRODUCT(J343:J368,$K$343:$K$368)</f>
        <v>314.79133905590254</v>
      </c>
      <c r="K375" s="87"/>
    </row>
    <row r="376" spans="1:11">
      <c r="A376" s="204"/>
      <c r="B376" s="203"/>
      <c r="C376" s="203"/>
      <c r="D376" s="203"/>
      <c r="E376" s="218"/>
      <c r="F376" s="204"/>
      <c r="G376" s="204"/>
      <c r="H376" s="203"/>
      <c r="I376" s="204"/>
      <c r="J376" s="204"/>
      <c r="K376" s="87"/>
    </row>
    <row r="379" spans="1:11">
      <c r="A379" s="1318" t="str">
        <f>K379</f>
        <v>LC-14</v>
      </c>
      <c r="B379" s="24" t="str">
        <f>VLOOKUP(A379,LC_DEF_2!A3:B42,2,FALSE)</f>
        <v>LC-3 + Seismic Sx=0.3,Sz=1,Sy=-0.3</v>
      </c>
      <c r="C379" s="24"/>
      <c r="D379" s="24"/>
      <c r="E379" s="21"/>
      <c r="F379" s="1635" t="s">
        <v>742</v>
      </c>
      <c r="G379" s="1635"/>
      <c r="H379" s="1635"/>
      <c r="I379" s="1635"/>
      <c r="J379" s="1600"/>
      <c r="K379" s="413" t="s">
        <v>240</v>
      </c>
    </row>
    <row r="380" spans="1:11" ht="18">
      <c r="A380" s="25" t="s">
        <v>73</v>
      </c>
      <c r="B380" s="26" t="s">
        <v>74</v>
      </c>
      <c r="C380" s="26"/>
      <c r="D380" s="26"/>
      <c r="E380" s="27"/>
      <c r="F380" s="32" t="s">
        <v>23</v>
      </c>
      <c r="G380" s="33" t="s">
        <v>87</v>
      </c>
      <c r="H380" s="33" t="s">
        <v>212</v>
      </c>
      <c r="I380" s="33" t="s">
        <v>80</v>
      </c>
      <c r="J380" s="33" t="s">
        <v>81</v>
      </c>
      <c r="K380" s="376"/>
    </row>
    <row r="381" spans="1:11">
      <c r="A381" s="28"/>
      <c r="B381" s="15"/>
      <c r="C381" s="15"/>
      <c r="D381" s="15"/>
      <c r="E381" s="22"/>
      <c r="F381" s="21" t="s">
        <v>34</v>
      </c>
      <c r="G381" s="36" t="s">
        <v>34</v>
      </c>
      <c r="H381" s="36" t="s">
        <v>34</v>
      </c>
      <c r="I381" s="36" t="s">
        <v>77</v>
      </c>
      <c r="J381" s="36" t="s">
        <v>77</v>
      </c>
      <c r="K381" s="376"/>
    </row>
    <row r="382" spans="1:11">
      <c r="A382" s="25" t="s">
        <v>88</v>
      </c>
      <c r="B382" s="26" t="s">
        <v>75</v>
      </c>
      <c r="C382" s="26"/>
      <c r="D382" s="26"/>
      <c r="E382" s="27"/>
      <c r="F382" s="195">
        <f>SF!F14</f>
        <v>365.08803866482532</v>
      </c>
      <c r="G382" s="210"/>
      <c r="H382" s="34"/>
      <c r="I382" s="195">
        <f>SF!I14</f>
        <v>0</v>
      </c>
      <c r="J382" s="195">
        <f>SF!J14</f>
        <v>0</v>
      </c>
      <c r="K382" s="268">
        <v>1</v>
      </c>
    </row>
    <row r="383" spans="1:11">
      <c r="A383" s="25" t="s">
        <v>90</v>
      </c>
      <c r="B383" s="26" t="s">
        <v>249</v>
      </c>
      <c r="C383" s="26"/>
      <c r="D383" s="26"/>
      <c r="E383" s="27"/>
      <c r="F383" s="195">
        <f>SF!F16</f>
        <v>36.639026644707663</v>
      </c>
      <c r="G383" s="210"/>
      <c r="H383" s="34"/>
      <c r="I383" s="195">
        <f>SF!I16</f>
        <v>0</v>
      </c>
      <c r="J383" s="195">
        <f>SF!J16</f>
        <v>0</v>
      </c>
      <c r="K383" s="268">
        <v>1</v>
      </c>
    </row>
    <row r="384" spans="1:11">
      <c r="A384" s="25" t="s">
        <v>250</v>
      </c>
      <c r="B384" s="26" t="s">
        <v>967</v>
      </c>
      <c r="C384" s="26"/>
      <c r="D384" s="26"/>
      <c r="E384" s="27"/>
      <c r="F384" s="195">
        <f>SF!F19</f>
        <v>230</v>
      </c>
      <c r="G384" s="27"/>
      <c r="H384" s="34"/>
      <c r="I384" s="195">
        <f>SF!I19</f>
        <v>-115</v>
      </c>
      <c r="J384" s="195">
        <f>SF!J19</f>
        <v>0</v>
      </c>
      <c r="K384" s="376">
        <v>1</v>
      </c>
    </row>
    <row r="385" spans="1:11">
      <c r="A385" s="25" t="s">
        <v>251</v>
      </c>
      <c r="B385" s="26" t="s">
        <v>968</v>
      </c>
      <c r="C385" s="26"/>
      <c r="D385" s="26"/>
      <c r="E385" s="27"/>
      <c r="F385" s="195">
        <f>SF!F20</f>
        <v>20.660000000000004</v>
      </c>
      <c r="G385" s="27"/>
      <c r="H385" s="34"/>
      <c r="I385" s="195">
        <f>SF!I20</f>
        <v>-10.330000000000002</v>
      </c>
      <c r="J385" s="195">
        <f>SF!J20</f>
        <v>0</v>
      </c>
      <c r="K385" s="376">
        <v>1</v>
      </c>
    </row>
    <row r="386" spans="1:11">
      <c r="A386" s="25" t="s">
        <v>97</v>
      </c>
      <c r="B386" s="26" t="s">
        <v>969</v>
      </c>
      <c r="C386" s="26"/>
      <c r="D386" s="26"/>
      <c r="E386" s="27"/>
      <c r="F386" s="195">
        <f>SF!F21</f>
        <v>42</v>
      </c>
      <c r="G386" s="27"/>
      <c r="H386" s="34"/>
      <c r="I386" s="195">
        <f>SF!I21</f>
        <v>-14.858499999999999</v>
      </c>
      <c r="J386" s="195">
        <f>SF!J21</f>
        <v>0</v>
      </c>
      <c r="K386" s="376">
        <v>1</v>
      </c>
    </row>
    <row r="387" spans="1:11">
      <c r="A387" s="25" t="s">
        <v>250</v>
      </c>
      <c r="B387" s="26" t="s">
        <v>970</v>
      </c>
      <c r="C387" s="26"/>
      <c r="D387" s="26"/>
      <c r="E387" s="27"/>
      <c r="F387" s="195">
        <f>SF!F23</f>
        <v>230</v>
      </c>
      <c r="G387" s="27"/>
      <c r="H387" s="34"/>
      <c r="I387" s="195">
        <f>SF!I23</f>
        <v>115</v>
      </c>
      <c r="J387" s="195">
        <f>SF!J23</f>
        <v>0</v>
      </c>
      <c r="K387" s="376">
        <v>1</v>
      </c>
    </row>
    <row r="388" spans="1:11">
      <c r="A388" s="25" t="s">
        <v>251</v>
      </c>
      <c r="B388" s="26" t="s">
        <v>971</v>
      </c>
      <c r="C388" s="26"/>
      <c r="D388" s="26"/>
      <c r="E388" s="27"/>
      <c r="F388" s="195">
        <f>SF!F24</f>
        <v>20.660000000000004</v>
      </c>
      <c r="G388" s="27"/>
      <c r="H388" s="34"/>
      <c r="I388" s="195">
        <f>SF!I24</f>
        <v>10.330000000000002</v>
      </c>
      <c r="J388" s="195">
        <f>SF!J24</f>
        <v>0</v>
      </c>
      <c r="K388" s="268">
        <v>1</v>
      </c>
    </row>
    <row r="389" spans="1:11">
      <c r="A389" s="25" t="s">
        <v>97</v>
      </c>
      <c r="B389" s="26" t="s">
        <v>972</v>
      </c>
      <c r="C389" s="26"/>
      <c r="D389" s="26"/>
      <c r="E389" s="27"/>
      <c r="F389" s="195">
        <f>SF!F25</f>
        <v>42</v>
      </c>
      <c r="G389" s="27"/>
      <c r="H389" s="34"/>
      <c r="I389" s="195">
        <f>SF!I25</f>
        <v>14.858499999999999</v>
      </c>
      <c r="J389" s="195">
        <f>SF!J25</f>
        <v>0</v>
      </c>
      <c r="K389" s="376">
        <v>1</v>
      </c>
    </row>
    <row r="390" spans="1:11">
      <c r="A390" s="25" t="s">
        <v>976</v>
      </c>
      <c r="B390" s="26" t="s">
        <v>978</v>
      </c>
      <c r="C390" s="26"/>
      <c r="D390" s="26"/>
      <c r="E390" s="27"/>
      <c r="F390" s="195">
        <f>SF!F29</f>
        <v>65.160399999999996</v>
      </c>
      <c r="G390" s="27"/>
      <c r="H390" s="34"/>
      <c r="I390" s="195">
        <f>SF!I29</f>
        <v>-32.580199999999998</v>
      </c>
      <c r="J390" s="195">
        <f>SF!J29</f>
        <v>-10.105732306306301</v>
      </c>
      <c r="K390" s="268">
        <v>0.2</v>
      </c>
    </row>
    <row r="391" spans="1:11">
      <c r="A391" s="25" t="s">
        <v>977</v>
      </c>
      <c r="B391" s="26" t="s">
        <v>979</v>
      </c>
      <c r="C391" s="26"/>
      <c r="D391" s="26"/>
      <c r="E391" s="27"/>
      <c r="F391" s="195">
        <f>SF!F30</f>
        <v>75.185314285714313</v>
      </c>
      <c r="G391" s="27"/>
      <c r="H391" s="34"/>
      <c r="I391" s="195">
        <f>SF!I30</f>
        <v>37.592657142857156</v>
      </c>
      <c r="J391" s="195">
        <f>SF!J30</f>
        <v>-11.660497166023164</v>
      </c>
      <c r="K391" s="268">
        <v>0.2</v>
      </c>
    </row>
    <row r="392" spans="1:11">
      <c r="A392" s="278" t="s">
        <v>1132</v>
      </c>
      <c r="B392" s="262"/>
      <c r="C392" s="262"/>
      <c r="D392" s="262"/>
      <c r="E392" s="263"/>
      <c r="F392" s="279"/>
      <c r="G392" s="280"/>
      <c r="H392" s="264"/>
      <c r="I392" s="279"/>
      <c r="J392" s="264"/>
      <c r="K392" s="650">
        <v>1</v>
      </c>
    </row>
    <row r="393" spans="1:11">
      <c r="A393" s="25" t="s">
        <v>991</v>
      </c>
      <c r="B393" s="26" t="s">
        <v>989</v>
      </c>
      <c r="C393" s="26"/>
      <c r="D393" s="26"/>
      <c r="E393" s="27"/>
      <c r="F393" s="197"/>
      <c r="G393" s="172">
        <f>SF!G52</f>
        <v>94.821839999999995</v>
      </c>
      <c r="H393" s="34"/>
      <c r="I393" s="172">
        <f>SF!I52</f>
        <v>785.12483520000001</v>
      </c>
      <c r="J393" s="89"/>
      <c r="K393" s="268">
        <v>0.3</v>
      </c>
    </row>
    <row r="394" spans="1:11">
      <c r="A394" s="25" t="s">
        <v>994</v>
      </c>
      <c r="B394" s="26" t="s">
        <v>996</v>
      </c>
      <c r="C394" s="26"/>
      <c r="D394" s="26"/>
      <c r="E394" s="27"/>
      <c r="F394" s="197"/>
      <c r="G394" s="172">
        <f>SF!G56</f>
        <v>4.5540000000000003</v>
      </c>
      <c r="H394" s="34"/>
      <c r="I394" s="172">
        <f>SF!I56</f>
        <v>37.70712000000001</v>
      </c>
      <c r="J394" s="89"/>
      <c r="K394" s="376">
        <v>1</v>
      </c>
    </row>
    <row r="395" spans="1:11">
      <c r="A395" s="25" t="s">
        <v>217</v>
      </c>
      <c r="B395" s="26" t="s">
        <v>211</v>
      </c>
      <c r="C395" s="26"/>
      <c r="D395" s="26"/>
      <c r="E395" s="27"/>
      <c r="F395" s="197"/>
      <c r="G395" s="196">
        <f>SF!G58</f>
        <v>26.798532263701709</v>
      </c>
      <c r="H395" s="199"/>
      <c r="I395" s="172">
        <f>SF!I58</f>
        <v>147.28381289471153</v>
      </c>
      <c r="J395" s="195"/>
      <c r="K395" s="376">
        <v>0.3</v>
      </c>
    </row>
    <row r="396" spans="1:11">
      <c r="A396" s="278" t="s">
        <v>1135</v>
      </c>
      <c r="B396" s="262"/>
      <c r="C396" s="262"/>
      <c r="D396" s="262"/>
      <c r="E396" s="263"/>
      <c r="F396" s="279"/>
      <c r="G396" s="280"/>
      <c r="H396" s="264"/>
      <c r="I396" s="279"/>
      <c r="J396" s="264"/>
      <c r="K396" s="708">
        <v>1</v>
      </c>
    </row>
    <row r="397" spans="1:11">
      <c r="A397" s="25" t="s">
        <v>997</v>
      </c>
      <c r="B397" s="26" t="s">
        <v>988</v>
      </c>
      <c r="C397" s="26"/>
      <c r="D397" s="26"/>
      <c r="E397" s="27"/>
      <c r="F397" s="197"/>
      <c r="G397" s="211"/>
      <c r="H397" s="254">
        <f>SF!H67</f>
        <v>47.410919999999997</v>
      </c>
      <c r="I397" s="197"/>
      <c r="J397" s="254">
        <f>SF!J67</f>
        <v>433.10062959257624</v>
      </c>
      <c r="K397" s="268">
        <v>1</v>
      </c>
    </row>
    <row r="398" spans="1:11">
      <c r="A398" s="25" t="s">
        <v>998</v>
      </c>
      <c r="B398" s="26" t="s">
        <v>989</v>
      </c>
      <c r="C398" s="26"/>
      <c r="D398" s="26"/>
      <c r="E398" s="27"/>
      <c r="F398" s="197"/>
      <c r="G398" s="211"/>
      <c r="H398" s="254">
        <f>SF!H68</f>
        <v>47.410919999999997</v>
      </c>
      <c r="I398" s="197"/>
      <c r="J398" s="254">
        <f>SF!J68</f>
        <v>433.10062959257624</v>
      </c>
      <c r="K398" s="376">
        <v>1</v>
      </c>
    </row>
    <row r="399" spans="1:11">
      <c r="A399" s="25" t="s">
        <v>1004</v>
      </c>
      <c r="B399" s="26" t="s">
        <v>1000</v>
      </c>
      <c r="C399" s="26"/>
      <c r="D399" s="26"/>
      <c r="E399" s="27"/>
      <c r="F399" s="197"/>
      <c r="G399" s="211"/>
      <c r="H399" s="254">
        <f>SF!H72</f>
        <v>10.555984799999999</v>
      </c>
      <c r="I399" s="197"/>
      <c r="J399" s="254">
        <f>SF!J72</f>
        <v>115.74637333199999</v>
      </c>
      <c r="K399" s="376">
        <v>0.2</v>
      </c>
    </row>
    <row r="400" spans="1:11">
      <c r="A400" s="25" t="s">
        <v>1005</v>
      </c>
      <c r="B400" s="26" t="s">
        <v>1001</v>
      </c>
      <c r="C400" s="26"/>
      <c r="D400" s="26"/>
      <c r="E400" s="27"/>
      <c r="F400" s="197"/>
      <c r="G400" s="211"/>
      <c r="H400" s="254">
        <f>SF!H73</f>
        <v>12.18002091428572</v>
      </c>
      <c r="I400" s="197"/>
      <c r="J400" s="254">
        <f>SF!J73</f>
        <v>133.55392932514292</v>
      </c>
      <c r="K400" s="376">
        <v>0.2</v>
      </c>
    </row>
    <row r="401" spans="1:11">
      <c r="A401" s="25" t="s">
        <v>1006</v>
      </c>
      <c r="B401" s="26" t="s">
        <v>211</v>
      </c>
      <c r="C401" s="26"/>
      <c r="D401" s="26"/>
      <c r="E401" s="27"/>
      <c r="F401" s="197"/>
      <c r="G401" s="195"/>
      <c r="H401" s="254">
        <f>SF!H78</f>
        <v>26.798532263701709</v>
      </c>
      <c r="I401" s="195"/>
      <c r="J401" s="254">
        <f>SF!J78</f>
        <v>147.28381289471153</v>
      </c>
      <c r="K401" s="376">
        <v>1</v>
      </c>
    </row>
    <row r="402" spans="1:11">
      <c r="A402" s="290" t="s">
        <v>1137</v>
      </c>
      <c r="B402" s="11"/>
      <c r="C402" s="11"/>
      <c r="D402" s="11"/>
      <c r="E402" s="191"/>
      <c r="F402" s="197"/>
      <c r="G402" s="211"/>
      <c r="H402" s="89"/>
      <c r="I402" s="197"/>
      <c r="J402" s="89"/>
      <c r="K402" s="994">
        <v>0.3</v>
      </c>
    </row>
    <row r="403" spans="1:11">
      <c r="A403" s="25" t="s">
        <v>1007</v>
      </c>
      <c r="B403" s="26" t="s">
        <v>988</v>
      </c>
      <c r="C403" s="26"/>
      <c r="D403" s="26"/>
      <c r="E403" s="27"/>
      <c r="F403" s="196">
        <f>SF!F87</f>
        <v>31.607279999999999</v>
      </c>
      <c r="G403" s="211"/>
      <c r="H403" s="34"/>
      <c r="I403" s="196">
        <f>SF!I87</f>
        <v>-15.140358000000003</v>
      </c>
      <c r="J403" s="196">
        <f>SF!J87</f>
        <v>0</v>
      </c>
      <c r="K403" s="376">
        <v>-0.3</v>
      </c>
    </row>
    <row r="404" spans="1:11">
      <c r="A404" s="25" t="s">
        <v>1008</v>
      </c>
      <c r="B404" s="26" t="s">
        <v>989</v>
      </c>
      <c r="C404" s="26"/>
      <c r="D404" s="26"/>
      <c r="E404" s="27"/>
      <c r="F404" s="196">
        <f>SF!F88</f>
        <v>31.607279999999999</v>
      </c>
      <c r="G404" s="211"/>
      <c r="H404" s="34"/>
      <c r="I404" s="196">
        <f>SF!I88</f>
        <v>15.140358000000003</v>
      </c>
      <c r="J404" s="196">
        <f>SF!J88</f>
        <v>0</v>
      </c>
      <c r="K404" s="268">
        <v>-0.3</v>
      </c>
    </row>
    <row r="405" spans="1:11">
      <c r="A405" s="25" t="s">
        <v>1009</v>
      </c>
      <c r="B405" s="26" t="s">
        <v>1000</v>
      </c>
      <c r="C405" s="26"/>
      <c r="D405" s="26"/>
      <c r="E405" s="27"/>
      <c r="F405" s="196">
        <f>SF!F92</f>
        <v>7.0373232000000003</v>
      </c>
      <c r="G405" s="211"/>
      <c r="H405" s="34"/>
      <c r="I405" s="196">
        <f>SF!I92</f>
        <v>-3.5186616000000002</v>
      </c>
      <c r="J405" s="196">
        <f>SF!J92</f>
        <v>-1.0914190890810807</v>
      </c>
      <c r="K405" s="268">
        <v>-0.06</v>
      </c>
    </row>
    <row r="406" spans="1:11">
      <c r="A406" s="25" t="s">
        <v>1010</v>
      </c>
      <c r="B406" s="26" t="s">
        <v>1001</v>
      </c>
      <c r="C406" s="26"/>
      <c r="D406" s="26"/>
      <c r="E406" s="27"/>
      <c r="F406" s="196">
        <f>SF!F93</f>
        <v>8.1200139428571472</v>
      </c>
      <c r="G406" s="211"/>
      <c r="H406" s="34"/>
      <c r="I406" s="196">
        <f>SF!I93</f>
        <v>4.0600069714285736</v>
      </c>
      <c r="J406" s="196">
        <f>SF!J93</f>
        <v>-1.259333693930502</v>
      </c>
      <c r="K406" s="268">
        <v>-0.06</v>
      </c>
    </row>
    <row r="407" spans="1:11">
      <c r="A407" s="25" t="s">
        <v>1011</v>
      </c>
      <c r="B407" s="26" t="s">
        <v>211</v>
      </c>
      <c r="C407" s="26"/>
      <c r="D407" s="26"/>
      <c r="E407" s="27"/>
      <c r="F407" s="196">
        <f>SF!F98</f>
        <v>17.865688175801139</v>
      </c>
      <c r="G407" s="211"/>
      <c r="H407" s="197"/>
      <c r="I407" s="196">
        <f>SF!I98</f>
        <v>0</v>
      </c>
      <c r="J407" s="196">
        <f>SF!J98</f>
        <v>0</v>
      </c>
      <c r="K407" s="268">
        <v>-0.3</v>
      </c>
    </row>
    <row r="408" spans="1:11">
      <c r="A408" s="253"/>
      <c r="B408" s="15"/>
      <c r="C408" s="15"/>
      <c r="D408" s="15"/>
      <c r="E408" s="22"/>
      <c r="F408" s="212"/>
      <c r="G408" s="213"/>
      <c r="H408" s="198"/>
      <c r="I408" s="198"/>
      <c r="J408" s="58"/>
      <c r="K408" s="379"/>
    </row>
    <row r="409" spans="1:11">
      <c r="A409" s="46"/>
      <c r="B409" s="46"/>
      <c r="C409" s="46"/>
      <c r="D409" s="46"/>
      <c r="E409" s="46"/>
      <c r="F409" s="46"/>
      <c r="G409" s="46"/>
      <c r="H409" s="46"/>
      <c r="I409" s="46"/>
      <c r="J409" s="46"/>
      <c r="K409" s="87"/>
    </row>
    <row r="410" spans="1:11">
      <c r="A410" s="220" t="s">
        <v>73</v>
      </c>
      <c r="B410" s="220" t="s">
        <v>74</v>
      </c>
      <c r="C410" s="200"/>
      <c r="D410" s="200"/>
      <c r="E410" s="217"/>
      <c r="F410" s="1636" t="s">
        <v>72</v>
      </c>
      <c r="G410" s="1637"/>
      <c r="H410" s="1637"/>
      <c r="I410" s="1637"/>
      <c r="J410" s="1638"/>
      <c r="K410" s="87"/>
    </row>
    <row r="411" spans="1:11" ht="18">
      <c r="A411" s="221"/>
      <c r="B411" s="221"/>
      <c r="C411" s="201"/>
      <c r="D411" s="201"/>
      <c r="E411" s="219"/>
      <c r="F411" s="223" t="s">
        <v>23</v>
      </c>
      <c r="G411" s="223" t="s">
        <v>87</v>
      </c>
      <c r="H411" s="223" t="s">
        <v>212</v>
      </c>
      <c r="I411" s="223" t="s">
        <v>80</v>
      </c>
      <c r="J411" s="223" t="s">
        <v>81</v>
      </c>
      <c r="K411" s="87"/>
    </row>
    <row r="412" spans="1:11">
      <c r="A412" s="222"/>
      <c r="B412" s="222"/>
      <c r="C412" s="203"/>
      <c r="D412" s="203"/>
      <c r="E412" s="218"/>
      <c r="F412" s="204" t="s">
        <v>34</v>
      </c>
      <c r="G412" s="204" t="s">
        <v>34</v>
      </c>
      <c r="H412" s="203" t="s">
        <v>34</v>
      </c>
      <c r="I412" s="204" t="s">
        <v>77</v>
      </c>
      <c r="J412" s="204" t="s">
        <v>77</v>
      </c>
      <c r="K412" s="87"/>
    </row>
    <row r="413" spans="1:11">
      <c r="A413" s="202"/>
      <c r="B413" s="200"/>
      <c r="C413" s="200"/>
      <c r="D413" s="200"/>
      <c r="E413" s="217"/>
      <c r="F413" s="205"/>
      <c r="G413" s="205"/>
      <c r="H413" s="201"/>
      <c r="I413" s="205"/>
      <c r="J413" s="205"/>
      <c r="K413" s="87"/>
    </row>
    <row r="414" spans="1:11">
      <c r="A414" s="205" t="str">
        <f>A379</f>
        <v>LC-14</v>
      </c>
      <c r="B414" s="201" t="str">
        <f>B379</f>
        <v>LC-3 + Seismic Sx=0.3,Sz=1,Sy=-0.3</v>
      </c>
      <c r="C414" s="201"/>
      <c r="D414" s="201"/>
      <c r="E414" s="219"/>
      <c r="F414" s="205">
        <f>SUMPRODUCT(F382:F407,$K$382:$K$407)</f>
        <v>989.8826934853638</v>
      </c>
      <c r="G414" s="1080">
        <f>SUMPRODUCT(G382:G407,$K$382:$K$407)</f>
        <v>41.04011167911051</v>
      </c>
      <c r="H414" s="1080">
        <f>SUMPRODUCT(H382:H407,$K$382:$K$407)</f>
        <v>126.16757340655886</v>
      </c>
      <c r="I414" s="1080">
        <f>SUMPRODUCT(I382:I407,$K$382:$K$407)</f>
        <v>318.39972513469917</v>
      </c>
      <c r="J414" s="1080">
        <f>SUMPRODUCT(J382:J407,$K$382:$K$407)</f>
        <v>1059.1329318838073</v>
      </c>
      <c r="K414" s="87"/>
    </row>
    <row r="415" spans="1:11">
      <c r="A415" s="204"/>
      <c r="B415" s="203"/>
      <c r="C415" s="203"/>
      <c r="D415" s="203"/>
      <c r="E415" s="218"/>
      <c r="F415" s="204"/>
      <c r="G415" s="204"/>
      <c r="H415" s="203"/>
      <c r="I415" s="204"/>
      <c r="J415" s="204"/>
      <c r="K415" s="87"/>
    </row>
    <row r="418" spans="1:11">
      <c r="A418" s="1318" t="str">
        <f>K418</f>
        <v>LC-15</v>
      </c>
      <c r="B418" s="24" t="str">
        <f>VLOOKUP(A418,LC_DEF_2!A3:B42,2,FALSE)</f>
        <v>LC-3 + Seismic Sx=1,Sz=0.3,Sy=0.3</v>
      </c>
      <c r="C418" s="24"/>
      <c r="D418" s="24"/>
      <c r="E418" s="21"/>
      <c r="F418" s="1635" t="s">
        <v>742</v>
      </c>
      <c r="G418" s="1635"/>
      <c r="H418" s="1635"/>
      <c r="I418" s="1635"/>
      <c r="J418" s="1600"/>
      <c r="K418" s="413" t="s">
        <v>241</v>
      </c>
    </row>
    <row r="419" spans="1:11" ht="18">
      <c r="A419" s="25" t="s">
        <v>73</v>
      </c>
      <c r="B419" s="26" t="s">
        <v>74</v>
      </c>
      <c r="C419" s="26"/>
      <c r="D419" s="26"/>
      <c r="E419" s="27"/>
      <c r="F419" s="32" t="s">
        <v>23</v>
      </c>
      <c r="G419" s="33" t="s">
        <v>87</v>
      </c>
      <c r="H419" s="33" t="s">
        <v>212</v>
      </c>
      <c r="I419" s="33" t="s">
        <v>80</v>
      </c>
      <c r="J419" s="33" t="s">
        <v>81</v>
      </c>
      <c r="K419" s="376"/>
    </row>
    <row r="420" spans="1:11">
      <c r="A420" s="28"/>
      <c r="B420" s="15"/>
      <c r="C420" s="15"/>
      <c r="D420" s="15"/>
      <c r="E420" s="22"/>
      <c r="F420" s="21" t="s">
        <v>34</v>
      </c>
      <c r="G420" s="36" t="s">
        <v>34</v>
      </c>
      <c r="H420" s="36" t="s">
        <v>34</v>
      </c>
      <c r="I420" s="36" t="s">
        <v>77</v>
      </c>
      <c r="J420" s="36" t="s">
        <v>77</v>
      </c>
      <c r="K420" s="376"/>
    </row>
    <row r="421" spans="1:11">
      <c r="A421" s="25" t="s">
        <v>88</v>
      </c>
      <c r="B421" s="26" t="s">
        <v>75</v>
      </c>
      <c r="C421" s="26"/>
      <c r="D421" s="26"/>
      <c r="E421" s="27"/>
      <c r="F421" s="195">
        <f>SF!F14</f>
        <v>365.08803866482532</v>
      </c>
      <c r="G421" s="210"/>
      <c r="H421" s="34"/>
      <c r="I421" s="195">
        <f>SF!I14</f>
        <v>0</v>
      </c>
      <c r="J421" s="195">
        <f>SF!J14</f>
        <v>0</v>
      </c>
      <c r="K421" s="268">
        <v>1</v>
      </c>
    </row>
    <row r="422" spans="1:11">
      <c r="A422" s="25" t="s">
        <v>90</v>
      </c>
      <c r="B422" s="26" t="s">
        <v>249</v>
      </c>
      <c r="C422" s="26"/>
      <c r="D422" s="26"/>
      <c r="E422" s="27"/>
      <c r="F422" s="195">
        <f>SF!F16</f>
        <v>36.639026644707663</v>
      </c>
      <c r="G422" s="210"/>
      <c r="H422" s="34"/>
      <c r="I422" s="195">
        <f>SF!I16</f>
        <v>0</v>
      </c>
      <c r="J422" s="195">
        <f>SF!J16</f>
        <v>0</v>
      </c>
      <c r="K422" s="268">
        <v>1</v>
      </c>
    </row>
    <row r="423" spans="1:11">
      <c r="A423" s="25" t="s">
        <v>250</v>
      </c>
      <c r="B423" s="26" t="s">
        <v>967</v>
      </c>
      <c r="C423" s="26"/>
      <c r="D423" s="26"/>
      <c r="E423" s="27"/>
      <c r="F423" s="195">
        <f>SF!F19</f>
        <v>230</v>
      </c>
      <c r="G423" s="27"/>
      <c r="H423" s="34"/>
      <c r="I423" s="195">
        <f>SF!I19</f>
        <v>-115</v>
      </c>
      <c r="J423" s="195">
        <f>SF!J19</f>
        <v>0</v>
      </c>
      <c r="K423" s="376">
        <v>1</v>
      </c>
    </row>
    <row r="424" spans="1:11">
      <c r="A424" s="25" t="s">
        <v>251</v>
      </c>
      <c r="B424" s="26" t="s">
        <v>968</v>
      </c>
      <c r="C424" s="26"/>
      <c r="D424" s="26"/>
      <c r="E424" s="27"/>
      <c r="F424" s="195">
        <f>SF!F20</f>
        <v>20.660000000000004</v>
      </c>
      <c r="G424" s="27"/>
      <c r="H424" s="34"/>
      <c r="I424" s="195">
        <f>SF!I20</f>
        <v>-10.330000000000002</v>
      </c>
      <c r="J424" s="195">
        <f>SF!J20</f>
        <v>0</v>
      </c>
      <c r="K424" s="376">
        <v>1</v>
      </c>
    </row>
    <row r="425" spans="1:11">
      <c r="A425" s="25" t="s">
        <v>97</v>
      </c>
      <c r="B425" s="26" t="s">
        <v>969</v>
      </c>
      <c r="C425" s="26"/>
      <c r="D425" s="26"/>
      <c r="E425" s="27"/>
      <c r="F425" s="195">
        <f>SF!F21</f>
        <v>42</v>
      </c>
      <c r="G425" s="27"/>
      <c r="H425" s="34"/>
      <c r="I425" s="195">
        <f>SF!I21</f>
        <v>-14.858499999999999</v>
      </c>
      <c r="J425" s="195">
        <f>SF!J21</f>
        <v>0</v>
      </c>
      <c r="K425" s="376">
        <v>1</v>
      </c>
    </row>
    <row r="426" spans="1:11">
      <c r="A426" s="25" t="s">
        <v>250</v>
      </c>
      <c r="B426" s="26" t="s">
        <v>970</v>
      </c>
      <c r="C426" s="26"/>
      <c r="D426" s="26"/>
      <c r="E426" s="27"/>
      <c r="F426" s="195">
        <f>SF!F23</f>
        <v>230</v>
      </c>
      <c r="G426" s="27"/>
      <c r="H426" s="34"/>
      <c r="I426" s="195">
        <f>SF!I23</f>
        <v>115</v>
      </c>
      <c r="J426" s="195">
        <f>SF!J23</f>
        <v>0</v>
      </c>
      <c r="K426" s="376">
        <v>1</v>
      </c>
    </row>
    <row r="427" spans="1:11">
      <c r="A427" s="25" t="s">
        <v>251</v>
      </c>
      <c r="B427" s="26" t="s">
        <v>971</v>
      </c>
      <c r="C427" s="26"/>
      <c r="D427" s="26"/>
      <c r="E427" s="27"/>
      <c r="F427" s="195">
        <f>SF!F24</f>
        <v>20.660000000000004</v>
      </c>
      <c r="G427" s="27"/>
      <c r="H427" s="34"/>
      <c r="I427" s="195">
        <f>SF!I24</f>
        <v>10.330000000000002</v>
      </c>
      <c r="J427" s="195">
        <f>SF!J24</f>
        <v>0</v>
      </c>
      <c r="K427" s="268">
        <v>1</v>
      </c>
    </row>
    <row r="428" spans="1:11">
      <c r="A428" s="25" t="s">
        <v>97</v>
      </c>
      <c r="B428" s="26" t="s">
        <v>972</v>
      </c>
      <c r="C428" s="26"/>
      <c r="D428" s="26"/>
      <c r="E428" s="27"/>
      <c r="F428" s="195">
        <f>SF!F25</f>
        <v>42</v>
      </c>
      <c r="G428" s="27"/>
      <c r="H428" s="34"/>
      <c r="I428" s="195">
        <f>SF!I25</f>
        <v>14.858499999999999</v>
      </c>
      <c r="J428" s="195">
        <f>SF!J25</f>
        <v>0</v>
      </c>
      <c r="K428" s="376">
        <v>1</v>
      </c>
    </row>
    <row r="429" spans="1:11">
      <c r="A429" s="25" t="s">
        <v>976</v>
      </c>
      <c r="B429" s="26" t="s">
        <v>978</v>
      </c>
      <c r="C429" s="26"/>
      <c r="D429" s="26"/>
      <c r="E429" s="27"/>
      <c r="F429" s="195">
        <f>SF!F29</f>
        <v>65.160399999999996</v>
      </c>
      <c r="G429" s="27"/>
      <c r="H429" s="34"/>
      <c r="I429" s="195">
        <f>SF!I29</f>
        <v>-32.580199999999998</v>
      </c>
      <c r="J429" s="195">
        <f>SF!J29</f>
        <v>-10.105732306306301</v>
      </c>
      <c r="K429" s="268">
        <v>0.2</v>
      </c>
    </row>
    <row r="430" spans="1:11">
      <c r="A430" s="25" t="s">
        <v>977</v>
      </c>
      <c r="B430" s="26" t="s">
        <v>979</v>
      </c>
      <c r="C430" s="26"/>
      <c r="D430" s="26"/>
      <c r="E430" s="27"/>
      <c r="F430" s="195">
        <f>SF!F30</f>
        <v>75.185314285714313</v>
      </c>
      <c r="G430" s="27"/>
      <c r="H430" s="34"/>
      <c r="I430" s="195">
        <f>SF!I30</f>
        <v>37.592657142857156</v>
      </c>
      <c r="J430" s="195">
        <f>SF!J30</f>
        <v>-11.660497166023164</v>
      </c>
      <c r="K430" s="268">
        <v>0.2</v>
      </c>
    </row>
    <row r="431" spans="1:11">
      <c r="A431" s="278" t="s">
        <v>1132</v>
      </c>
      <c r="B431" s="262"/>
      <c r="C431" s="262"/>
      <c r="D431" s="262"/>
      <c r="E431" s="263"/>
      <c r="F431" s="279"/>
      <c r="G431" s="280"/>
      <c r="H431" s="264"/>
      <c r="I431" s="279"/>
      <c r="J431" s="264"/>
      <c r="K431" s="650">
        <v>1</v>
      </c>
    </row>
    <row r="432" spans="1:11">
      <c r="A432" s="25" t="s">
        <v>991</v>
      </c>
      <c r="B432" s="26" t="s">
        <v>989</v>
      </c>
      <c r="C432" s="26"/>
      <c r="D432" s="26"/>
      <c r="E432" s="27"/>
      <c r="F432" s="197"/>
      <c r="G432" s="172">
        <f>SF!G52</f>
        <v>94.821839999999995</v>
      </c>
      <c r="H432" s="34"/>
      <c r="I432" s="172">
        <f>SF!I52</f>
        <v>785.12483520000001</v>
      </c>
      <c r="J432" s="89"/>
      <c r="K432" s="268">
        <v>1</v>
      </c>
    </row>
    <row r="433" spans="1:11">
      <c r="A433" s="25" t="s">
        <v>994</v>
      </c>
      <c r="B433" s="26" t="s">
        <v>996</v>
      </c>
      <c r="C433" s="26"/>
      <c r="D433" s="26"/>
      <c r="E433" s="27"/>
      <c r="F433" s="197"/>
      <c r="G433" s="172">
        <f>SF!G56</f>
        <v>4.5540000000000003</v>
      </c>
      <c r="H433" s="34"/>
      <c r="I433" s="172">
        <f>SF!I56</f>
        <v>37.70712000000001</v>
      </c>
      <c r="J433" s="89"/>
      <c r="K433" s="376">
        <v>1</v>
      </c>
    </row>
    <row r="434" spans="1:11">
      <c r="A434" s="25" t="s">
        <v>217</v>
      </c>
      <c r="B434" s="26" t="s">
        <v>211</v>
      </c>
      <c r="C434" s="26"/>
      <c r="D434" s="26"/>
      <c r="E434" s="27"/>
      <c r="F434" s="197"/>
      <c r="G434" s="196">
        <f>SF!G58</f>
        <v>26.798532263701709</v>
      </c>
      <c r="H434" s="199"/>
      <c r="I434" s="172">
        <f>SF!I58</f>
        <v>147.28381289471153</v>
      </c>
      <c r="J434" s="195"/>
      <c r="K434" s="376">
        <v>1</v>
      </c>
    </row>
    <row r="435" spans="1:11">
      <c r="A435" s="278" t="s">
        <v>1135</v>
      </c>
      <c r="B435" s="262"/>
      <c r="C435" s="262"/>
      <c r="D435" s="262"/>
      <c r="E435" s="263"/>
      <c r="F435" s="279"/>
      <c r="G435" s="280"/>
      <c r="H435" s="264"/>
      <c r="I435" s="279"/>
      <c r="J435" s="264"/>
      <c r="K435" s="708">
        <v>0.3</v>
      </c>
    </row>
    <row r="436" spans="1:11">
      <c r="A436" s="25" t="s">
        <v>997</v>
      </c>
      <c r="B436" s="26" t="s">
        <v>988</v>
      </c>
      <c r="C436" s="26"/>
      <c r="D436" s="26"/>
      <c r="E436" s="27"/>
      <c r="F436" s="197"/>
      <c r="G436" s="211"/>
      <c r="H436" s="254">
        <f>SF!H67</f>
        <v>47.410919999999997</v>
      </c>
      <c r="I436" s="197"/>
      <c r="J436" s="254">
        <f>SF!J67</f>
        <v>433.10062959257624</v>
      </c>
      <c r="K436" s="268">
        <v>0.3</v>
      </c>
    </row>
    <row r="437" spans="1:11">
      <c r="A437" s="25" t="s">
        <v>998</v>
      </c>
      <c r="B437" s="26" t="s">
        <v>989</v>
      </c>
      <c r="C437" s="26"/>
      <c r="D437" s="26"/>
      <c r="E437" s="27"/>
      <c r="F437" s="197"/>
      <c r="G437" s="211"/>
      <c r="H437" s="254">
        <f>SF!H68</f>
        <v>47.410919999999997</v>
      </c>
      <c r="I437" s="197"/>
      <c r="J437" s="254">
        <f>SF!J68</f>
        <v>433.10062959257624</v>
      </c>
      <c r="K437" s="376">
        <v>0.3</v>
      </c>
    </row>
    <row r="438" spans="1:11">
      <c r="A438" s="25" t="s">
        <v>1004</v>
      </c>
      <c r="B438" s="26" t="s">
        <v>1000</v>
      </c>
      <c r="C438" s="26"/>
      <c r="D438" s="26"/>
      <c r="E438" s="27"/>
      <c r="F438" s="197"/>
      <c r="G438" s="211"/>
      <c r="H438" s="254">
        <f>SF!H72</f>
        <v>10.555984799999999</v>
      </c>
      <c r="I438" s="197"/>
      <c r="J438" s="254">
        <f>SF!J72</f>
        <v>115.74637333199999</v>
      </c>
      <c r="K438" s="376">
        <v>0.06</v>
      </c>
    </row>
    <row r="439" spans="1:11">
      <c r="A439" s="25" t="s">
        <v>1005</v>
      </c>
      <c r="B439" s="26" t="s">
        <v>1001</v>
      </c>
      <c r="C439" s="26"/>
      <c r="D439" s="26"/>
      <c r="E439" s="27"/>
      <c r="F439" s="197"/>
      <c r="G439" s="211"/>
      <c r="H439" s="254">
        <f>SF!H73</f>
        <v>12.18002091428572</v>
      </c>
      <c r="I439" s="197"/>
      <c r="J439" s="254">
        <f>SF!J73</f>
        <v>133.55392932514292</v>
      </c>
      <c r="K439" s="376">
        <v>0.06</v>
      </c>
    </row>
    <row r="440" spans="1:11">
      <c r="A440" s="25" t="s">
        <v>1006</v>
      </c>
      <c r="B440" s="26" t="s">
        <v>211</v>
      </c>
      <c r="C440" s="26"/>
      <c r="D440" s="26"/>
      <c r="E440" s="27"/>
      <c r="F440" s="197"/>
      <c r="G440" s="195"/>
      <c r="H440" s="254">
        <f>SF!H78</f>
        <v>26.798532263701709</v>
      </c>
      <c r="I440" s="195"/>
      <c r="J440" s="254">
        <f>SF!J78</f>
        <v>147.28381289471153</v>
      </c>
      <c r="K440" s="376">
        <v>0.3</v>
      </c>
    </row>
    <row r="441" spans="1:11">
      <c r="A441" s="290" t="s">
        <v>1137</v>
      </c>
      <c r="B441" s="11"/>
      <c r="C441" s="11"/>
      <c r="D441" s="11"/>
      <c r="E441" s="191"/>
      <c r="F441" s="197"/>
      <c r="G441" s="211"/>
      <c r="H441" s="89"/>
      <c r="I441" s="197"/>
      <c r="J441" s="89"/>
      <c r="K441" s="994">
        <v>0.3</v>
      </c>
    </row>
    <row r="442" spans="1:11">
      <c r="A442" s="25" t="s">
        <v>1007</v>
      </c>
      <c r="B442" s="26" t="s">
        <v>988</v>
      </c>
      <c r="C442" s="26"/>
      <c r="D442" s="26"/>
      <c r="E442" s="27"/>
      <c r="F442" s="196">
        <f>SF!F87</f>
        <v>31.607279999999999</v>
      </c>
      <c r="G442" s="211"/>
      <c r="H442" s="34"/>
      <c r="I442" s="196">
        <f>SF!I87</f>
        <v>-15.140358000000003</v>
      </c>
      <c r="J442" s="196">
        <f>SF!J87</f>
        <v>0</v>
      </c>
      <c r="K442" s="376">
        <v>0.3</v>
      </c>
    </row>
    <row r="443" spans="1:11">
      <c r="A443" s="25" t="s">
        <v>1008</v>
      </c>
      <c r="B443" s="26" t="s">
        <v>989</v>
      </c>
      <c r="C443" s="26"/>
      <c r="D443" s="26"/>
      <c r="E443" s="27"/>
      <c r="F443" s="196">
        <f>SF!F88</f>
        <v>31.607279999999999</v>
      </c>
      <c r="G443" s="211"/>
      <c r="H443" s="34"/>
      <c r="I443" s="196">
        <f>SF!I88</f>
        <v>15.140358000000003</v>
      </c>
      <c r="J443" s="196">
        <f>SF!J88</f>
        <v>0</v>
      </c>
      <c r="K443" s="268">
        <v>0.3</v>
      </c>
    </row>
    <row r="444" spans="1:11">
      <c r="A444" s="25" t="s">
        <v>1009</v>
      </c>
      <c r="B444" s="26" t="s">
        <v>1000</v>
      </c>
      <c r="C444" s="26"/>
      <c r="D444" s="26"/>
      <c r="E444" s="27"/>
      <c r="F444" s="196">
        <f>SF!F92</f>
        <v>7.0373232000000003</v>
      </c>
      <c r="G444" s="211"/>
      <c r="H444" s="34"/>
      <c r="I444" s="196">
        <f>SF!I92</f>
        <v>-3.5186616000000002</v>
      </c>
      <c r="J444" s="196">
        <f>SF!J92</f>
        <v>-1.0914190890810807</v>
      </c>
      <c r="K444" s="268">
        <v>0.06</v>
      </c>
    </row>
    <row r="445" spans="1:11">
      <c r="A445" s="25" t="s">
        <v>1010</v>
      </c>
      <c r="B445" s="26" t="s">
        <v>1001</v>
      </c>
      <c r="C445" s="26"/>
      <c r="D445" s="26"/>
      <c r="E445" s="27"/>
      <c r="F445" s="196">
        <f>SF!F93</f>
        <v>8.1200139428571472</v>
      </c>
      <c r="G445" s="211"/>
      <c r="H445" s="34"/>
      <c r="I445" s="196">
        <f>SF!I93</f>
        <v>4.0600069714285736</v>
      </c>
      <c r="J445" s="196">
        <f>SF!J93</f>
        <v>-1.259333693930502</v>
      </c>
      <c r="K445" s="268">
        <v>0.06</v>
      </c>
    </row>
    <row r="446" spans="1:11">
      <c r="A446" s="25" t="s">
        <v>1011</v>
      </c>
      <c r="B446" s="26" t="s">
        <v>211</v>
      </c>
      <c r="C446" s="26"/>
      <c r="D446" s="26"/>
      <c r="E446" s="27"/>
      <c r="F446" s="196">
        <f>SF!F98</f>
        <v>17.865688175801139</v>
      </c>
      <c r="G446" s="211"/>
      <c r="H446" s="197"/>
      <c r="I446" s="196">
        <f>SF!I98</f>
        <v>0</v>
      </c>
      <c r="J446" s="196">
        <f>SF!J98</f>
        <v>0</v>
      </c>
      <c r="K446" s="268">
        <v>0.3</v>
      </c>
    </row>
    <row r="447" spans="1:11">
      <c r="A447" s="253"/>
      <c r="B447" s="15"/>
      <c r="C447" s="15"/>
      <c r="D447" s="15"/>
      <c r="E447" s="22"/>
      <c r="F447" s="212"/>
      <c r="G447" s="213"/>
      <c r="H447" s="198"/>
      <c r="I447" s="198"/>
      <c r="J447" s="58"/>
      <c r="K447" s="379"/>
    </row>
    <row r="448" spans="1:11">
      <c r="A448" s="46"/>
      <c r="B448" s="46"/>
      <c r="C448" s="46"/>
      <c r="D448" s="46"/>
      <c r="E448" s="46"/>
      <c r="F448" s="46"/>
      <c r="G448" s="46"/>
      <c r="H448" s="46"/>
      <c r="I448" s="46"/>
      <c r="J448" s="46"/>
      <c r="K448" s="87"/>
    </row>
    <row r="449" spans="1:11">
      <c r="A449" s="220" t="s">
        <v>73</v>
      </c>
      <c r="B449" s="220" t="s">
        <v>74</v>
      </c>
      <c r="C449" s="200"/>
      <c r="D449" s="200"/>
      <c r="E449" s="217"/>
      <c r="F449" s="1636" t="s">
        <v>72</v>
      </c>
      <c r="G449" s="1637"/>
      <c r="H449" s="1637"/>
      <c r="I449" s="1637"/>
      <c r="J449" s="1638"/>
      <c r="K449" s="87"/>
    </row>
    <row r="450" spans="1:11" ht="18">
      <c r="A450" s="221"/>
      <c r="B450" s="221"/>
      <c r="C450" s="201"/>
      <c r="D450" s="201"/>
      <c r="E450" s="219"/>
      <c r="F450" s="223" t="s">
        <v>23</v>
      </c>
      <c r="G450" s="223" t="s">
        <v>87</v>
      </c>
      <c r="H450" s="223" t="s">
        <v>212</v>
      </c>
      <c r="I450" s="223" t="s">
        <v>80</v>
      </c>
      <c r="J450" s="223" t="s">
        <v>81</v>
      </c>
      <c r="K450" s="87"/>
    </row>
    <row r="451" spans="1:11">
      <c r="A451" s="222"/>
      <c r="B451" s="222"/>
      <c r="C451" s="203"/>
      <c r="D451" s="203"/>
      <c r="E451" s="218"/>
      <c r="F451" s="204" t="s">
        <v>34</v>
      </c>
      <c r="G451" s="204" t="s">
        <v>34</v>
      </c>
      <c r="H451" s="203" t="s">
        <v>34</v>
      </c>
      <c r="I451" s="204" t="s">
        <v>77</v>
      </c>
      <c r="J451" s="204" t="s">
        <v>77</v>
      </c>
      <c r="K451" s="87"/>
    </row>
    <row r="452" spans="1:11">
      <c r="A452" s="202"/>
      <c r="B452" s="200"/>
      <c r="C452" s="200"/>
      <c r="D452" s="200"/>
      <c r="E452" s="217"/>
      <c r="F452" s="205"/>
      <c r="G452" s="205"/>
      <c r="H452" s="201"/>
      <c r="I452" s="205"/>
      <c r="J452" s="205"/>
      <c r="K452" s="87"/>
    </row>
    <row r="453" spans="1:11">
      <c r="A453" s="205" t="str">
        <f>A418</f>
        <v>LC-15</v>
      </c>
      <c r="B453" s="201" t="str">
        <f>B418</f>
        <v>LC-3 + Seismic Sx=1,Sz=0.3,Sy=0.3</v>
      </c>
      <c r="C453" s="201"/>
      <c r="D453" s="201"/>
      <c r="E453" s="219"/>
      <c r="F453" s="205">
        <f>SUMPRODUCT(F421:F446,$K$421:$K$446)</f>
        <v>1040.3497228479873</v>
      </c>
      <c r="G453" s="1080">
        <f>SUMPRODUCT(G421:G446,$K$421:$K$446)</f>
        <v>126.17437226370171</v>
      </c>
      <c r="H453" s="1080">
        <f>SUMPRODUCT(H421:H446,$K$421:$K$446)</f>
        <v>37.850272021967655</v>
      </c>
      <c r="I453" s="1080">
        <f>SUMPRODUCT(I421:I446,$K$421:$K$446)</f>
        <v>971.15074024556873</v>
      </c>
      <c r="J453" s="1080">
        <f>SUMPRODUCT(J421:J446,$K$421:$K$446)</f>
        <v>314.50924872194116</v>
      </c>
      <c r="K453" s="87"/>
    </row>
    <row r="454" spans="1:11">
      <c r="A454" s="204"/>
      <c r="B454" s="203"/>
      <c r="C454" s="203"/>
      <c r="D454" s="203"/>
      <c r="E454" s="218"/>
      <c r="F454" s="204"/>
      <c r="G454" s="204"/>
      <c r="H454" s="203"/>
      <c r="I454" s="204"/>
      <c r="J454" s="204"/>
      <c r="K454" s="87"/>
    </row>
    <row r="457" spans="1:11">
      <c r="A457" s="1318" t="str">
        <f>K457</f>
        <v>LC-16</v>
      </c>
      <c r="B457" s="24" t="str">
        <f>VLOOKUP(A457,LC_DEF_2!A3:B42,2,FALSE)</f>
        <v>LC-3 + Seismic Sx=0.3,Sz=1,Sy=0.3</v>
      </c>
      <c r="C457" s="24"/>
      <c r="D457" s="24"/>
      <c r="E457" s="21"/>
      <c r="F457" s="1635" t="s">
        <v>742</v>
      </c>
      <c r="G457" s="1635"/>
      <c r="H457" s="1635"/>
      <c r="I457" s="1635"/>
      <c r="J457" s="1600"/>
      <c r="K457" s="413" t="s">
        <v>242</v>
      </c>
    </row>
    <row r="458" spans="1:11" ht="18">
      <c r="A458" s="25" t="s">
        <v>73</v>
      </c>
      <c r="B458" s="26" t="s">
        <v>74</v>
      </c>
      <c r="C458" s="26"/>
      <c r="D458" s="26"/>
      <c r="E458" s="27"/>
      <c r="F458" s="32" t="s">
        <v>23</v>
      </c>
      <c r="G458" s="33" t="s">
        <v>87</v>
      </c>
      <c r="H458" s="33" t="s">
        <v>212</v>
      </c>
      <c r="I458" s="33" t="s">
        <v>80</v>
      </c>
      <c r="J458" s="33" t="s">
        <v>81</v>
      </c>
      <c r="K458" s="376"/>
    </row>
    <row r="459" spans="1:11">
      <c r="A459" s="28"/>
      <c r="B459" s="15"/>
      <c r="C459" s="15"/>
      <c r="D459" s="15"/>
      <c r="E459" s="22"/>
      <c r="F459" s="21" t="s">
        <v>34</v>
      </c>
      <c r="G459" s="36" t="s">
        <v>34</v>
      </c>
      <c r="H459" s="36" t="s">
        <v>34</v>
      </c>
      <c r="I459" s="36" t="s">
        <v>77</v>
      </c>
      <c r="J459" s="36" t="s">
        <v>77</v>
      </c>
      <c r="K459" s="376"/>
    </row>
    <row r="460" spans="1:11">
      <c r="A460" s="25" t="s">
        <v>88</v>
      </c>
      <c r="B460" s="26" t="s">
        <v>75</v>
      </c>
      <c r="C460" s="26"/>
      <c r="D460" s="26"/>
      <c r="E460" s="27"/>
      <c r="F460" s="195">
        <f>SF!F14</f>
        <v>365.08803866482532</v>
      </c>
      <c r="G460" s="210"/>
      <c r="H460" s="34"/>
      <c r="I460" s="195">
        <f>SF!I14</f>
        <v>0</v>
      </c>
      <c r="J460" s="195">
        <f>SF!J14</f>
        <v>0</v>
      </c>
      <c r="K460" s="268">
        <v>1</v>
      </c>
    </row>
    <row r="461" spans="1:11">
      <c r="A461" s="25" t="s">
        <v>90</v>
      </c>
      <c r="B461" s="26" t="s">
        <v>249</v>
      </c>
      <c r="C461" s="26"/>
      <c r="D461" s="26"/>
      <c r="E461" s="27"/>
      <c r="F461" s="195">
        <f>SF!F16</f>
        <v>36.639026644707663</v>
      </c>
      <c r="G461" s="210"/>
      <c r="H461" s="34"/>
      <c r="I461" s="195">
        <f>SF!I16</f>
        <v>0</v>
      </c>
      <c r="J461" s="195">
        <f>SF!J16</f>
        <v>0</v>
      </c>
      <c r="K461" s="268">
        <v>1</v>
      </c>
    </row>
    <row r="462" spans="1:11">
      <c r="A462" s="25" t="s">
        <v>250</v>
      </c>
      <c r="B462" s="26" t="s">
        <v>967</v>
      </c>
      <c r="C462" s="26"/>
      <c r="D462" s="26"/>
      <c r="E462" s="27"/>
      <c r="F462" s="195">
        <f>SF!F19</f>
        <v>230</v>
      </c>
      <c r="G462" s="27"/>
      <c r="H462" s="34"/>
      <c r="I462" s="195">
        <f>SF!I19</f>
        <v>-115</v>
      </c>
      <c r="J462" s="195">
        <f>SF!J19</f>
        <v>0</v>
      </c>
      <c r="K462" s="376">
        <v>1</v>
      </c>
    </row>
    <row r="463" spans="1:11">
      <c r="A463" s="25" t="s">
        <v>251</v>
      </c>
      <c r="B463" s="26" t="s">
        <v>968</v>
      </c>
      <c r="C463" s="26"/>
      <c r="D463" s="26"/>
      <c r="E463" s="27"/>
      <c r="F463" s="195">
        <f>SF!F20</f>
        <v>20.660000000000004</v>
      </c>
      <c r="G463" s="27"/>
      <c r="H463" s="34"/>
      <c r="I463" s="195">
        <f>SF!I20</f>
        <v>-10.330000000000002</v>
      </c>
      <c r="J463" s="195">
        <f>SF!J20</f>
        <v>0</v>
      </c>
      <c r="K463" s="376">
        <v>1</v>
      </c>
    </row>
    <row r="464" spans="1:11">
      <c r="A464" s="25" t="s">
        <v>97</v>
      </c>
      <c r="B464" s="26" t="s">
        <v>969</v>
      </c>
      <c r="C464" s="26"/>
      <c r="D464" s="26"/>
      <c r="E464" s="27"/>
      <c r="F464" s="195">
        <f>SF!F21</f>
        <v>42</v>
      </c>
      <c r="G464" s="27"/>
      <c r="H464" s="34"/>
      <c r="I464" s="195">
        <f>SF!I21</f>
        <v>-14.858499999999999</v>
      </c>
      <c r="J464" s="195">
        <f>SF!J21</f>
        <v>0</v>
      </c>
      <c r="K464" s="376">
        <v>1</v>
      </c>
    </row>
    <row r="465" spans="1:11">
      <c r="A465" s="25" t="s">
        <v>250</v>
      </c>
      <c r="B465" s="26" t="s">
        <v>970</v>
      </c>
      <c r="C465" s="26"/>
      <c r="D465" s="26"/>
      <c r="E465" s="27"/>
      <c r="F465" s="195">
        <f>SF!F23</f>
        <v>230</v>
      </c>
      <c r="G465" s="27"/>
      <c r="H465" s="34"/>
      <c r="I465" s="195">
        <f>SF!I23</f>
        <v>115</v>
      </c>
      <c r="J465" s="195">
        <f>SF!J23</f>
        <v>0</v>
      </c>
      <c r="K465" s="376">
        <v>1</v>
      </c>
    </row>
    <row r="466" spans="1:11">
      <c r="A466" s="25" t="s">
        <v>251</v>
      </c>
      <c r="B466" s="26" t="s">
        <v>971</v>
      </c>
      <c r="C466" s="26"/>
      <c r="D466" s="26"/>
      <c r="E466" s="27"/>
      <c r="F466" s="195">
        <f>SF!F24</f>
        <v>20.660000000000004</v>
      </c>
      <c r="G466" s="27"/>
      <c r="H466" s="34"/>
      <c r="I466" s="195">
        <f>SF!I24</f>
        <v>10.330000000000002</v>
      </c>
      <c r="J466" s="195">
        <f>SF!J24</f>
        <v>0</v>
      </c>
      <c r="K466" s="268">
        <v>1</v>
      </c>
    </row>
    <row r="467" spans="1:11">
      <c r="A467" s="25" t="s">
        <v>97</v>
      </c>
      <c r="B467" s="26" t="s">
        <v>972</v>
      </c>
      <c r="C467" s="26"/>
      <c r="D467" s="26"/>
      <c r="E467" s="27"/>
      <c r="F467" s="195">
        <f>SF!F25</f>
        <v>42</v>
      </c>
      <c r="G467" s="27"/>
      <c r="H467" s="34"/>
      <c r="I467" s="195">
        <f>SF!I25</f>
        <v>14.858499999999999</v>
      </c>
      <c r="J467" s="195">
        <f>SF!J25</f>
        <v>0</v>
      </c>
      <c r="K467" s="376">
        <v>1</v>
      </c>
    </row>
    <row r="468" spans="1:11">
      <c r="A468" s="25" t="s">
        <v>976</v>
      </c>
      <c r="B468" s="26" t="s">
        <v>978</v>
      </c>
      <c r="C468" s="26"/>
      <c r="D468" s="26"/>
      <c r="E468" s="27"/>
      <c r="F468" s="195">
        <f>SF!F29</f>
        <v>65.160399999999996</v>
      </c>
      <c r="G468" s="27"/>
      <c r="H468" s="34"/>
      <c r="I468" s="195">
        <f>SF!I29</f>
        <v>-32.580199999999998</v>
      </c>
      <c r="J468" s="195">
        <f>SF!J29</f>
        <v>-10.105732306306301</v>
      </c>
      <c r="K468" s="268">
        <v>0.2</v>
      </c>
    </row>
    <row r="469" spans="1:11">
      <c r="A469" s="25" t="s">
        <v>977</v>
      </c>
      <c r="B469" s="26" t="s">
        <v>979</v>
      </c>
      <c r="C469" s="26"/>
      <c r="D469" s="26"/>
      <c r="E469" s="27"/>
      <c r="F469" s="195">
        <f>SF!F30</f>
        <v>75.185314285714313</v>
      </c>
      <c r="G469" s="27"/>
      <c r="H469" s="34"/>
      <c r="I469" s="195">
        <f>SF!I30</f>
        <v>37.592657142857156</v>
      </c>
      <c r="J469" s="195">
        <f>SF!J30</f>
        <v>-11.660497166023164</v>
      </c>
      <c r="K469" s="268">
        <v>0.2</v>
      </c>
    </row>
    <row r="470" spans="1:11">
      <c r="A470" s="278" t="s">
        <v>1132</v>
      </c>
      <c r="B470" s="262"/>
      <c r="C470" s="262"/>
      <c r="D470" s="262"/>
      <c r="E470" s="263"/>
      <c r="F470" s="279"/>
      <c r="G470" s="280"/>
      <c r="H470" s="264"/>
      <c r="I470" s="279"/>
      <c r="J470" s="264"/>
      <c r="K470" s="650">
        <v>1</v>
      </c>
    </row>
    <row r="471" spans="1:11">
      <c r="A471" s="25" t="s">
        <v>991</v>
      </c>
      <c r="B471" s="26" t="s">
        <v>989</v>
      </c>
      <c r="C471" s="26"/>
      <c r="D471" s="26"/>
      <c r="E471" s="27"/>
      <c r="F471" s="197"/>
      <c r="G471" s="172">
        <f>SF!G52</f>
        <v>94.821839999999995</v>
      </c>
      <c r="H471" s="34"/>
      <c r="I471" s="172">
        <f>SF!I52</f>
        <v>785.12483520000001</v>
      </c>
      <c r="J471" s="89"/>
      <c r="K471" s="268">
        <v>0.3</v>
      </c>
    </row>
    <row r="472" spans="1:11">
      <c r="A472" s="25" t="s">
        <v>994</v>
      </c>
      <c r="B472" s="26" t="s">
        <v>996</v>
      </c>
      <c r="C472" s="26"/>
      <c r="D472" s="26"/>
      <c r="E472" s="27"/>
      <c r="F472" s="197"/>
      <c r="G472" s="172">
        <f>SF!G56</f>
        <v>4.5540000000000003</v>
      </c>
      <c r="H472" s="34"/>
      <c r="I472" s="172">
        <f>SF!I56</f>
        <v>37.70712000000001</v>
      </c>
      <c r="J472" s="89"/>
      <c r="K472" s="376">
        <v>1</v>
      </c>
    </row>
    <row r="473" spans="1:11">
      <c r="A473" s="25" t="s">
        <v>217</v>
      </c>
      <c r="B473" s="26" t="s">
        <v>211</v>
      </c>
      <c r="C473" s="26"/>
      <c r="D473" s="26"/>
      <c r="E473" s="27"/>
      <c r="F473" s="197"/>
      <c r="G473" s="196">
        <f>SF!G58</f>
        <v>26.798532263701709</v>
      </c>
      <c r="H473" s="199"/>
      <c r="I473" s="172">
        <f>SF!I58</f>
        <v>147.28381289471153</v>
      </c>
      <c r="J473" s="195"/>
      <c r="K473" s="376">
        <v>0.3</v>
      </c>
    </row>
    <row r="474" spans="1:11">
      <c r="A474" s="278" t="s">
        <v>1135</v>
      </c>
      <c r="B474" s="262"/>
      <c r="C474" s="262"/>
      <c r="D474" s="262"/>
      <c r="E474" s="263"/>
      <c r="F474" s="279"/>
      <c r="G474" s="280"/>
      <c r="H474" s="264"/>
      <c r="I474" s="279"/>
      <c r="J474" s="264"/>
      <c r="K474" s="708">
        <v>1</v>
      </c>
    </row>
    <row r="475" spans="1:11">
      <c r="A475" s="25" t="s">
        <v>997</v>
      </c>
      <c r="B475" s="26" t="s">
        <v>988</v>
      </c>
      <c r="C475" s="26"/>
      <c r="D475" s="26"/>
      <c r="E475" s="27"/>
      <c r="F475" s="197"/>
      <c r="G475" s="211"/>
      <c r="H475" s="254">
        <f>SF!H67</f>
        <v>47.410919999999997</v>
      </c>
      <c r="I475" s="197"/>
      <c r="J475" s="254">
        <f>SF!J67</f>
        <v>433.10062959257624</v>
      </c>
      <c r="K475" s="268">
        <v>1</v>
      </c>
    </row>
    <row r="476" spans="1:11">
      <c r="A476" s="25" t="s">
        <v>998</v>
      </c>
      <c r="B476" s="26" t="s">
        <v>989</v>
      </c>
      <c r="C476" s="26"/>
      <c r="D476" s="26"/>
      <c r="E476" s="27"/>
      <c r="F476" s="197"/>
      <c r="G476" s="211"/>
      <c r="H476" s="254">
        <f>SF!H68</f>
        <v>47.410919999999997</v>
      </c>
      <c r="I476" s="197"/>
      <c r="J476" s="254">
        <f>SF!J68</f>
        <v>433.10062959257624</v>
      </c>
      <c r="K476" s="376">
        <v>1</v>
      </c>
    </row>
    <row r="477" spans="1:11">
      <c r="A477" s="25" t="s">
        <v>1004</v>
      </c>
      <c r="B477" s="26" t="s">
        <v>1000</v>
      </c>
      <c r="C477" s="26"/>
      <c r="D477" s="26"/>
      <c r="E477" s="27"/>
      <c r="F477" s="197"/>
      <c r="G477" s="211"/>
      <c r="H477" s="254">
        <f>SF!H72</f>
        <v>10.555984799999999</v>
      </c>
      <c r="I477" s="197"/>
      <c r="J477" s="254">
        <f>SF!J72</f>
        <v>115.74637333199999</v>
      </c>
      <c r="K477" s="376">
        <v>0.2</v>
      </c>
    </row>
    <row r="478" spans="1:11">
      <c r="A478" s="25" t="s">
        <v>1005</v>
      </c>
      <c r="B478" s="26" t="s">
        <v>1001</v>
      </c>
      <c r="C478" s="26"/>
      <c r="D478" s="26"/>
      <c r="E478" s="27"/>
      <c r="F478" s="197"/>
      <c r="G478" s="211"/>
      <c r="H478" s="254">
        <f>SF!H73</f>
        <v>12.18002091428572</v>
      </c>
      <c r="I478" s="197"/>
      <c r="J478" s="254">
        <f>SF!J73</f>
        <v>133.55392932514292</v>
      </c>
      <c r="K478" s="376">
        <v>0.2</v>
      </c>
    </row>
    <row r="479" spans="1:11">
      <c r="A479" s="25" t="s">
        <v>1006</v>
      </c>
      <c r="B479" s="26" t="s">
        <v>211</v>
      </c>
      <c r="C479" s="26"/>
      <c r="D479" s="26"/>
      <c r="E479" s="27"/>
      <c r="F479" s="197"/>
      <c r="G479" s="195"/>
      <c r="H479" s="254">
        <f>SF!H78</f>
        <v>26.798532263701709</v>
      </c>
      <c r="I479" s="195"/>
      <c r="J479" s="254">
        <f>SF!J78</f>
        <v>147.28381289471153</v>
      </c>
      <c r="K479" s="376">
        <v>1</v>
      </c>
    </row>
    <row r="480" spans="1:11">
      <c r="A480" s="290" t="s">
        <v>1137</v>
      </c>
      <c r="B480" s="11"/>
      <c r="C480" s="11"/>
      <c r="D480" s="11"/>
      <c r="E480" s="191"/>
      <c r="F480" s="197"/>
      <c r="G480" s="211"/>
      <c r="H480" s="89"/>
      <c r="I480" s="197"/>
      <c r="J480" s="89"/>
      <c r="K480" s="994">
        <v>0.3</v>
      </c>
    </row>
    <row r="481" spans="1:11">
      <c r="A481" s="25" t="s">
        <v>1007</v>
      </c>
      <c r="B481" s="26" t="s">
        <v>988</v>
      </c>
      <c r="C481" s="26"/>
      <c r="D481" s="26"/>
      <c r="E481" s="27"/>
      <c r="F481" s="196">
        <f>SF!F87</f>
        <v>31.607279999999999</v>
      </c>
      <c r="G481" s="211"/>
      <c r="H481" s="34"/>
      <c r="I481" s="196">
        <f>SF!I87</f>
        <v>-15.140358000000003</v>
      </c>
      <c r="J481" s="196">
        <f>SF!J87</f>
        <v>0</v>
      </c>
      <c r="K481" s="376">
        <v>0.3</v>
      </c>
    </row>
    <row r="482" spans="1:11">
      <c r="A482" s="25" t="s">
        <v>1008</v>
      </c>
      <c r="B482" s="26" t="s">
        <v>989</v>
      </c>
      <c r="C482" s="26"/>
      <c r="D482" s="26"/>
      <c r="E482" s="27"/>
      <c r="F482" s="196">
        <f>SF!F88</f>
        <v>31.607279999999999</v>
      </c>
      <c r="G482" s="211"/>
      <c r="H482" s="34"/>
      <c r="I482" s="196">
        <f>SF!I88</f>
        <v>15.140358000000003</v>
      </c>
      <c r="J482" s="196">
        <f>SF!J88</f>
        <v>0</v>
      </c>
      <c r="K482" s="268">
        <v>0.3</v>
      </c>
    </row>
    <row r="483" spans="1:11">
      <c r="A483" s="25" t="s">
        <v>1009</v>
      </c>
      <c r="B483" s="26" t="s">
        <v>1000</v>
      </c>
      <c r="C483" s="26"/>
      <c r="D483" s="26"/>
      <c r="E483" s="27"/>
      <c r="F483" s="196">
        <f>SF!F92</f>
        <v>7.0373232000000003</v>
      </c>
      <c r="G483" s="211"/>
      <c r="H483" s="34"/>
      <c r="I483" s="196">
        <f>SF!I92</f>
        <v>-3.5186616000000002</v>
      </c>
      <c r="J483" s="196">
        <f>SF!J92</f>
        <v>-1.0914190890810807</v>
      </c>
      <c r="K483" s="268">
        <v>0.06</v>
      </c>
    </row>
    <row r="484" spans="1:11">
      <c r="A484" s="25" t="s">
        <v>1010</v>
      </c>
      <c r="B484" s="26" t="s">
        <v>1001</v>
      </c>
      <c r="C484" s="26"/>
      <c r="D484" s="26"/>
      <c r="E484" s="27"/>
      <c r="F484" s="196">
        <f>SF!F93</f>
        <v>8.1200139428571472</v>
      </c>
      <c r="G484" s="211"/>
      <c r="H484" s="34"/>
      <c r="I484" s="196">
        <f>SF!I93</f>
        <v>4.0600069714285736</v>
      </c>
      <c r="J484" s="196">
        <f>SF!J93</f>
        <v>-1.259333693930502</v>
      </c>
      <c r="K484" s="268">
        <v>0.06</v>
      </c>
    </row>
    <row r="485" spans="1:11">
      <c r="A485" s="25" t="s">
        <v>1011</v>
      </c>
      <c r="B485" s="26" t="s">
        <v>211</v>
      </c>
      <c r="C485" s="26"/>
      <c r="D485" s="26"/>
      <c r="E485" s="27"/>
      <c r="F485" s="196">
        <f>SF!F98</f>
        <v>17.865688175801139</v>
      </c>
      <c r="G485" s="211"/>
      <c r="H485" s="197"/>
      <c r="I485" s="196">
        <f>SF!I98</f>
        <v>0</v>
      </c>
      <c r="J485" s="196">
        <f>SF!J98</f>
        <v>0</v>
      </c>
      <c r="K485" s="268">
        <v>0.3</v>
      </c>
    </row>
    <row r="486" spans="1:11">
      <c r="A486" s="253"/>
      <c r="B486" s="15"/>
      <c r="C486" s="15"/>
      <c r="D486" s="15"/>
      <c r="E486" s="22"/>
      <c r="F486" s="212"/>
      <c r="G486" s="213"/>
      <c r="H486" s="198"/>
      <c r="I486" s="198"/>
      <c r="J486" s="58"/>
      <c r="K486" s="379"/>
    </row>
    <row r="487" spans="1:11">
      <c r="A487" s="46"/>
      <c r="B487" s="46"/>
      <c r="C487" s="46"/>
      <c r="D487" s="46"/>
      <c r="E487" s="46"/>
      <c r="F487" s="46"/>
      <c r="G487" s="46"/>
      <c r="H487" s="46"/>
      <c r="I487" s="46"/>
      <c r="J487" s="46"/>
      <c r="K487" s="87"/>
    </row>
    <row r="488" spans="1:11">
      <c r="A488" s="220" t="s">
        <v>73</v>
      </c>
      <c r="B488" s="220" t="s">
        <v>74</v>
      </c>
      <c r="C488" s="200"/>
      <c r="D488" s="200"/>
      <c r="E488" s="217"/>
      <c r="F488" s="1636" t="s">
        <v>72</v>
      </c>
      <c r="G488" s="1637"/>
      <c r="H488" s="1637"/>
      <c r="I488" s="1637"/>
      <c r="J488" s="1638"/>
      <c r="K488" s="87"/>
    </row>
    <row r="489" spans="1:11" ht="18">
      <c r="A489" s="221"/>
      <c r="B489" s="221"/>
      <c r="C489" s="201"/>
      <c r="D489" s="201"/>
      <c r="E489" s="219"/>
      <c r="F489" s="223" t="s">
        <v>23</v>
      </c>
      <c r="G489" s="223" t="s">
        <v>87</v>
      </c>
      <c r="H489" s="223" t="s">
        <v>212</v>
      </c>
      <c r="I489" s="223" t="s">
        <v>80</v>
      </c>
      <c r="J489" s="223" t="s">
        <v>81</v>
      </c>
      <c r="K489" s="87"/>
    </row>
    <row r="490" spans="1:11">
      <c r="A490" s="222"/>
      <c r="B490" s="222"/>
      <c r="C490" s="203"/>
      <c r="D490" s="203"/>
      <c r="E490" s="218"/>
      <c r="F490" s="204" t="s">
        <v>34</v>
      </c>
      <c r="G490" s="204" t="s">
        <v>34</v>
      </c>
      <c r="H490" s="203" t="s">
        <v>34</v>
      </c>
      <c r="I490" s="204" t="s">
        <v>77</v>
      </c>
      <c r="J490" s="204" t="s">
        <v>77</v>
      </c>
      <c r="K490" s="87"/>
    </row>
    <row r="491" spans="1:11">
      <c r="A491" s="202"/>
      <c r="B491" s="200"/>
      <c r="C491" s="200"/>
      <c r="D491" s="200"/>
      <c r="E491" s="217"/>
      <c r="F491" s="205"/>
      <c r="G491" s="205"/>
      <c r="H491" s="201"/>
      <c r="I491" s="205"/>
      <c r="J491" s="205"/>
      <c r="K491" s="87"/>
    </row>
    <row r="492" spans="1:11">
      <c r="A492" s="205" t="str">
        <f>A457</f>
        <v>LC-16</v>
      </c>
      <c r="B492" s="201" t="str">
        <f>B457</f>
        <v>LC-3 + Seismic Sx=0.3,Sz=1,Sy=0.3</v>
      </c>
      <c r="C492" s="201"/>
      <c r="D492" s="201"/>
      <c r="E492" s="219"/>
      <c r="F492" s="205">
        <f>SUMPRODUCT(F460:F485,$K$460:$K$485)</f>
        <v>1040.3497228479873</v>
      </c>
      <c r="G492" s="1080">
        <f>SUMPRODUCT(G460:G485,$K$460:$K$485)</f>
        <v>41.04011167911051</v>
      </c>
      <c r="H492" s="1080">
        <f>SUMPRODUCT(H460:H485,$K$460:$K$485)</f>
        <v>126.16757340655886</v>
      </c>
      <c r="I492" s="1080">
        <f>SUMPRODUCT(I460:I485,$K$460:$K$485)</f>
        <v>318.46468657927056</v>
      </c>
      <c r="J492" s="1080">
        <f>SUMPRODUCT(J460:J485,$K$460:$K$485)</f>
        <v>1058.8508415498461</v>
      </c>
      <c r="K492" s="87"/>
    </row>
    <row r="493" spans="1:11">
      <c r="A493" s="204"/>
      <c r="B493" s="203"/>
      <c r="C493" s="203"/>
      <c r="D493" s="203"/>
      <c r="E493" s="218"/>
      <c r="F493" s="204"/>
      <c r="G493" s="204"/>
      <c r="H493" s="203"/>
      <c r="I493" s="204"/>
      <c r="J493" s="204"/>
      <c r="K493" s="87"/>
    </row>
    <row r="496" spans="1:11">
      <c r="A496" s="1318" t="str">
        <f>K496</f>
        <v>LC-17</v>
      </c>
      <c r="B496" s="24" t="str">
        <f>VLOOKUP(A496,LC_DEF_2!A3:B42,2,FALSE)</f>
        <v>LC-4 + Seismic Sx=1,Sz=0.3,Sy=-0.3</v>
      </c>
      <c r="C496" s="24"/>
      <c r="D496" s="24"/>
      <c r="E496" s="21"/>
      <c r="F496" s="1635" t="s">
        <v>742</v>
      </c>
      <c r="G496" s="1635"/>
      <c r="H496" s="1635"/>
      <c r="I496" s="1635"/>
      <c r="J496" s="1600"/>
      <c r="K496" s="413" t="s">
        <v>243</v>
      </c>
    </row>
    <row r="497" spans="1:11" ht="18">
      <c r="A497" s="25" t="s">
        <v>73</v>
      </c>
      <c r="B497" s="26" t="s">
        <v>74</v>
      </c>
      <c r="C497" s="26"/>
      <c r="D497" s="26"/>
      <c r="E497" s="27"/>
      <c r="F497" s="32" t="s">
        <v>23</v>
      </c>
      <c r="G497" s="33" t="s">
        <v>87</v>
      </c>
      <c r="H497" s="33" t="s">
        <v>212</v>
      </c>
      <c r="I497" s="33" t="s">
        <v>80</v>
      </c>
      <c r="J497" s="33" t="s">
        <v>81</v>
      </c>
      <c r="K497" s="376"/>
    </row>
    <row r="498" spans="1:11">
      <c r="A498" s="28"/>
      <c r="B498" s="15"/>
      <c r="C498" s="15"/>
      <c r="D498" s="15"/>
      <c r="E498" s="22"/>
      <c r="F498" s="21" t="s">
        <v>34</v>
      </c>
      <c r="G498" s="36" t="s">
        <v>34</v>
      </c>
      <c r="H498" s="36" t="s">
        <v>34</v>
      </c>
      <c r="I498" s="36" t="s">
        <v>77</v>
      </c>
      <c r="J498" s="36" t="s">
        <v>77</v>
      </c>
      <c r="K498" s="376"/>
    </row>
    <row r="499" spans="1:11">
      <c r="A499" s="25" t="s">
        <v>88</v>
      </c>
      <c r="B499" s="26" t="s">
        <v>75</v>
      </c>
      <c r="C499" s="26"/>
      <c r="D499" s="26"/>
      <c r="E499" s="27"/>
      <c r="F499" s="195">
        <f>SF!F14</f>
        <v>365.08803866482532</v>
      </c>
      <c r="G499" s="210"/>
      <c r="H499" s="34"/>
      <c r="I499" s="195">
        <f>SF!I14</f>
        <v>0</v>
      </c>
      <c r="J499" s="195">
        <f>SF!J14</f>
        <v>0</v>
      </c>
      <c r="K499" s="268">
        <v>1</v>
      </c>
    </row>
    <row r="500" spans="1:11">
      <c r="A500" s="25" t="s">
        <v>90</v>
      </c>
      <c r="B500" s="26" t="s">
        <v>249</v>
      </c>
      <c r="C500" s="26"/>
      <c r="D500" s="26"/>
      <c r="E500" s="27"/>
      <c r="F500" s="195">
        <f>SF!F16</f>
        <v>36.639026644707663</v>
      </c>
      <c r="G500" s="210"/>
      <c r="H500" s="34"/>
      <c r="I500" s="195">
        <f>SF!I16</f>
        <v>0</v>
      </c>
      <c r="J500" s="195">
        <f>SF!J16</f>
        <v>0</v>
      </c>
      <c r="K500" s="268">
        <v>1</v>
      </c>
    </row>
    <row r="501" spans="1:11">
      <c r="A501" s="25" t="s">
        <v>250</v>
      </c>
      <c r="B501" s="26" t="s">
        <v>967</v>
      </c>
      <c r="C501" s="26"/>
      <c r="D501" s="26"/>
      <c r="E501" s="27"/>
      <c r="F501" s="195">
        <f>SF!F19</f>
        <v>230</v>
      </c>
      <c r="G501" s="27"/>
      <c r="H501" s="34"/>
      <c r="I501" s="195">
        <f>SF!I19</f>
        <v>-115</v>
      </c>
      <c r="J501" s="195">
        <f>SF!J19</f>
        <v>0</v>
      </c>
      <c r="K501" s="376">
        <v>1</v>
      </c>
    </row>
    <row r="502" spans="1:11">
      <c r="A502" s="25" t="s">
        <v>251</v>
      </c>
      <c r="B502" s="26" t="s">
        <v>968</v>
      </c>
      <c r="C502" s="26"/>
      <c r="D502" s="26"/>
      <c r="E502" s="27"/>
      <c r="F502" s="195">
        <f>SF!F20</f>
        <v>20.660000000000004</v>
      </c>
      <c r="G502" s="27"/>
      <c r="H502" s="34"/>
      <c r="I502" s="195">
        <f>SF!I20</f>
        <v>-10.330000000000002</v>
      </c>
      <c r="J502" s="195">
        <f>SF!J20</f>
        <v>0</v>
      </c>
      <c r="K502" s="376">
        <v>1</v>
      </c>
    </row>
    <row r="503" spans="1:11">
      <c r="A503" s="25" t="s">
        <v>97</v>
      </c>
      <c r="B503" s="26" t="s">
        <v>969</v>
      </c>
      <c r="C503" s="26"/>
      <c r="D503" s="26"/>
      <c r="E503" s="27"/>
      <c r="F503" s="195">
        <f>SF!F21</f>
        <v>42</v>
      </c>
      <c r="G503" s="27"/>
      <c r="H503" s="34"/>
      <c r="I503" s="195">
        <f>SF!I21</f>
        <v>-14.858499999999999</v>
      </c>
      <c r="J503" s="195">
        <f>SF!J21</f>
        <v>0</v>
      </c>
      <c r="K503" s="376">
        <v>1</v>
      </c>
    </row>
    <row r="504" spans="1:11">
      <c r="A504" s="25" t="s">
        <v>250</v>
      </c>
      <c r="B504" s="26" t="s">
        <v>970</v>
      </c>
      <c r="C504" s="26"/>
      <c r="D504" s="26"/>
      <c r="E504" s="27"/>
      <c r="F504" s="195">
        <f>SF!F23</f>
        <v>230</v>
      </c>
      <c r="G504" s="27"/>
      <c r="H504" s="34"/>
      <c r="I504" s="195">
        <f>SF!I23</f>
        <v>115</v>
      </c>
      <c r="J504" s="195">
        <f>SF!J23</f>
        <v>0</v>
      </c>
      <c r="K504" s="376">
        <v>1</v>
      </c>
    </row>
    <row r="505" spans="1:11">
      <c r="A505" s="25" t="s">
        <v>251</v>
      </c>
      <c r="B505" s="26" t="s">
        <v>971</v>
      </c>
      <c r="C505" s="26"/>
      <c r="D505" s="26"/>
      <c r="E505" s="27"/>
      <c r="F505" s="195">
        <f>SF!F24</f>
        <v>20.660000000000004</v>
      </c>
      <c r="G505" s="27"/>
      <c r="H505" s="34"/>
      <c r="I505" s="195">
        <f>SF!I24</f>
        <v>10.330000000000002</v>
      </c>
      <c r="J505" s="195">
        <f>SF!J24</f>
        <v>0</v>
      </c>
      <c r="K505" s="268">
        <v>1</v>
      </c>
    </row>
    <row r="506" spans="1:11">
      <c r="A506" s="25" t="s">
        <v>97</v>
      </c>
      <c r="B506" s="26" t="s">
        <v>972</v>
      </c>
      <c r="C506" s="26"/>
      <c r="D506" s="26"/>
      <c r="E506" s="27"/>
      <c r="F506" s="195">
        <f>SF!F25</f>
        <v>42</v>
      </c>
      <c r="G506" s="27"/>
      <c r="H506" s="34"/>
      <c r="I506" s="195">
        <f>SF!I25</f>
        <v>14.858499999999999</v>
      </c>
      <c r="J506" s="195">
        <f>SF!J25</f>
        <v>0</v>
      </c>
      <c r="K506" s="376">
        <v>1</v>
      </c>
    </row>
    <row r="507" spans="1:11">
      <c r="A507" s="25" t="s">
        <v>976</v>
      </c>
      <c r="B507" s="26" t="s">
        <v>981</v>
      </c>
      <c r="C507" s="26"/>
      <c r="D507" s="26"/>
      <c r="E507" s="27"/>
      <c r="F507" s="195">
        <f>SF!F33</f>
        <v>0</v>
      </c>
      <c r="G507" s="27"/>
      <c r="H507" s="34"/>
      <c r="I507" s="195">
        <f>SF!I33</f>
        <v>0</v>
      </c>
      <c r="J507" s="195">
        <f>SF!J33</f>
        <v>0</v>
      </c>
      <c r="K507" s="376">
        <v>0.2</v>
      </c>
    </row>
    <row r="508" spans="1:11">
      <c r="A508" s="25" t="s">
        <v>977</v>
      </c>
      <c r="B508" s="26" t="s">
        <v>982</v>
      </c>
      <c r="C508" s="26"/>
      <c r="D508" s="26"/>
      <c r="E508" s="27"/>
      <c r="F508" s="195">
        <f>SF!F34</f>
        <v>127.89948571428575</v>
      </c>
      <c r="G508" s="27"/>
      <c r="H508" s="34"/>
      <c r="I508" s="195">
        <f>SF!I34</f>
        <v>63.949742857142873</v>
      </c>
      <c r="J508" s="195">
        <f>SF!J34</f>
        <v>-19.835942761904757</v>
      </c>
      <c r="K508" s="376">
        <v>0.2</v>
      </c>
    </row>
    <row r="509" spans="1:11">
      <c r="A509" s="278" t="s">
        <v>1132</v>
      </c>
      <c r="B509" s="262"/>
      <c r="C509" s="262"/>
      <c r="D509" s="262"/>
      <c r="E509" s="263"/>
      <c r="F509" s="279"/>
      <c r="G509" s="280"/>
      <c r="H509" s="264"/>
      <c r="I509" s="279"/>
      <c r="J509" s="264"/>
      <c r="K509" s="650">
        <v>1</v>
      </c>
    </row>
    <row r="510" spans="1:11">
      <c r="A510" s="25" t="s">
        <v>991</v>
      </c>
      <c r="B510" s="26" t="s">
        <v>989</v>
      </c>
      <c r="C510" s="26"/>
      <c r="D510" s="26"/>
      <c r="E510" s="27"/>
      <c r="F510" s="197"/>
      <c r="G510" s="172">
        <f>SF!G52</f>
        <v>94.821839999999995</v>
      </c>
      <c r="H510" s="34"/>
      <c r="I510" s="172">
        <f>SF!I52</f>
        <v>785.12483520000001</v>
      </c>
      <c r="J510" s="89"/>
      <c r="K510" s="268">
        <v>1</v>
      </c>
    </row>
    <row r="511" spans="1:11">
      <c r="A511" s="25" t="s">
        <v>994</v>
      </c>
      <c r="B511" s="26" t="s">
        <v>996</v>
      </c>
      <c r="C511" s="26"/>
      <c r="D511" s="26"/>
      <c r="E511" s="27"/>
      <c r="F511" s="197"/>
      <c r="G511" s="172">
        <f>SF!G56</f>
        <v>4.5540000000000003</v>
      </c>
      <c r="H511" s="34"/>
      <c r="I511" s="172">
        <f>SF!I56</f>
        <v>37.70712000000001</v>
      </c>
      <c r="J511" s="89"/>
      <c r="K511" s="376">
        <v>1</v>
      </c>
    </row>
    <row r="512" spans="1:11">
      <c r="A512" s="25" t="s">
        <v>217</v>
      </c>
      <c r="B512" s="26" t="s">
        <v>211</v>
      </c>
      <c r="C512" s="26"/>
      <c r="D512" s="26"/>
      <c r="E512" s="27"/>
      <c r="F512" s="197"/>
      <c r="G512" s="196">
        <f>SF!G58</f>
        <v>26.798532263701709</v>
      </c>
      <c r="H512" s="199"/>
      <c r="I512" s="172">
        <f>SF!I58</f>
        <v>147.28381289471153</v>
      </c>
      <c r="J512" s="195"/>
      <c r="K512" s="376">
        <v>1</v>
      </c>
    </row>
    <row r="513" spans="1:11">
      <c r="A513" s="278" t="s">
        <v>1135</v>
      </c>
      <c r="B513" s="262"/>
      <c r="C513" s="262"/>
      <c r="D513" s="262"/>
      <c r="E513" s="263"/>
      <c r="F513" s="279"/>
      <c r="G513" s="280"/>
      <c r="H513" s="264"/>
      <c r="I513" s="279"/>
      <c r="J513" s="264"/>
      <c r="K513" s="708">
        <v>0.3</v>
      </c>
    </row>
    <row r="514" spans="1:11">
      <c r="A514" s="25" t="s">
        <v>997</v>
      </c>
      <c r="B514" s="26" t="s">
        <v>988</v>
      </c>
      <c r="C514" s="26"/>
      <c r="D514" s="26"/>
      <c r="E514" s="27"/>
      <c r="F514" s="197"/>
      <c r="G514" s="211"/>
      <c r="H514" s="254">
        <f>SF!H67</f>
        <v>47.410919999999997</v>
      </c>
      <c r="I514" s="197"/>
      <c r="J514" s="254">
        <f>SF!J67</f>
        <v>433.10062959257624</v>
      </c>
      <c r="K514" s="268">
        <v>0.3</v>
      </c>
    </row>
    <row r="515" spans="1:11">
      <c r="A515" s="25" t="s">
        <v>998</v>
      </c>
      <c r="B515" s="26" t="s">
        <v>989</v>
      </c>
      <c r="C515" s="26"/>
      <c r="D515" s="26"/>
      <c r="E515" s="27"/>
      <c r="F515" s="197"/>
      <c r="G515" s="211"/>
      <c r="H515" s="254">
        <f>SF!H68</f>
        <v>47.410919999999997</v>
      </c>
      <c r="I515" s="197"/>
      <c r="J515" s="254">
        <f>SF!J68</f>
        <v>433.10062959257624</v>
      </c>
      <c r="K515" s="376">
        <v>0.3</v>
      </c>
    </row>
    <row r="516" spans="1:11">
      <c r="A516" s="25" t="s">
        <v>1004</v>
      </c>
      <c r="B516" s="26" t="s">
        <v>1000</v>
      </c>
      <c r="C516" s="26"/>
      <c r="D516" s="26"/>
      <c r="E516" s="27"/>
      <c r="F516" s="197"/>
      <c r="G516" s="211"/>
      <c r="H516" s="254">
        <f>SF!H75</f>
        <v>0</v>
      </c>
      <c r="I516" s="197"/>
      <c r="J516" s="254">
        <f>SF!J75</f>
        <v>0</v>
      </c>
      <c r="K516" s="376">
        <v>0.06</v>
      </c>
    </row>
    <row r="517" spans="1:11">
      <c r="A517" s="25" t="s">
        <v>1005</v>
      </c>
      <c r="B517" s="26" t="s">
        <v>1001</v>
      </c>
      <c r="C517" s="26"/>
      <c r="D517" s="26"/>
      <c r="E517" s="27"/>
      <c r="F517" s="197"/>
      <c r="G517" s="211"/>
      <c r="H517" s="254">
        <f>SF!H76</f>
        <v>20.719716685714292</v>
      </c>
      <c r="I517" s="197"/>
      <c r="J517" s="254">
        <f>SF!J76</f>
        <v>227.1916934588572</v>
      </c>
      <c r="K517" s="376">
        <v>0.06</v>
      </c>
    </row>
    <row r="518" spans="1:11">
      <c r="A518" s="25" t="s">
        <v>1006</v>
      </c>
      <c r="B518" s="26" t="s">
        <v>211</v>
      </c>
      <c r="C518" s="26"/>
      <c r="D518" s="26"/>
      <c r="E518" s="27"/>
      <c r="F518" s="197"/>
      <c r="G518" s="195"/>
      <c r="H518" s="254">
        <f>SF!H78</f>
        <v>26.798532263701709</v>
      </c>
      <c r="I518" s="195"/>
      <c r="J518" s="254">
        <f>SF!J78</f>
        <v>147.28381289471153</v>
      </c>
      <c r="K518" s="376">
        <v>0.3</v>
      </c>
    </row>
    <row r="519" spans="1:11">
      <c r="A519" s="290" t="s">
        <v>1137</v>
      </c>
      <c r="B519" s="11"/>
      <c r="C519" s="11"/>
      <c r="D519" s="11"/>
      <c r="E519" s="191"/>
      <c r="F519" s="197"/>
      <c r="G519" s="211"/>
      <c r="H519" s="89"/>
      <c r="I519" s="197"/>
      <c r="J519" s="89"/>
      <c r="K519" s="994">
        <v>0.3</v>
      </c>
    </row>
    <row r="520" spans="1:11">
      <c r="A520" s="25" t="s">
        <v>1007</v>
      </c>
      <c r="B520" s="26" t="s">
        <v>988</v>
      </c>
      <c r="C520" s="26"/>
      <c r="D520" s="26"/>
      <c r="E520" s="27"/>
      <c r="F520" s="196">
        <f>SF!F87</f>
        <v>31.607279999999999</v>
      </c>
      <c r="G520" s="211"/>
      <c r="H520" s="34"/>
      <c r="I520" s="196">
        <f>SF!I87</f>
        <v>-15.140358000000003</v>
      </c>
      <c r="J520" s="196">
        <f>SF!J87</f>
        <v>0</v>
      </c>
      <c r="K520" s="376">
        <v>-0.3</v>
      </c>
    </row>
    <row r="521" spans="1:11">
      <c r="A521" s="25" t="s">
        <v>1008</v>
      </c>
      <c r="B521" s="26" t="s">
        <v>989</v>
      </c>
      <c r="C521" s="26"/>
      <c r="D521" s="26"/>
      <c r="E521" s="27"/>
      <c r="F521" s="196">
        <f>SF!F88</f>
        <v>31.607279999999999</v>
      </c>
      <c r="G521" s="211"/>
      <c r="H521" s="34"/>
      <c r="I521" s="196">
        <f>SF!I88</f>
        <v>15.140358000000003</v>
      </c>
      <c r="J521" s="196">
        <f>SF!J88</f>
        <v>0</v>
      </c>
      <c r="K521" s="268">
        <v>-0.3</v>
      </c>
    </row>
    <row r="522" spans="1:11">
      <c r="A522" s="25" t="s">
        <v>1009</v>
      </c>
      <c r="B522" s="26" t="s">
        <v>1000</v>
      </c>
      <c r="C522" s="26"/>
      <c r="D522" s="26"/>
      <c r="E522" s="27"/>
      <c r="F522" s="196">
        <f>SF!F95</f>
        <v>0</v>
      </c>
      <c r="G522" s="211"/>
      <c r="H522" s="34"/>
      <c r="I522" s="196">
        <f>SF!I95</f>
        <v>0</v>
      </c>
      <c r="J522" s="196">
        <f>SF!J95</f>
        <v>0</v>
      </c>
      <c r="K522" s="268">
        <v>-0.06</v>
      </c>
    </row>
    <row r="523" spans="1:11">
      <c r="A523" s="25" t="s">
        <v>1010</v>
      </c>
      <c r="B523" s="26" t="s">
        <v>1001</v>
      </c>
      <c r="C523" s="26"/>
      <c r="D523" s="26"/>
      <c r="E523" s="27"/>
      <c r="F523" s="196">
        <f>SF!F96</f>
        <v>13.813144457142862</v>
      </c>
      <c r="G523" s="211"/>
      <c r="H523" s="34"/>
      <c r="I523" s="196">
        <f>SF!I96</f>
        <v>6.9065722285714308</v>
      </c>
      <c r="J523" s="196">
        <f>SF!J96</f>
        <v>-2.142281818285714</v>
      </c>
      <c r="K523" s="268">
        <v>-0.06</v>
      </c>
    </row>
    <row r="524" spans="1:11">
      <c r="A524" s="25" t="s">
        <v>1011</v>
      </c>
      <c r="B524" s="26" t="s">
        <v>211</v>
      </c>
      <c r="C524" s="26"/>
      <c r="D524" s="26"/>
      <c r="E524" s="27"/>
      <c r="F524" s="196">
        <f>SF!F98</f>
        <v>17.865688175801139</v>
      </c>
      <c r="G524" s="211"/>
      <c r="H524" s="197"/>
      <c r="I524" s="196">
        <f>SF!I98</f>
        <v>0</v>
      </c>
      <c r="J524" s="196">
        <f>SF!J98</f>
        <v>0</v>
      </c>
      <c r="K524" s="268">
        <v>-0.3</v>
      </c>
    </row>
    <row r="525" spans="1:11">
      <c r="A525" s="253"/>
      <c r="B525" s="15"/>
      <c r="C525" s="15"/>
      <c r="D525" s="15"/>
      <c r="E525" s="22"/>
      <c r="F525" s="212"/>
      <c r="G525" s="213"/>
      <c r="H525" s="198"/>
      <c r="I525" s="198"/>
      <c r="J525" s="58"/>
      <c r="K525" s="379"/>
    </row>
    <row r="526" spans="1:11">
      <c r="A526" s="46"/>
      <c r="B526" s="46"/>
      <c r="C526" s="46"/>
      <c r="D526" s="46"/>
      <c r="E526" s="46"/>
      <c r="F526" s="46"/>
      <c r="G526" s="46"/>
      <c r="H526" s="46"/>
      <c r="I526" s="46"/>
      <c r="J526" s="46"/>
      <c r="K526" s="87"/>
    </row>
    <row r="527" spans="1:11">
      <c r="A527" s="220" t="s">
        <v>73</v>
      </c>
      <c r="B527" s="220" t="s">
        <v>74</v>
      </c>
      <c r="C527" s="200"/>
      <c r="D527" s="200"/>
      <c r="E527" s="217"/>
      <c r="F527" s="1636" t="s">
        <v>72</v>
      </c>
      <c r="G527" s="1637"/>
      <c r="H527" s="1637"/>
      <c r="I527" s="1637"/>
      <c r="J527" s="1638"/>
      <c r="K527" s="87"/>
    </row>
    <row r="528" spans="1:11" ht="18">
      <c r="A528" s="221"/>
      <c r="B528" s="221"/>
      <c r="C528" s="201"/>
      <c r="D528" s="201"/>
      <c r="E528" s="219"/>
      <c r="F528" s="223" t="s">
        <v>23</v>
      </c>
      <c r="G528" s="223" t="s">
        <v>87</v>
      </c>
      <c r="H528" s="223" t="s">
        <v>212</v>
      </c>
      <c r="I528" s="223" t="s">
        <v>80</v>
      </c>
      <c r="J528" s="223" t="s">
        <v>81</v>
      </c>
      <c r="K528" s="87"/>
    </row>
    <row r="529" spans="1:11">
      <c r="A529" s="222"/>
      <c r="B529" s="222"/>
      <c r="C529" s="203"/>
      <c r="D529" s="203"/>
      <c r="E529" s="218"/>
      <c r="F529" s="204" t="s">
        <v>34</v>
      </c>
      <c r="G529" s="204" t="s">
        <v>34</v>
      </c>
      <c r="H529" s="203" t="s">
        <v>34</v>
      </c>
      <c r="I529" s="204" t="s">
        <v>77</v>
      </c>
      <c r="J529" s="204" t="s">
        <v>77</v>
      </c>
      <c r="K529" s="87"/>
    </row>
    <row r="530" spans="1:11">
      <c r="A530" s="202"/>
      <c r="B530" s="200"/>
      <c r="C530" s="200"/>
      <c r="D530" s="200"/>
      <c r="E530" s="217"/>
      <c r="F530" s="205"/>
      <c r="G530" s="205"/>
      <c r="H530" s="201"/>
      <c r="I530" s="205"/>
      <c r="J530" s="205"/>
      <c r="K530" s="87"/>
    </row>
    <row r="531" spans="1:11">
      <c r="A531" s="205" t="str">
        <f>A496</f>
        <v>LC-17</v>
      </c>
      <c r="B531" s="201" t="str">
        <f>B496</f>
        <v>LC-4 + Seismic Sx=1,Sz=0.3,Sy=-0.3</v>
      </c>
      <c r="C531" s="201"/>
      <c r="D531" s="201"/>
      <c r="E531" s="219"/>
      <c r="F531" s="205">
        <f>SUMPRODUCT(F499:F524,$K$499:$K$524)</f>
        <v>987.47409933222104</v>
      </c>
      <c r="G531" s="1080">
        <f>SUMPRODUCT(G499:G524,$K$499:$K$524)</f>
        <v>126.17437226370171</v>
      </c>
      <c r="H531" s="1080">
        <f>SUMPRODUCT(H499:H524,$K$499:$K$524)</f>
        <v>37.729294680253368</v>
      </c>
      <c r="I531" s="1080">
        <f>SUMPRODUCT(I499:I524,$K$499:$K$524)</f>
        <v>982.49132233242585</v>
      </c>
      <c r="J531" s="1080">
        <f>SUMPRODUCT(J499:J524,$K$499:$K$524)</f>
        <v>313.83837158820683</v>
      </c>
      <c r="K531" s="87"/>
    </row>
    <row r="532" spans="1:11">
      <c r="A532" s="204"/>
      <c r="B532" s="203"/>
      <c r="C532" s="203"/>
      <c r="D532" s="203"/>
      <c r="E532" s="218"/>
      <c r="F532" s="204"/>
      <c r="G532" s="204"/>
      <c r="H532" s="203"/>
      <c r="I532" s="204"/>
      <c r="J532" s="204"/>
      <c r="K532" s="87"/>
    </row>
    <row r="535" spans="1:11">
      <c r="A535" s="1318" t="str">
        <f>K535</f>
        <v>LC-18</v>
      </c>
      <c r="B535" s="24" t="str">
        <f>VLOOKUP(A535,LC_DEF_2!A3:B42,2,FALSE)</f>
        <v>LC-4 + Seismic Sx=0.3,Sz=1,Sy=-0.3</v>
      </c>
      <c r="C535" s="24"/>
      <c r="D535" s="24"/>
      <c r="E535" s="21"/>
      <c r="F535" s="1635" t="s">
        <v>742</v>
      </c>
      <c r="G535" s="1635"/>
      <c r="H535" s="1635"/>
      <c r="I535" s="1635"/>
      <c r="J535" s="1600"/>
      <c r="K535" s="413" t="s">
        <v>244</v>
      </c>
    </row>
    <row r="536" spans="1:11" ht="18">
      <c r="A536" s="25" t="s">
        <v>73</v>
      </c>
      <c r="B536" s="26" t="s">
        <v>74</v>
      </c>
      <c r="C536" s="26"/>
      <c r="D536" s="26"/>
      <c r="E536" s="27"/>
      <c r="F536" s="32" t="s">
        <v>23</v>
      </c>
      <c r="G536" s="33" t="s">
        <v>87</v>
      </c>
      <c r="H536" s="33" t="s">
        <v>212</v>
      </c>
      <c r="I536" s="33" t="s">
        <v>80</v>
      </c>
      <c r="J536" s="33" t="s">
        <v>81</v>
      </c>
      <c r="K536" s="376"/>
    </row>
    <row r="537" spans="1:11">
      <c r="A537" s="28"/>
      <c r="B537" s="15"/>
      <c r="C537" s="15"/>
      <c r="D537" s="15"/>
      <c r="E537" s="22"/>
      <c r="F537" s="21" t="s">
        <v>34</v>
      </c>
      <c r="G537" s="36" t="s">
        <v>34</v>
      </c>
      <c r="H537" s="36" t="s">
        <v>34</v>
      </c>
      <c r="I537" s="36" t="s">
        <v>77</v>
      </c>
      <c r="J537" s="36" t="s">
        <v>77</v>
      </c>
      <c r="K537" s="376"/>
    </row>
    <row r="538" spans="1:11">
      <c r="A538" s="25" t="s">
        <v>88</v>
      </c>
      <c r="B538" s="26" t="s">
        <v>75</v>
      </c>
      <c r="C538" s="26"/>
      <c r="D538" s="26"/>
      <c r="E538" s="27"/>
      <c r="F538" s="195">
        <f>SF!F14</f>
        <v>365.08803866482532</v>
      </c>
      <c r="G538" s="210"/>
      <c r="H538" s="34"/>
      <c r="I538" s="195">
        <f>SF!I14</f>
        <v>0</v>
      </c>
      <c r="J538" s="195">
        <f>SF!J14</f>
        <v>0</v>
      </c>
      <c r="K538" s="268">
        <v>1</v>
      </c>
    </row>
    <row r="539" spans="1:11">
      <c r="A539" s="25" t="s">
        <v>90</v>
      </c>
      <c r="B539" s="26" t="s">
        <v>249</v>
      </c>
      <c r="C539" s="26"/>
      <c r="D539" s="26"/>
      <c r="E539" s="27"/>
      <c r="F539" s="195">
        <f>SF!F16</f>
        <v>36.639026644707663</v>
      </c>
      <c r="G539" s="210"/>
      <c r="H539" s="34"/>
      <c r="I539" s="195">
        <f>SF!I16</f>
        <v>0</v>
      </c>
      <c r="J539" s="195">
        <f>SF!J16</f>
        <v>0</v>
      </c>
      <c r="K539" s="268">
        <v>1</v>
      </c>
    </row>
    <row r="540" spans="1:11">
      <c r="A540" s="25" t="s">
        <v>250</v>
      </c>
      <c r="B540" s="26" t="s">
        <v>967</v>
      </c>
      <c r="C540" s="26"/>
      <c r="D540" s="26"/>
      <c r="E540" s="27"/>
      <c r="F540" s="195">
        <f>SF!F19</f>
        <v>230</v>
      </c>
      <c r="G540" s="27"/>
      <c r="H540" s="34"/>
      <c r="I540" s="195">
        <f>SF!I19</f>
        <v>-115</v>
      </c>
      <c r="J540" s="195">
        <f>SF!J19</f>
        <v>0</v>
      </c>
      <c r="K540" s="376">
        <v>1</v>
      </c>
    </row>
    <row r="541" spans="1:11">
      <c r="A541" s="25" t="s">
        <v>251</v>
      </c>
      <c r="B541" s="26" t="s">
        <v>968</v>
      </c>
      <c r="C541" s="26"/>
      <c r="D541" s="26"/>
      <c r="E541" s="27"/>
      <c r="F541" s="195">
        <f>SF!F20</f>
        <v>20.660000000000004</v>
      </c>
      <c r="G541" s="27"/>
      <c r="H541" s="34"/>
      <c r="I541" s="195">
        <f>SF!I20</f>
        <v>-10.330000000000002</v>
      </c>
      <c r="J541" s="195">
        <f>SF!J20</f>
        <v>0</v>
      </c>
      <c r="K541" s="376">
        <v>1</v>
      </c>
    </row>
    <row r="542" spans="1:11">
      <c r="A542" s="25" t="s">
        <v>97</v>
      </c>
      <c r="B542" s="26" t="s">
        <v>969</v>
      </c>
      <c r="C542" s="26"/>
      <c r="D542" s="26"/>
      <c r="E542" s="27"/>
      <c r="F542" s="195">
        <f>SF!F21</f>
        <v>42</v>
      </c>
      <c r="G542" s="27"/>
      <c r="H542" s="34"/>
      <c r="I542" s="195">
        <f>SF!I21</f>
        <v>-14.858499999999999</v>
      </c>
      <c r="J542" s="195">
        <f>SF!J21</f>
        <v>0</v>
      </c>
      <c r="K542" s="376">
        <v>1</v>
      </c>
    </row>
    <row r="543" spans="1:11">
      <c r="A543" s="25" t="s">
        <v>250</v>
      </c>
      <c r="B543" s="26" t="s">
        <v>970</v>
      </c>
      <c r="C543" s="26"/>
      <c r="D543" s="26"/>
      <c r="E543" s="27"/>
      <c r="F543" s="195">
        <f>SF!F23</f>
        <v>230</v>
      </c>
      <c r="G543" s="27"/>
      <c r="H543" s="34"/>
      <c r="I543" s="195">
        <f>SF!I23</f>
        <v>115</v>
      </c>
      <c r="J543" s="195">
        <f>SF!J23</f>
        <v>0</v>
      </c>
      <c r="K543" s="376">
        <v>1</v>
      </c>
    </row>
    <row r="544" spans="1:11">
      <c r="A544" s="25" t="s">
        <v>251</v>
      </c>
      <c r="B544" s="26" t="s">
        <v>971</v>
      </c>
      <c r="C544" s="26"/>
      <c r="D544" s="26"/>
      <c r="E544" s="27"/>
      <c r="F544" s="195">
        <f>SF!F24</f>
        <v>20.660000000000004</v>
      </c>
      <c r="G544" s="27"/>
      <c r="H544" s="34"/>
      <c r="I544" s="195">
        <f>SF!I24</f>
        <v>10.330000000000002</v>
      </c>
      <c r="J544" s="195">
        <f>SF!J24</f>
        <v>0</v>
      </c>
      <c r="K544" s="268">
        <v>1</v>
      </c>
    </row>
    <row r="545" spans="1:11">
      <c r="A545" s="25" t="s">
        <v>97</v>
      </c>
      <c r="B545" s="26" t="s">
        <v>972</v>
      </c>
      <c r="C545" s="26"/>
      <c r="D545" s="26"/>
      <c r="E545" s="27"/>
      <c r="F545" s="195">
        <f>SF!F25</f>
        <v>42</v>
      </c>
      <c r="G545" s="27"/>
      <c r="H545" s="34"/>
      <c r="I545" s="195">
        <f>SF!I25</f>
        <v>14.858499999999999</v>
      </c>
      <c r="J545" s="195">
        <f>SF!J25</f>
        <v>0</v>
      </c>
      <c r="K545" s="376">
        <v>1</v>
      </c>
    </row>
    <row r="546" spans="1:11">
      <c r="A546" s="25" t="s">
        <v>976</v>
      </c>
      <c r="B546" s="26" t="s">
        <v>981</v>
      </c>
      <c r="C546" s="26"/>
      <c r="D546" s="26"/>
      <c r="E546" s="27"/>
      <c r="F546" s="195">
        <f>SF!F33</f>
        <v>0</v>
      </c>
      <c r="G546" s="27"/>
      <c r="H546" s="34"/>
      <c r="I546" s="195">
        <f>SF!I33</f>
        <v>0</v>
      </c>
      <c r="J546" s="195">
        <f>SF!J33</f>
        <v>0</v>
      </c>
      <c r="K546" s="376">
        <v>0.2</v>
      </c>
    </row>
    <row r="547" spans="1:11">
      <c r="A547" s="25" t="s">
        <v>977</v>
      </c>
      <c r="B547" s="26" t="s">
        <v>982</v>
      </c>
      <c r="C547" s="26"/>
      <c r="D547" s="26"/>
      <c r="E547" s="27"/>
      <c r="F547" s="195">
        <f>SF!F34</f>
        <v>127.89948571428575</v>
      </c>
      <c r="G547" s="27"/>
      <c r="H547" s="34"/>
      <c r="I547" s="195">
        <f>SF!I34</f>
        <v>63.949742857142873</v>
      </c>
      <c r="J547" s="195">
        <f>SF!J34</f>
        <v>-19.835942761904757</v>
      </c>
      <c r="K547" s="376">
        <v>0.2</v>
      </c>
    </row>
    <row r="548" spans="1:11">
      <c r="A548" s="278" t="s">
        <v>1132</v>
      </c>
      <c r="B548" s="262"/>
      <c r="C548" s="262"/>
      <c r="D548" s="262"/>
      <c r="E548" s="263"/>
      <c r="F548" s="279"/>
      <c r="G548" s="280"/>
      <c r="H548" s="264"/>
      <c r="I548" s="279"/>
      <c r="J548" s="264"/>
      <c r="K548" s="650">
        <v>1</v>
      </c>
    </row>
    <row r="549" spans="1:11">
      <c r="A549" s="25" t="s">
        <v>991</v>
      </c>
      <c r="B549" s="26" t="s">
        <v>989</v>
      </c>
      <c r="C549" s="26"/>
      <c r="D549" s="26"/>
      <c r="E549" s="27"/>
      <c r="F549" s="197"/>
      <c r="G549" s="172">
        <f>SF!G52</f>
        <v>94.821839999999995</v>
      </c>
      <c r="H549" s="34"/>
      <c r="I549" s="172">
        <f>SF!I52</f>
        <v>785.12483520000001</v>
      </c>
      <c r="J549" s="89"/>
      <c r="K549" s="268">
        <v>0.3</v>
      </c>
    </row>
    <row r="550" spans="1:11">
      <c r="A550" s="25" t="s">
        <v>994</v>
      </c>
      <c r="B550" s="26" t="s">
        <v>996</v>
      </c>
      <c r="C550" s="26"/>
      <c r="D550" s="26"/>
      <c r="E550" s="27"/>
      <c r="F550" s="197"/>
      <c r="G550" s="172">
        <f>SF!G56</f>
        <v>4.5540000000000003</v>
      </c>
      <c r="H550" s="34"/>
      <c r="I550" s="172">
        <f>SF!I56</f>
        <v>37.70712000000001</v>
      </c>
      <c r="J550" s="89"/>
      <c r="K550" s="376">
        <v>1</v>
      </c>
    </row>
    <row r="551" spans="1:11">
      <c r="A551" s="25" t="s">
        <v>217</v>
      </c>
      <c r="B551" s="26" t="s">
        <v>211</v>
      </c>
      <c r="C551" s="26"/>
      <c r="D551" s="26"/>
      <c r="E551" s="27"/>
      <c r="F551" s="197"/>
      <c r="G551" s="196">
        <f>SF!G58</f>
        <v>26.798532263701709</v>
      </c>
      <c r="H551" s="199"/>
      <c r="I551" s="172">
        <f>SF!I58</f>
        <v>147.28381289471153</v>
      </c>
      <c r="J551" s="195"/>
      <c r="K551" s="376">
        <v>0.3</v>
      </c>
    </row>
    <row r="552" spans="1:11">
      <c r="A552" s="278" t="s">
        <v>1135</v>
      </c>
      <c r="B552" s="262"/>
      <c r="C552" s="262"/>
      <c r="D552" s="262"/>
      <c r="E552" s="263"/>
      <c r="F552" s="279"/>
      <c r="G552" s="280"/>
      <c r="H552" s="264"/>
      <c r="I552" s="279"/>
      <c r="J552" s="264"/>
      <c r="K552" s="708">
        <v>1</v>
      </c>
    </row>
    <row r="553" spans="1:11">
      <c r="A553" s="25" t="s">
        <v>997</v>
      </c>
      <c r="B553" s="26" t="s">
        <v>988</v>
      </c>
      <c r="C553" s="26"/>
      <c r="D553" s="26"/>
      <c r="E553" s="27"/>
      <c r="F553" s="197"/>
      <c r="G553" s="211"/>
      <c r="H553" s="254">
        <f>SF!H67</f>
        <v>47.410919999999997</v>
      </c>
      <c r="I553" s="197"/>
      <c r="J553" s="254">
        <f>SF!J67</f>
        <v>433.10062959257624</v>
      </c>
      <c r="K553" s="268">
        <v>1</v>
      </c>
    </row>
    <row r="554" spans="1:11">
      <c r="A554" s="25" t="s">
        <v>998</v>
      </c>
      <c r="B554" s="26" t="s">
        <v>989</v>
      </c>
      <c r="C554" s="26"/>
      <c r="D554" s="26"/>
      <c r="E554" s="27"/>
      <c r="F554" s="197"/>
      <c r="G554" s="211"/>
      <c r="H554" s="254">
        <f>SF!H68</f>
        <v>47.410919999999997</v>
      </c>
      <c r="I554" s="197"/>
      <c r="J554" s="254">
        <f>SF!J68</f>
        <v>433.10062959257624</v>
      </c>
      <c r="K554" s="376">
        <v>1</v>
      </c>
    </row>
    <row r="555" spans="1:11">
      <c r="A555" s="25" t="s">
        <v>1004</v>
      </c>
      <c r="B555" s="26" t="s">
        <v>1000</v>
      </c>
      <c r="C555" s="26"/>
      <c r="D555" s="26"/>
      <c r="E555" s="27"/>
      <c r="F555" s="197"/>
      <c r="G555" s="211"/>
      <c r="H555" s="254">
        <f>SF!H75</f>
        <v>0</v>
      </c>
      <c r="I555" s="197"/>
      <c r="J555" s="254">
        <f>SF!J75</f>
        <v>0</v>
      </c>
      <c r="K555" s="376">
        <v>0.2</v>
      </c>
    </row>
    <row r="556" spans="1:11">
      <c r="A556" s="25" t="s">
        <v>1005</v>
      </c>
      <c r="B556" s="26" t="s">
        <v>1001</v>
      </c>
      <c r="C556" s="26"/>
      <c r="D556" s="26"/>
      <c r="E556" s="27"/>
      <c r="F556" s="197"/>
      <c r="G556" s="211"/>
      <c r="H556" s="254">
        <f>SF!H76</f>
        <v>20.719716685714292</v>
      </c>
      <c r="I556" s="197"/>
      <c r="J556" s="254">
        <f>SF!J76</f>
        <v>227.1916934588572</v>
      </c>
      <c r="K556" s="376">
        <v>0.2</v>
      </c>
    </row>
    <row r="557" spans="1:11">
      <c r="A557" s="25" t="s">
        <v>1006</v>
      </c>
      <c r="B557" s="26" t="s">
        <v>211</v>
      </c>
      <c r="C557" s="26"/>
      <c r="D557" s="26"/>
      <c r="E557" s="27"/>
      <c r="F557" s="197"/>
      <c r="G557" s="195"/>
      <c r="H557" s="254">
        <f>SF!H78</f>
        <v>26.798532263701709</v>
      </c>
      <c r="I557" s="195"/>
      <c r="J557" s="254">
        <f>SF!J78</f>
        <v>147.28381289471153</v>
      </c>
      <c r="K557" s="376">
        <v>1</v>
      </c>
    </row>
    <row r="558" spans="1:11">
      <c r="A558" s="290" t="s">
        <v>1137</v>
      </c>
      <c r="B558" s="11"/>
      <c r="C558" s="11"/>
      <c r="D558" s="11"/>
      <c r="E558" s="191"/>
      <c r="F558" s="197"/>
      <c r="G558" s="211"/>
      <c r="H558" s="89"/>
      <c r="I558" s="197"/>
      <c r="J558" s="89"/>
      <c r="K558" s="994">
        <v>0.3</v>
      </c>
    </row>
    <row r="559" spans="1:11">
      <c r="A559" s="25" t="s">
        <v>1007</v>
      </c>
      <c r="B559" s="26" t="s">
        <v>988</v>
      </c>
      <c r="C559" s="26"/>
      <c r="D559" s="26"/>
      <c r="E559" s="27"/>
      <c r="F559" s="196">
        <f>SF!F87</f>
        <v>31.607279999999999</v>
      </c>
      <c r="G559" s="211"/>
      <c r="H559" s="34"/>
      <c r="I559" s="196">
        <f>SF!I87</f>
        <v>-15.140358000000003</v>
      </c>
      <c r="J559" s="196">
        <f>SF!J87</f>
        <v>0</v>
      </c>
      <c r="K559" s="376">
        <v>-0.3</v>
      </c>
    </row>
    <row r="560" spans="1:11">
      <c r="A560" s="25" t="s">
        <v>1008</v>
      </c>
      <c r="B560" s="26" t="s">
        <v>989</v>
      </c>
      <c r="C560" s="26"/>
      <c r="D560" s="26"/>
      <c r="E560" s="27"/>
      <c r="F560" s="196">
        <f>SF!F88</f>
        <v>31.607279999999999</v>
      </c>
      <c r="G560" s="211"/>
      <c r="H560" s="34"/>
      <c r="I560" s="196">
        <f>SF!I88</f>
        <v>15.140358000000003</v>
      </c>
      <c r="J560" s="196">
        <f>SF!J88</f>
        <v>0</v>
      </c>
      <c r="K560" s="268">
        <v>-0.3</v>
      </c>
    </row>
    <row r="561" spans="1:11">
      <c r="A561" s="25" t="s">
        <v>1009</v>
      </c>
      <c r="B561" s="26" t="s">
        <v>1000</v>
      </c>
      <c r="C561" s="26"/>
      <c r="D561" s="26"/>
      <c r="E561" s="27"/>
      <c r="F561" s="196">
        <f>SF!F95</f>
        <v>0</v>
      </c>
      <c r="G561" s="211"/>
      <c r="H561" s="34"/>
      <c r="I561" s="196">
        <f>SF!I95</f>
        <v>0</v>
      </c>
      <c r="J561" s="196">
        <f>SF!J95</f>
        <v>0</v>
      </c>
      <c r="K561" s="268">
        <v>-0.06</v>
      </c>
    </row>
    <row r="562" spans="1:11">
      <c r="A562" s="25" t="s">
        <v>1010</v>
      </c>
      <c r="B562" s="26" t="s">
        <v>1001</v>
      </c>
      <c r="C562" s="26"/>
      <c r="D562" s="26"/>
      <c r="E562" s="27"/>
      <c r="F562" s="196">
        <f>SF!F96</f>
        <v>13.813144457142862</v>
      </c>
      <c r="G562" s="211"/>
      <c r="H562" s="34"/>
      <c r="I562" s="196">
        <f>SF!I96</f>
        <v>6.9065722285714308</v>
      </c>
      <c r="J562" s="196">
        <f>SF!J96</f>
        <v>-2.142281818285714</v>
      </c>
      <c r="K562" s="268">
        <v>-0.06</v>
      </c>
    </row>
    <row r="563" spans="1:11">
      <c r="A563" s="25" t="s">
        <v>1011</v>
      </c>
      <c r="B563" s="26" t="s">
        <v>211</v>
      </c>
      <c r="C563" s="26"/>
      <c r="D563" s="26"/>
      <c r="E563" s="27"/>
      <c r="F563" s="196">
        <f>SF!F98</f>
        <v>17.865688175801139</v>
      </c>
      <c r="G563" s="211"/>
      <c r="H563" s="197"/>
      <c r="I563" s="196">
        <f>SF!I98</f>
        <v>0</v>
      </c>
      <c r="J563" s="196">
        <f>SF!J98</f>
        <v>0</v>
      </c>
      <c r="K563" s="268">
        <v>-0.3</v>
      </c>
    </row>
    <row r="564" spans="1:11">
      <c r="A564" s="253"/>
      <c r="B564" s="15"/>
      <c r="C564" s="15"/>
      <c r="D564" s="15"/>
      <c r="E564" s="22"/>
      <c r="F564" s="212"/>
      <c r="G564" s="213"/>
      <c r="H564" s="198"/>
      <c r="I564" s="198"/>
      <c r="J564" s="58"/>
      <c r="K564" s="379"/>
    </row>
    <row r="565" spans="1:11">
      <c r="A565" s="46"/>
      <c r="B565" s="46"/>
      <c r="C565" s="46"/>
      <c r="D565" s="46"/>
      <c r="E565" s="46"/>
      <c r="F565" s="46"/>
      <c r="G565" s="46"/>
      <c r="H565" s="46"/>
      <c r="I565" s="46"/>
      <c r="J565" s="46"/>
      <c r="K565" s="87"/>
    </row>
    <row r="566" spans="1:11">
      <c r="A566" s="220" t="s">
        <v>73</v>
      </c>
      <c r="B566" s="220" t="s">
        <v>74</v>
      </c>
      <c r="C566" s="200"/>
      <c r="D566" s="200"/>
      <c r="E566" s="217"/>
      <c r="F566" s="1636" t="s">
        <v>72</v>
      </c>
      <c r="G566" s="1637"/>
      <c r="H566" s="1637"/>
      <c r="I566" s="1637"/>
      <c r="J566" s="1638"/>
      <c r="K566" s="87"/>
    </row>
    <row r="567" spans="1:11" ht="18">
      <c r="A567" s="221"/>
      <c r="B567" s="221"/>
      <c r="C567" s="201"/>
      <c r="D567" s="201"/>
      <c r="E567" s="219"/>
      <c r="F567" s="223" t="s">
        <v>23</v>
      </c>
      <c r="G567" s="223" t="s">
        <v>87</v>
      </c>
      <c r="H567" s="223" t="s">
        <v>212</v>
      </c>
      <c r="I567" s="223" t="s">
        <v>80</v>
      </c>
      <c r="J567" s="223" t="s">
        <v>81</v>
      </c>
      <c r="K567" s="87"/>
    </row>
    <row r="568" spans="1:11">
      <c r="A568" s="222"/>
      <c r="B568" s="222"/>
      <c r="C568" s="203"/>
      <c r="D568" s="203"/>
      <c r="E568" s="218"/>
      <c r="F568" s="204" t="s">
        <v>34</v>
      </c>
      <c r="G568" s="204" t="s">
        <v>34</v>
      </c>
      <c r="H568" s="203" t="s">
        <v>34</v>
      </c>
      <c r="I568" s="204" t="s">
        <v>77</v>
      </c>
      <c r="J568" s="204" t="s">
        <v>77</v>
      </c>
      <c r="K568" s="87"/>
    </row>
    <row r="569" spans="1:11">
      <c r="A569" s="202"/>
      <c r="B569" s="200"/>
      <c r="C569" s="200"/>
      <c r="D569" s="200"/>
      <c r="E569" s="217"/>
      <c r="F569" s="205"/>
      <c r="G569" s="205"/>
      <c r="H569" s="201"/>
      <c r="I569" s="205"/>
      <c r="J569" s="205"/>
      <c r="K569" s="87"/>
    </row>
    <row r="570" spans="1:11">
      <c r="A570" s="205" t="str">
        <f>A535</f>
        <v>LC-18</v>
      </c>
      <c r="B570" s="201" t="str">
        <f>B535</f>
        <v>LC-4 + Seismic Sx=0.3,Sz=1,Sy=-0.3</v>
      </c>
      <c r="C570" s="201"/>
      <c r="D570" s="201"/>
      <c r="E570" s="219"/>
      <c r="F570" s="205">
        <f>SUMPRODUCT(F538:F563,$K$538:$K$563)</f>
        <v>987.47409933222104</v>
      </c>
      <c r="G570" s="1080">
        <f>SUMPRODUCT(G538:G563,$K$538:$K$563)</f>
        <v>41.04011167911051</v>
      </c>
      <c r="H570" s="1080">
        <f>SUMPRODUCT(H538:H563,$K$538:$K$563)</f>
        <v>125.76431560084455</v>
      </c>
      <c r="I570" s="1080">
        <f>SUMPRODUCT(I538:I563,$K$538:$K$563)</f>
        <v>329.80526866612769</v>
      </c>
      <c r="J570" s="1080">
        <f>SUMPRODUCT(J538:J563,$K$538:$K$563)</f>
        <v>1055.0847591283518</v>
      </c>
      <c r="K570" s="87"/>
    </row>
    <row r="571" spans="1:11">
      <c r="A571" s="204"/>
      <c r="B571" s="203"/>
      <c r="C571" s="203"/>
      <c r="D571" s="203"/>
      <c r="E571" s="218"/>
      <c r="F571" s="204"/>
      <c r="G571" s="204"/>
      <c r="H571" s="203"/>
      <c r="I571" s="204"/>
      <c r="J571" s="204"/>
      <c r="K571" s="87"/>
    </row>
    <row r="574" spans="1:11">
      <c r="A574" s="1318" t="str">
        <f>K574</f>
        <v>LC-19</v>
      </c>
      <c r="B574" s="24" t="str">
        <f>VLOOKUP(A574,LC_DEF_2!A3:B42,2,FALSE)</f>
        <v>LC-4 + Seismic Sx=1,Sz=0.3,Sy=0.3</v>
      </c>
      <c r="C574" s="24"/>
      <c r="D574" s="24"/>
      <c r="E574" s="21"/>
      <c r="F574" s="1635" t="s">
        <v>742</v>
      </c>
      <c r="G574" s="1635"/>
      <c r="H574" s="1635"/>
      <c r="I574" s="1635"/>
      <c r="J574" s="1600"/>
      <c r="K574" s="413" t="s">
        <v>668</v>
      </c>
    </row>
    <row r="575" spans="1:11" ht="18">
      <c r="A575" s="25" t="s">
        <v>73</v>
      </c>
      <c r="B575" s="26" t="s">
        <v>74</v>
      </c>
      <c r="C575" s="26"/>
      <c r="D575" s="26"/>
      <c r="E575" s="27"/>
      <c r="F575" s="32" t="s">
        <v>23</v>
      </c>
      <c r="G575" s="33" t="s">
        <v>87</v>
      </c>
      <c r="H575" s="33" t="s">
        <v>212</v>
      </c>
      <c r="I575" s="33" t="s">
        <v>80</v>
      </c>
      <c r="J575" s="33" t="s">
        <v>81</v>
      </c>
      <c r="K575" s="376"/>
    </row>
    <row r="576" spans="1:11">
      <c r="A576" s="28"/>
      <c r="B576" s="15"/>
      <c r="C576" s="15"/>
      <c r="D576" s="15"/>
      <c r="E576" s="22"/>
      <c r="F576" s="21" t="s">
        <v>34</v>
      </c>
      <c r="G576" s="36" t="s">
        <v>34</v>
      </c>
      <c r="H576" s="36" t="s">
        <v>34</v>
      </c>
      <c r="I576" s="36" t="s">
        <v>77</v>
      </c>
      <c r="J576" s="36" t="s">
        <v>77</v>
      </c>
      <c r="K576" s="376"/>
    </row>
    <row r="577" spans="1:11">
      <c r="A577" s="25" t="s">
        <v>88</v>
      </c>
      <c r="B577" s="26" t="s">
        <v>75</v>
      </c>
      <c r="C577" s="26"/>
      <c r="D577" s="26"/>
      <c r="E577" s="27"/>
      <c r="F577" s="195">
        <f>SF!F14</f>
        <v>365.08803866482532</v>
      </c>
      <c r="G577" s="210"/>
      <c r="H577" s="34"/>
      <c r="I577" s="195">
        <f>SF!I14</f>
        <v>0</v>
      </c>
      <c r="J577" s="195">
        <f>SF!J14</f>
        <v>0</v>
      </c>
      <c r="K577" s="268">
        <v>1</v>
      </c>
    </row>
    <row r="578" spans="1:11">
      <c r="A578" s="25" t="s">
        <v>90</v>
      </c>
      <c r="B578" s="26" t="s">
        <v>249</v>
      </c>
      <c r="C578" s="26"/>
      <c r="D578" s="26"/>
      <c r="E578" s="27"/>
      <c r="F578" s="195">
        <f>SF!F16</f>
        <v>36.639026644707663</v>
      </c>
      <c r="G578" s="210"/>
      <c r="H578" s="34"/>
      <c r="I578" s="195">
        <f>SF!I16</f>
        <v>0</v>
      </c>
      <c r="J578" s="195">
        <f>SF!J16</f>
        <v>0</v>
      </c>
      <c r="K578" s="268">
        <v>1</v>
      </c>
    </row>
    <row r="579" spans="1:11">
      <c r="A579" s="25" t="s">
        <v>250</v>
      </c>
      <c r="B579" s="26" t="s">
        <v>967</v>
      </c>
      <c r="C579" s="26"/>
      <c r="D579" s="26"/>
      <c r="E579" s="27"/>
      <c r="F579" s="195">
        <f>SF!F19</f>
        <v>230</v>
      </c>
      <c r="G579" s="27"/>
      <c r="H579" s="34"/>
      <c r="I579" s="195">
        <f>SF!I19</f>
        <v>-115</v>
      </c>
      <c r="J579" s="195">
        <f>SF!J19</f>
        <v>0</v>
      </c>
      <c r="K579" s="376">
        <v>1</v>
      </c>
    </row>
    <row r="580" spans="1:11">
      <c r="A580" s="25" t="s">
        <v>251</v>
      </c>
      <c r="B580" s="26" t="s">
        <v>968</v>
      </c>
      <c r="C580" s="26"/>
      <c r="D580" s="26"/>
      <c r="E580" s="27"/>
      <c r="F580" s="195">
        <f>SF!F20</f>
        <v>20.660000000000004</v>
      </c>
      <c r="G580" s="27"/>
      <c r="H580" s="34"/>
      <c r="I580" s="195">
        <f>SF!I20</f>
        <v>-10.330000000000002</v>
      </c>
      <c r="J580" s="195">
        <f>SF!J20</f>
        <v>0</v>
      </c>
      <c r="K580" s="376">
        <v>1</v>
      </c>
    </row>
    <row r="581" spans="1:11">
      <c r="A581" s="25" t="s">
        <v>97</v>
      </c>
      <c r="B581" s="26" t="s">
        <v>969</v>
      </c>
      <c r="C581" s="26"/>
      <c r="D581" s="26"/>
      <c r="E581" s="27"/>
      <c r="F581" s="195">
        <f>SF!F21</f>
        <v>42</v>
      </c>
      <c r="G581" s="27"/>
      <c r="H581" s="34"/>
      <c r="I581" s="195">
        <f>SF!I21</f>
        <v>-14.858499999999999</v>
      </c>
      <c r="J581" s="195">
        <f>SF!J21</f>
        <v>0</v>
      </c>
      <c r="K581" s="376">
        <v>1</v>
      </c>
    </row>
    <row r="582" spans="1:11">
      <c r="A582" s="25" t="s">
        <v>250</v>
      </c>
      <c r="B582" s="26" t="s">
        <v>970</v>
      </c>
      <c r="C582" s="26"/>
      <c r="D582" s="26"/>
      <c r="E582" s="27"/>
      <c r="F582" s="195">
        <f>SF!F23</f>
        <v>230</v>
      </c>
      <c r="G582" s="27"/>
      <c r="H582" s="34"/>
      <c r="I582" s="195">
        <f>SF!I23</f>
        <v>115</v>
      </c>
      <c r="J582" s="195">
        <f>SF!J23</f>
        <v>0</v>
      </c>
      <c r="K582" s="376">
        <v>1</v>
      </c>
    </row>
    <row r="583" spans="1:11">
      <c r="A583" s="25" t="s">
        <v>251</v>
      </c>
      <c r="B583" s="26" t="s">
        <v>971</v>
      </c>
      <c r="C583" s="26"/>
      <c r="D583" s="26"/>
      <c r="E583" s="27"/>
      <c r="F583" s="195">
        <f>SF!F24</f>
        <v>20.660000000000004</v>
      </c>
      <c r="G583" s="27"/>
      <c r="H583" s="34"/>
      <c r="I583" s="195">
        <f>SF!I24</f>
        <v>10.330000000000002</v>
      </c>
      <c r="J583" s="195">
        <f>SF!J24</f>
        <v>0</v>
      </c>
      <c r="K583" s="268">
        <v>1</v>
      </c>
    </row>
    <row r="584" spans="1:11">
      <c r="A584" s="25" t="s">
        <v>97</v>
      </c>
      <c r="B584" s="26" t="s">
        <v>972</v>
      </c>
      <c r="C584" s="26"/>
      <c r="D584" s="26"/>
      <c r="E584" s="27"/>
      <c r="F584" s="195">
        <f>SF!F25</f>
        <v>42</v>
      </c>
      <c r="G584" s="27"/>
      <c r="H584" s="34"/>
      <c r="I584" s="195">
        <f>SF!I25</f>
        <v>14.858499999999999</v>
      </c>
      <c r="J584" s="195">
        <f>SF!J25</f>
        <v>0</v>
      </c>
      <c r="K584" s="376">
        <v>1</v>
      </c>
    </row>
    <row r="585" spans="1:11">
      <c r="A585" s="25" t="s">
        <v>976</v>
      </c>
      <c r="B585" s="26" t="s">
        <v>981</v>
      </c>
      <c r="C585" s="26"/>
      <c r="D585" s="26"/>
      <c r="E585" s="27"/>
      <c r="F585" s="195">
        <f>SF!F33</f>
        <v>0</v>
      </c>
      <c r="G585" s="27"/>
      <c r="H585" s="34"/>
      <c r="I585" s="195">
        <f>SF!I33</f>
        <v>0</v>
      </c>
      <c r="J585" s="195">
        <f>SF!J33</f>
        <v>0</v>
      </c>
      <c r="K585" s="376">
        <v>0.2</v>
      </c>
    </row>
    <row r="586" spans="1:11">
      <c r="A586" s="25" t="s">
        <v>977</v>
      </c>
      <c r="B586" s="26" t="s">
        <v>982</v>
      </c>
      <c r="C586" s="26"/>
      <c r="D586" s="26"/>
      <c r="E586" s="27"/>
      <c r="F586" s="195">
        <f>SF!F34</f>
        <v>127.89948571428575</v>
      </c>
      <c r="G586" s="27"/>
      <c r="H586" s="34"/>
      <c r="I586" s="195">
        <f>SF!I34</f>
        <v>63.949742857142873</v>
      </c>
      <c r="J586" s="195">
        <f>SF!J34</f>
        <v>-19.835942761904757</v>
      </c>
      <c r="K586" s="376">
        <v>0.2</v>
      </c>
    </row>
    <row r="587" spans="1:11">
      <c r="A587" s="278" t="s">
        <v>1132</v>
      </c>
      <c r="B587" s="262"/>
      <c r="C587" s="262"/>
      <c r="D587" s="262"/>
      <c r="E587" s="263"/>
      <c r="F587" s="279"/>
      <c r="G587" s="280"/>
      <c r="H587" s="264"/>
      <c r="I587" s="279"/>
      <c r="J587" s="264"/>
      <c r="K587" s="650">
        <v>1</v>
      </c>
    </row>
    <row r="588" spans="1:11">
      <c r="A588" s="25" t="s">
        <v>991</v>
      </c>
      <c r="B588" s="26" t="s">
        <v>989</v>
      </c>
      <c r="C588" s="26"/>
      <c r="D588" s="26"/>
      <c r="E588" s="27"/>
      <c r="F588" s="197"/>
      <c r="G588" s="172">
        <f>SF!G52</f>
        <v>94.821839999999995</v>
      </c>
      <c r="H588" s="34"/>
      <c r="I588" s="172">
        <f>SF!I52</f>
        <v>785.12483520000001</v>
      </c>
      <c r="J588" s="89"/>
      <c r="K588" s="268">
        <v>1</v>
      </c>
    </row>
    <row r="589" spans="1:11">
      <c r="A589" s="25" t="s">
        <v>994</v>
      </c>
      <c r="B589" s="26" t="s">
        <v>996</v>
      </c>
      <c r="C589" s="26"/>
      <c r="D589" s="26"/>
      <c r="E589" s="27"/>
      <c r="F589" s="197"/>
      <c r="G589" s="172">
        <f>SF!G56</f>
        <v>4.5540000000000003</v>
      </c>
      <c r="H589" s="34"/>
      <c r="I589" s="172">
        <f>SF!I56</f>
        <v>37.70712000000001</v>
      </c>
      <c r="J589" s="89"/>
      <c r="K589" s="376">
        <v>1</v>
      </c>
    </row>
    <row r="590" spans="1:11">
      <c r="A590" s="25" t="s">
        <v>217</v>
      </c>
      <c r="B590" s="26" t="s">
        <v>211</v>
      </c>
      <c r="C590" s="26"/>
      <c r="D590" s="26"/>
      <c r="E590" s="27"/>
      <c r="F590" s="197"/>
      <c r="G590" s="196">
        <f>SF!G58</f>
        <v>26.798532263701709</v>
      </c>
      <c r="H590" s="199"/>
      <c r="I590" s="172">
        <f>SF!I58</f>
        <v>147.28381289471153</v>
      </c>
      <c r="J590" s="195"/>
      <c r="K590" s="376">
        <v>1</v>
      </c>
    </row>
    <row r="591" spans="1:11">
      <c r="A591" s="278" t="s">
        <v>1135</v>
      </c>
      <c r="B591" s="262"/>
      <c r="C591" s="262"/>
      <c r="D591" s="262"/>
      <c r="E591" s="263"/>
      <c r="F591" s="279"/>
      <c r="G591" s="280"/>
      <c r="H591" s="264"/>
      <c r="I591" s="279"/>
      <c r="J591" s="264"/>
      <c r="K591" s="708">
        <v>0.3</v>
      </c>
    </row>
    <row r="592" spans="1:11">
      <c r="A592" s="25" t="s">
        <v>997</v>
      </c>
      <c r="B592" s="26" t="s">
        <v>988</v>
      </c>
      <c r="C592" s="26"/>
      <c r="D592" s="26"/>
      <c r="E592" s="27"/>
      <c r="F592" s="197"/>
      <c r="G592" s="211"/>
      <c r="H592" s="254">
        <f>SF!H67</f>
        <v>47.410919999999997</v>
      </c>
      <c r="I592" s="197"/>
      <c r="J592" s="254">
        <f>SF!J67</f>
        <v>433.10062959257624</v>
      </c>
      <c r="K592" s="268">
        <v>0.3</v>
      </c>
    </row>
    <row r="593" spans="1:11">
      <c r="A593" s="25" t="s">
        <v>998</v>
      </c>
      <c r="B593" s="26" t="s">
        <v>989</v>
      </c>
      <c r="C593" s="26"/>
      <c r="D593" s="26"/>
      <c r="E593" s="27"/>
      <c r="F593" s="197"/>
      <c r="G593" s="211"/>
      <c r="H593" s="254">
        <f>SF!H68</f>
        <v>47.410919999999997</v>
      </c>
      <c r="I593" s="197"/>
      <c r="J593" s="254">
        <f>SF!J68</f>
        <v>433.10062959257624</v>
      </c>
      <c r="K593" s="376">
        <v>0.3</v>
      </c>
    </row>
    <row r="594" spans="1:11">
      <c r="A594" s="25" t="s">
        <v>1004</v>
      </c>
      <c r="B594" s="26" t="s">
        <v>1000</v>
      </c>
      <c r="C594" s="26"/>
      <c r="D594" s="26"/>
      <c r="E594" s="27"/>
      <c r="F594" s="197"/>
      <c r="G594" s="211"/>
      <c r="H594" s="254">
        <f>SF!H75</f>
        <v>0</v>
      </c>
      <c r="I594" s="197"/>
      <c r="J594" s="254">
        <f>SF!J75</f>
        <v>0</v>
      </c>
      <c r="K594" s="376">
        <v>0.06</v>
      </c>
    </row>
    <row r="595" spans="1:11">
      <c r="A595" s="25" t="s">
        <v>1005</v>
      </c>
      <c r="B595" s="26" t="s">
        <v>1001</v>
      </c>
      <c r="C595" s="26"/>
      <c r="D595" s="26"/>
      <c r="E595" s="27"/>
      <c r="F595" s="197"/>
      <c r="G595" s="211"/>
      <c r="H595" s="254">
        <f>SF!H76</f>
        <v>20.719716685714292</v>
      </c>
      <c r="I595" s="197"/>
      <c r="J595" s="254">
        <f>SF!J76</f>
        <v>227.1916934588572</v>
      </c>
      <c r="K595" s="376">
        <v>0.06</v>
      </c>
    </row>
    <row r="596" spans="1:11">
      <c r="A596" s="25" t="s">
        <v>1006</v>
      </c>
      <c r="B596" s="26" t="s">
        <v>211</v>
      </c>
      <c r="C596" s="26"/>
      <c r="D596" s="26"/>
      <c r="E596" s="27"/>
      <c r="F596" s="197"/>
      <c r="G596" s="195"/>
      <c r="H596" s="254">
        <f>SF!H78</f>
        <v>26.798532263701709</v>
      </c>
      <c r="I596" s="195"/>
      <c r="J596" s="254">
        <f>SF!J78</f>
        <v>147.28381289471153</v>
      </c>
      <c r="K596" s="376">
        <v>0.3</v>
      </c>
    </row>
    <row r="597" spans="1:11">
      <c r="A597" s="290" t="s">
        <v>1137</v>
      </c>
      <c r="B597" s="11"/>
      <c r="C597" s="11"/>
      <c r="D597" s="11"/>
      <c r="E597" s="191"/>
      <c r="F597" s="197"/>
      <c r="G597" s="211"/>
      <c r="H597" s="89"/>
      <c r="I597" s="197"/>
      <c r="J597" s="89"/>
      <c r="K597" s="994">
        <v>0.3</v>
      </c>
    </row>
    <row r="598" spans="1:11">
      <c r="A598" s="25" t="s">
        <v>1007</v>
      </c>
      <c r="B598" s="26" t="s">
        <v>988</v>
      </c>
      <c r="C598" s="26"/>
      <c r="D598" s="26"/>
      <c r="E598" s="27"/>
      <c r="F598" s="196">
        <f>SF!F87</f>
        <v>31.607279999999999</v>
      </c>
      <c r="G598" s="211"/>
      <c r="H598" s="34"/>
      <c r="I598" s="196">
        <f>SF!I87</f>
        <v>-15.140358000000003</v>
      </c>
      <c r="J598" s="196">
        <f>SF!J87</f>
        <v>0</v>
      </c>
      <c r="K598" s="376">
        <v>0.3</v>
      </c>
    </row>
    <row r="599" spans="1:11">
      <c r="A599" s="25" t="s">
        <v>1008</v>
      </c>
      <c r="B599" s="26" t="s">
        <v>989</v>
      </c>
      <c r="C599" s="26"/>
      <c r="D599" s="26"/>
      <c r="E599" s="27"/>
      <c r="F599" s="196">
        <f>SF!F88</f>
        <v>31.607279999999999</v>
      </c>
      <c r="G599" s="211"/>
      <c r="H599" s="34"/>
      <c r="I599" s="196">
        <f>SF!I88</f>
        <v>15.140358000000003</v>
      </c>
      <c r="J599" s="196">
        <f>SF!J88</f>
        <v>0</v>
      </c>
      <c r="K599" s="268">
        <v>0.3</v>
      </c>
    </row>
    <row r="600" spans="1:11">
      <c r="A600" s="25" t="s">
        <v>1009</v>
      </c>
      <c r="B600" s="26" t="s">
        <v>1000</v>
      </c>
      <c r="C600" s="26"/>
      <c r="D600" s="26"/>
      <c r="E600" s="27"/>
      <c r="F600" s="196">
        <f>SF!F95</f>
        <v>0</v>
      </c>
      <c r="G600" s="211"/>
      <c r="H600" s="34"/>
      <c r="I600" s="196">
        <f>SF!I95</f>
        <v>0</v>
      </c>
      <c r="J600" s="196">
        <f>SF!J95</f>
        <v>0</v>
      </c>
      <c r="K600" s="268">
        <v>0.06</v>
      </c>
    </row>
    <row r="601" spans="1:11">
      <c r="A601" s="25" t="s">
        <v>1010</v>
      </c>
      <c r="B601" s="26" t="s">
        <v>1001</v>
      </c>
      <c r="C601" s="26"/>
      <c r="D601" s="26"/>
      <c r="E601" s="27"/>
      <c r="F601" s="196">
        <f>SF!F96</f>
        <v>13.813144457142862</v>
      </c>
      <c r="G601" s="211"/>
      <c r="H601" s="34"/>
      <c r="I601" s="196">
        <f>SF!I96</f>
        <v>6.9065722285714308</v>
      </c>
      <c r="J601" s="196">
        <f>SF!J96</f>
        <v>-2.142281818285714</v>
      </c>
      <c r="K601" s="268">
        <v>0.06</v>
      </c>
    </row>
    <row r="602" spans="1:11">
      <c r="A602" s="25" t="s">
        <v>1011</v>
      </c>
      <c r="B602" s="26" t="s">
        <v>211</v>
      </c>
      <c r="C602" s="26"/>
      <c r="D602" s="26"/>
      <c r="E602" s="27"/>
      <c r="F602" s="196">
        <f>SF!F98</f>
        <v>17.865688175801139</v>
      </c>
      <c r="G602" s="211"/>
      <c r="H602" s="197"/>
      <c r="I602" s="196">
        <f>SF!I98</f>
        <v>0</v>
      </c>
      <c r="J602" s="196">
        <f>SF!J98</f>
        <v>0</v>
      </c>
      <c r="K602" s="268">
        <v>0.3</v>
      </c>
    </row>
    <row r="603" spans="1:11">
      <c r="A603" s="253"/>
      <c r="B603" s="15"/>
      <c r="C603" s="15"/>
      <c r="D603" s="15"/>
      <c r="E603" s="22"/>
      <c r="F603" s="212"/>
      <c r="G603" s="213"/>
      <c r="H603" s="198"/>
      <c r="I603" s="198"/>
      <c r="J603" s="58"/>
      <c r="K603" s="379"/>
    </row>
    <row r="604" spans="1:11">
      <c r="A604" s="46"/>
      <c r="B604" s="46"/>
      <c r="C604" s="46"/>
      <c r="D604" s="46"/>
      <c r="E604" s="46"/>
      <c r="F604" s="46"/>
      <c r="G604" s="46"/>
      <c r="H604" s="46"/>
      <c r="I604" s="46"/>
      <c r="J604" s="46"/>
      <c r="K604" s="87"/>
    </row>
    <row r="605" spans="1:11">
      <c r="A605" s="220" t="s">
        <v>73</v>
      </c>
      <c r="B605" s="220" t="s">
        <v>74</v>
      </c>
      <c r="C605" s="200"/>
      <c r="D605" s="200"/>
      <c r="E605" s="217"/>
      <c r="F605" s="1636" t="s">
        <v>72</v>
      </c>
      <c r="G605" s="1637"/>
      <c r="H605" s="1637"/>
      <c r="I605" s="1637"/>
      <c r="J605" s="1638"/>
      <c r="K605" s="87"/>
    </row>
    <row r="606" spans="1:11" ht="18">
      <c r="A606" s="221"/>
      <c r="B606" s="221"/>
      <c r="C606" s="201"/>
      <c r="D606" s="201"/>
      <c r="E606" s="219"/>
      <c r="F606" s="223" t="s">
        <v>23</v>
      </c>
      <c r="G606" s="223" t="s">
        <v>87</v>
      </c>
      <c r="H606" s="223" t="s">
        <v>212</v>
      </c>
      <c r="I606" s="223" t="s">
        <v>80</v>
      </c>
      <c r="J606" s="223" t="s">
        <v>81</v>
      </c>
      <c r="K606" s="87"/>
    </row>
    <row r="607" spans="1:11">
      <c r="A607" s="222"/>
      <c r="B607" s="222"/>
      <c r="C607" s="203"/>
      <c r="D607" s="203"/>
      <c r="E607" s="218"/>
      <c r="F607" s="204" t="s">
        <v>34</v>
      </c>
      <c r="G607" s="204" t="s">
        <v>34</v>
      </c>
      <c r="H607" s="203" t="s">
        <v>34</v>
      </c>
      <c r="I607" s="204" t="s">
        <v>77</v>
      </c>
      <c r="J607" s="204" t="s">
        <v>77</v>
      </c>
      <c r="K607" s="87"/>
    </row>
    <row r="608" spans="1:11">
      <c r="A608" s="202"/>
      <c r="B608" s="200"/>
      <c r="C608" s="200"/>
      <c r="D608" s="200"/>
      <c r="E608" s="217"/>
      <c r="F608" s="205"/>
      <c r="G608" s="205"/>
      <c r="H608" s="201"/>
      <c r="I608" s="205"/>
      <c r="J608" s="205"/>
      <c r="K608" s="87"/>
    </row>
    <row r="609" spans="1:11">
      <c r="A609" s="205" t="str">
        <f>A574</f>
        <v>LC-19</v>
      </c>
      <c r="B609" s="201" t="str">
        <f>B574</f>
        <v>LC-4 + Seismic Sx=1,Sz=0.3,Sy=0.3</v>
      </c>
      <c r="C609" s="201"/>
      <c r="D609" s="201"/>
      <c r="E609" s="219"/>
      <c r="F609" s="205">
        <f>SUMPRODUCT(F577:F602,$K$577:$K$602)</f>
        <v>1037.7798255725588</v>
      </c>
      <c r="G609" s="1080">
        <f>SUMPRODUCT(G577:G602,$K$577:$K$602)</f>
        <v>126.17437226370171</v>
      </c>
      <c r="H609" s="1080">
        <f>SUMPRODUCT(H577:H602,$K$577:$K$602)</f>
        <v>37.729294680253368</v>
      </c>
      <c r="I609" s="1080">
        <f>SUMPRODUCT(I577:I602,$K$577:$K$602)</f>
        <v>983.32011099985448</v>
      </c>
      <c r="J609" s="1080">
        <f>SUMPRODUCT(J577:J602,$K$577:$K$602)</f>
        <v>313.58129777001255</v>
      </c>
      <c r="K609" s="87"/>
    </row>
    <row r="610" spans="1:11">
      <c r="A610" s="204"/>
      <c r="B610" s="203"/>
      <c r="C610" s="203"/>
      <c r="D610" s="203"/>
      <c r="E610" s="218"/>
      <c r="F610" s="204"/>
      <c r="G610" s="204"/>
      <c r="H610" s="203"/>
      <c r="I610" s="204"/>
      <c r="J610" s="204"/>
      <c r="K610" s="87"/>
    </row>
    <row r="613" spans="1:11">
      <c r="A613" s="1318" t="str">
        <f>K613</f>
        <v>LC-20</v>
      </c>
      <c r="B613" s="24" t="str">
        <f>VLOOKUP(A613,LC_DEF_2!A3:B42,2,FALSE)</f>
        <v>LC-4 + Seismic Sx=0.3,Sz=1,Sy=0.3</v>
      </c>
      <c r="C613" s="24"/>
      <c r="D613" s="24"/>
      <c r="E613" s="21"/>
      <c r="F613" s="1635" t="s">
        <v>742</v>
      </c>
      <c r="G613" s="1635"/>
      <c r="H613" s="1635"/>
      <c r="I613" s="1635"/>
      <c r="J613" s="1600"/>
      <c r="K613" s="413" t="s">
        <v>669</v>
      </c>
    </row>
    <row r="614" spans="1:11" ht="18">
      <c r="A614" s="25" t="s">
        <v>73</v>
      </c>
      <c r="B614" s="26" t="s">
        <v>74</v>
      </c>
      <c r="C614" s="26"/>
      <c r="D614" s="26"/>
      <c r="E614" s="27"/>
      <c r="F614" s="32" t="s">
        <v>23</v>
      </c>
      <c r="G614" s="33" t="s">
        <v>87</v>
      </c>
      <c r="H614" s="33" t="s">
        <v>212</v>
      </c>
      <c r="I614" s="33" t="s">
        <v>80</v>
      </c>
      <c r="J614" s="33" t="s">
        <v>81</v>
      </c>
      <c r="K614" s="376"/>
    </row>
    <row r="615" spans="1:11">
      <c r="A615" s="28"/>
      <c r="B615" s="15"/>
      <c r="C615" s="15"/>
      <c r="D615" s="15"/>
      <c r="E615" s="22"/>
      <c r="F615" s="21" t="s">
        <v>34</v>
      </c>
      <c r="G615" s="36" t="s">
        <v>34</v>
      </c>
      <c r="H615" s="36" t="s">
        <v>34</v>
      </c>
      <c r="I615" s="36" t="s">
        <v>77</v>
      </c>
      <c r="J615" s="36" t="s">
        <v>77</v>
      </c>
      <c r="K615" s="376"/>
    </row>
    <row r="616" spans="1:11">
      <c r="A616" s="25" t="s">
        <v>88</v>
      </c>
      <c r="B616" s="26" t="s">
        <v>75</v>
      </c>
      <c r="C616" s="26"/>
      <c r="D616" s="26"/>
      <c r="E616" s="27"/>
      <c r="F616" s="195">
        <f>SF!F14</f>
        <v>365.08803866482532</v>
      </c>
      <c r="G616" s="210"/>
      <c r="H616" s="34"/>
      <c r="I616" s="195">
        <f>SF!I14</f>
        <v>0</v>
      </c>
      <c r="J616" s="195">
        <f>SF!J14</f>
        <v>0</v>
      </c>
      <c r="K616" s="268">
        <v>1</v>
      </c>
    </row>
    <row r="617" spans="1:11">
      <c r="A617" s="25" t="s">
        <v>90</v>
      </c>
      <c r="B617" s="26" t="s">
        <v>249</v>
      </c>
      <c r="C617" s="26"/>
      <c r="D617" s="26"/>
      <c r="E617" s="27"/>
      <c r="F617" s="195">
        <f>SF!F16</f>
        <v>36.639026644707663</v>
      </c>
      <c r="G617" s="210"/>
      <c r="H617" s="34"/>
      <c r="I617" s="195">
        <f>SF!I16</f>
        <v>0</v>
      </c>
      <c r="J617" s="195">
        <f>SF!J16</f>
        <v>0</v>
      </c>
      <c r="K617" s="268">
        <v>1</v>
      </c>
    </row>
    <row r="618" spans="1:11">
      <c r="A618" s="25" t="s">
        <v>250</v>
      </c>
      <c r="B618" s="26" t="s">
        <v>967</v>
      </c>
      <c r="C618" s="26"/>
      <c r="D618" s="26"/>
      <c r="E618" s="27"/>
      <c r="F618" s="195">
        <f>SF!F19</f>
        <v>230</v>
      </c>
      <c r="G618" s="27"/>
      <c r="H618" s="34"/>
      <c r="I618" s="195">
        <f>SF!I19</f>
        <v>-115</v>
      </c>
      <c r="J618" s="195">
        <f>SF!J19</f>
        <v>0</v>
      </c>
      <c r="K618" s="376">
        <v>1</v>
      </c>
    </row>
    <row r="619" spans="1:11">
      <c r="A619" s="25" t="s">
        <v>251</v>
      </c>
      <c r="B619" s="26" t="s">
        <v>968</v>
      </c>
      <c r="C619" s="26"/>
      <c r="D619" s="26"/>
      <c r="E619" s="27"/>
      <c r="F619" s="195">
        <f>SF!F20</f>
        <v>20.660000000000004</v>
      </c>
      <c r="G619" s="27"/>
      <c r="H619" s="34"/>
      <c r="I619" s="195">
        <f>SF!I20</f>
        <v>-10.330000000000002</v>
      </c>
      <c r="J619" s="195">
        <f>SF!J20</f>
        <v>0</v>
      </c>
      <c r="K619" s="376">
        <v>1</v>
      </c>
    </row>
    <row r="620" spans="1:11">
      <c r="A620" s="25" t="s">
        <v>97</v>
      </c>
      <c r="B620" s="26" t="s">
        <v>969</v>
      </c>
      <c r="C620" s="26"/>
      <c r="D620" s="26"/>
      <c r="E620" s="27"/>
      <c r="F620" s="195">
        <f>SF!F21</f>
        <v>42</v>
      </c>
      <c r="G620" s="27"/>
      <c r="H620" s="34"/>
      <c r="I620" s="195">
        <f>SF!I21</f>
        <v>-14.858499999999999</v>
      </c>
      <c r="J620" s="195">
        <f>SF!J21</f>
        <v>0</v>
      </c>
      <c r="K620" s="376">
        <v>1</v>
      </c>
    </row>
    <row r="621" spans="1:11">
      <c r="A621" s="25" t="s">
        <v>250</v>
      </c>
      <c r="B621" s="26" t="s">
        <v>970</v>
      </c>
      <c r="C621" s="26"/>
      <c r="D621" s="26"/>
      <c r="E621" s="27"/>
      <c r="F621" s="195">
        <f>SF!F23</f>
        <v>230</v>
      </c>
      <c r="G621" s="27"/>
      <c r="H621" s="34"/>
      <c r="I621" s="195">
        <f>SF!I23</f>
        <v>115</v>
      </c>
      <c r="J621" s="195">
        <f>SF!J23</f>
        <v>0</v>
      </c>
      <c r="K621" s="376">
        <v>1</v>
      </c>
    </row>
    <row r="622" spans="1:11">
      <c r="A622" s="25" t="s">
        <v>251</v>
      </c>
      <c r="B622" s="26" t="s">
        <v>971</v>
      </c>
      <c r="C622" s="26"/>
      <c r="D622" s="26"/>
      <c r="E622" s="27"/>
      <c r="F622" s="195">
        <f>SF!F24</f>
        <v>20.660000000000004</v>
      </c>
      <c r="G622" s="27"/>
      <c r="H622" s="34"/>
      <c r="I622" s="195">
        <f>SF!I24</f>
        <v>10.330000000000002</v>
      </c>
      <c r="J622" s="195">
        <f>SF!J24</f>
        <v>0</v>
      </c>
      <c r="K622" s="268">
        <v>1</v>
      </c>
    </row>
    <row r="623" spans="1:11">
      <c r="A623" s="25" t="s">
        <v>97</v>
      </c>
      <c r="B623" s="26" t="s">
        <v>972</v>
      </c>
      <c r="C623" s="26"/>
      <c r="D623" s="26"/>
      <c r="E623" s="27"/>
      <c r="F623" s="195">
        <f>SF!F25</f>
        <v>42</v>
      </c>
      <c r="G623" s="27"/>
      <c r="H623" s="34"/>
      <c r="I623" s="195">
        <f>SF!I25</f>
        <v>14.858499999999999</v>
      </c>
      <c r="J623" s="195">
        <f>SF!J25</f>
        <v>0</v>
      </c>
      <c r="K623" s="376">
        <v>1</v>
      </c>
    </row>
    <row r="624" spans="1:11">
      <c r="A624" s="25" t="s">
        <v>976</v>
      </c>
      <c r="B624" s="26" t="s">
        <v>981</v>
      </c>
      <c r="C624" s="26"/>
      <c r="D624" s="26"/>
      <c r="E624" s="27"/>
      <c r="F624" s="195">
        <f>SF!F33</f>
        <v>0</v>
      </c>
      <c r="G624" s="27"/>
      <c r="H624" s="34"/>
      <c r="I624" s="195">
        <f>SF!I33</f>
        <v>0</v>
      </c>
      <c r="J624" s="195">
        <f>SF!J33</f>
        <v>0</v>
      </c>
      <c r="K624" s="376">
        <v>0.2</v>
      </c>
    </row>
    <row r="625" spans="1:11">
      <c r="A625" s="25" t="s">
        <v>977</v>
      </c>
      <c r="B625" s="26" t="s">
        <v>982</v>
      </c>
      <c r="C625" s="26"/>
      <c r="D625" s="26"/>
      <c r="E625" s="27"/>
      <c r="F625" s="195">
        <f>SF!F34</f>
        <v>127.89948571428575</v>
      </c>
      <c r="G625" s="27"/>
      <c r="H625" s="34"/>
      <c r="I625" s="195">
        <f>SF!I34</f>
        <v>63.949742857142873</v>
      </c>
      <c r="J625" s="195">
        <f>SF!J34</f>
        <v>-19.835942761904757</v>
      </c>
      <c r="K625" s="376">
        <v>0.2</v>
      </c>
    </row>
    <row r="626" spans="1:11">
      <c r="A626" s="278" t="s">
        <v>1132</v>
      </c>
      <c r="B626" s="262"/>
      <c r="C626" s="262"/>
      <c r="D626" s="262"/>
      <c r="E626" s="263"/>
      <c r="F626" s="279"/>
      <c r="G626" s="280"/>
      <c r="H626" s="264"/>
      <c r="I626" s="279"/>
      <c r="J626" s="264"/>
      <c r="K626" s="650">
        <v>1</v>
      </c>
    </row>
    <row r="627" spans="1:11">
      <c r="A627" s="25" t="s">
        <v>991</v>
      </c>
      <c r="B627" s="26" t="s">
        <v>989</v>
      </c>
      <c r="C627" s="26"/>
      <c r="D627" s="26"/>
      <c r="E627" s="27"/>
      <c r="F627" s="197"/>
      <c r="G627" s="172">
        <f>SF!G52</f>
        <v>94.821839999999995</v>
      </c>
      <c r="H627" s="34"/>
      <c r="I627" s="172">
        <f>SF!I52</f>
        <v>785.12483520000001</v>
      </c>
      <c r="J627" s="89"/>
      <c r="K627" s="268">
        <v>0.3</v>
      </c>
    </row>
    <row r="628" spans="1:11">
      <c r="A628" s="25" t="s">
        <v>994</v>
      </c>
      <c r="B628" s="26" t="s">
        <v>996</v>
      </c>
      <c r="C628" s="26"/>
      <c r="D628" s="26"/>
      <c r="E628" s="27"/>
      <c r="F628" s="197"/>
      <c r="G628" s="172">
        <f>SF!G56</f>
        <v>4.5540000000000003</v>
      </c>
      <c r="H628" s="34"/>
      <c r="I628" s="172">
        <f>SF!I56</f>
        <v>37.70712000000001</v>
      </c>
      <c r="J628" s="89"/>
      <c r="K628" s="376">
        <v>1</v>
      </c>
    </row>
    <row r="629" spans="1:11">
      <c r="A629" s="25" t="s">
        <v>217</v>
      </c>
      <c r="B629" s="26" t="s">
        <v>211</v>
      </c>
      <c r="C629" s="26"/>
      <c r="D629" s="26"/>
      <c r="E629" s="27"/>
      <c r="F629" s="197"/>
      <c r="G629" s="196">
        <f>SF!G58</f>
        <v>26.798532263701709</v>
      </c>
      <c r="H629" s="199"/>
      <c r="I629" s="172">
        <f>SF!I58</f>
        <v>147.28381289471153</v>
      </c>
      <c r="J629" s="195"/>
      <c r="K629" s="376">
        <v>0.3</v>
      </c>
    </row>
    <row r="630" spans="1:11">
      <c r="A630" s="278" t="s">
        <v>1135</v>
      </c>
      <c r="B630" s="262"/>
      <c r="C630" s="262"/>
      <c r="D630" s="262"/>
      <c r="E630" s="263"/>
      <c r="F630" s="279"/>
      <c r="G630" s="280"/>
      <c r="H630" s="264"/>
      <c r="I630" s="279"/>
      <c r="J630" s="264"/>
      <c r="K630" s="708">
        <v>1</v>
      </c>
    </row>
    <row r="631" spans="1:11">
      <c r="A631" s="25" t="s">
        <v>997</v>
      </c>
      <c r="B631" s="26" t="s">
        <v>988</v>
      </c>
      <c r="C631" s="26"/>
      <c r="D631" s="26"/>
      <c r="E631" s="27"/>
      <c r="F631" s="197"/>
      <c r="G631" s="211"/>
      <c r="H631" s="254">
        <f>SF!H67</f>
        <v>47.410919999999997</v>
      </c>
      <c r="I631" s="197"/>
      <c r="J631" s="254">
        <f>SF!J67</f>
        <v>433.10062959257624</v>
      </c>
      <c r="K631" s="268">
        <v>1</v>
      </c>
    </row>
    <row r="632" spans="1:11">
      <c r="A632" s="25" t="s">
        <v>998</v>
      </c>
      <c r="B632" s="26" t="s">
        <v>989</v>
      </c>
      <c r="C632" s="26"/>
      <c r="D632" s="26"/>
      <c r="E632" s="27"/>
      <c r="F632" s="197"/>
      <c r="G632" s="211"/>
      <c r="H632" s="254">
        <f>SF!H68</f>
        <v>47.410919999999997</v>
      </c>
      <c r="I632" s="197"/>
      <c r="J632" s="254">
        <f>SF!J68</f>
        <v>433.10062959257624</v>
      </c>
      <c r="K632" s="376">
        <v>1</v>
      </c>
    </row>
    <row r="633" spans="1:11">
      <c r="A633" s="25" t="s">
        <v>1004</v>
      </c>
      <c r="B633" s="26" t="s">
        <v>1000</v>
      </c>
      <c r="C633" s="26"/>
      <c r="D633" s="26"/>
      <c r="E633" s="27"/>
      <c r="F633" s="197"/>
      <c r="G633" s="211"/>
      <c r="H633" s="254">
        <f>SF!H75</f>
        <v>0</v>
      </c>
      <c r="I633" s="197"/>
      <c r="J633" s="254">
        <f>SF!J75</f>
        <v>0</v>
      </c>
      <c r="K633" s="376">
        <v>0.2</v>
      </c>
    </row>
    <row r="634" spans="1:11">
      <c r="A634" s="25" t="s">
        <v>1005</v>
      </c>
      <c r="B634" s="26" t="s">
        <v>1001</v>
      </c>
      <c r="C634" s="26"/>
      <c r="D634" s="26"/>
      <c r="E634" s="27"/>
      <c r="F634" s="197"/>
      <c r="G634" s="211"/>
      <c r="H634" s="254">
        <f>SF!H76</f>
        <v>20.719716685714292</v>
      </c>
      <c r="I634" s="197"/>
      <c r="J634" s="254">
        <f>SF!J76</f>
        <v>227.1916934588572</v>
      </c>
      <c r="K634" s="376">
        <v>0.2</v>
      </c>
    </row>
    <row r="635" spans="1:11">
      <c r="A635" s="25" t="s">
        <v>1006</v>
      </c>
      <c r="B635" s="26" t="s">
        <v>211</v>
      </c>
      <c r="C635" s="26"/>
      <c r="D635" s="26"/>
      <c r="E635" s="27"/>
      <c r="F635" s="197"/>
      <c r="G635" s="195"/>
      <c r="H635" s="254">
        <f>SF!H78</f>
        <v>26.798532263701709</v>
      </c>
      <c r="I635" s="195"/>
      <c r="J635" s="254">
        <f>SF!J78</f>
        <v>147.28381289471153</v>
      </c>
      <c r="K635" s="376">
        <v>1</v>
      </c>
    </row>
    <row r="636" spans="1:11">
      <c r="A636" s="290" t="s">
        <v>1137</v>
      </c>
      <c r="B636" s="11"/>
      <c r="C636" s="11"/>
      <c r="D636" s="11"/>
      <c r="E636" s="191"/>
      <c r="F636" s="197"/>
      <c r="G636" s="211"/>
      <c r="H636" s="89"/>
      <c r="I636" s="197"/>
      <c r="J636" s="89"/>
      <c r="K636" s="994">
        <v>0.3</v>
      </c>
    </row>
    <row r="637" spans="1:11">
      <c r="A637" s="25" t="s">
        <v>1007</v>
      </c>
      <c r="B637" s="26" t="s">
        <v>988</v>
      </c>
      <c r="C637" s="26"/>
      <c r="D637" s="26"/>
      <c r="E637" s="27"/>
      <c r="F637" s="196">
        <f>SF!F87</f>
        <v>31.607279999999999</v>
      </c>
      <c r="G637" s="211"/>
      <c r="H637" s="34"/>
      <c r="I637" s="196">
        <f>SF!I87</f>
        <v>-15.140358000000003</v>
      </c>
      <c r="J637" s="196">
        <f>SF!J87</f>
        <v>0</v>
      </c>
      <c r="K637" s="376">
        <v>0.3</v>
      </c>
    </row>
    <row r="638" spans="1:11">
      <c r="A638" s="25" t="s">
        <v>1008</v>
      </c>
      <c r="B638" s="26" t="s">
        <v>989</v>
      </c>
      <c r="C638" s="26"/>
      <c r="D638" s="26"/>
      <c r="E638" s="27"/>
      <c r="F638" s="196">
        <f>SF!F88</f>
        <v>31.607279999999999</v>
      </c>
      <c r="G638" s="211"/>
      <c r="H638" s="34"/>
      <c r="I638" s="196">
        <f>SF!I88</f>
        <v>15.140358000000003</v>
      </c>
      <c r="J638" s="196">
        <f>SF!J88</f>
        <v>0</v>
      </c>
      <c r="K638" s="268">
        <v>0.3</v>
      </c>
    </row>
    <row r="639" spans="1:11">
      <c r="A639" s="25" t="s">
        <v>1009</v>
      </c>
      <c r="B639" s="26" t="s">
        <v>1000</v>
      </c>
      <c r="C639" s="26"/>
      <c r="D639" s="26"/>
      <c r="E639" s="27"/>
      <c r="F639" s="196">
        <f>SF!F95</f>
        <v>0</v>
      </c>
      <c r="G639" s="211"/>
      <c r="H639" s="34"/>
      <c r="I639" s="196">
        <f>SF!I95</f>
        <v>0</v>
      </c>
      <c r="J639" s="196">
        <f>SF!J95</f>
        <v>0</v>
      </c>
      <c r="K639" s="268">
        <v>0.06</v>
      </c>
    </row>
    <row r="640" spans="1:11">
      <c r="A640" s="25" t="s">
        <v>1010</v>
      </c>
      <c r="B640" s="26" t="s">
        <v>1001</v>
      </c>
      <c r="C640" s="26"/>
      <c r="D640" s="26"/>
      <c r="E640" s="27"/>
      <c r="F640" s="196">
        <f>SF!F96</f>
        <v>13.813144457142862</v>
      </c>
      <c r="G640" s="211"/>
      <c r="H640" s="34"/>
      <c r="I640" s="196">
        <f>SF!I96</f>
        <v>6.9065722285714308</v>
      </c>
      <c r="J640" s="196">
        <f>SF!J96</f>
        <v>-2.142281818285714</v>
      </c>
      <c r="K640" s="268">
        <v>0.06</v>
      </c>
    </row>
    <row r="641" spans="1:11">
      <c r="A641" s="25" t="s">
        <v>1011</v>
      </c>
      <c r="B641" s="26" t="s">
        <v>211</v>
      </c>
      <c r="C641" s="26"/>
      <c r="D641" s="26"/>
      <c r="E641" s="27"/>
      <c r="F641" s="196">
        <f>SF!F98</f>
        <v>17.865688175801139</v>
      </c>
      <c r="G641" s="211"/>
      <c r="H641" s="197"/>
      <c r="I641" s="196">
        <f>SF!I98</f>
        <v>0</v>
      </c>
      <c r="J641" s="196">
        <f>SF!J98</f>
        <v>0</v>
      </c>
      <c r="K641" s="268">
        <v>0.3</v>
      </c>
    </row>
    <row r="642" spans="1:11">
      <c r="A642" s="253"/>
      <c r="B642" s="15"/>
      <c r="C642" s="15"/>
      <c r="D642" s="15"/>
      <c r="E642" s="22"/>
      <c r="F642" s="212"/>
      <c r="G642" s="213"/>
      <c r="H642" s="198"/>
      <c r="I642" s="198"/>
      <c r="J642" s="58"/>
      <c r="K642" s="379"/>
    </row>
    <row r="643" spans="1:11">
      <c r="A643" s="46"/>
      <c r="B643" s="46"/>
      <c r="C643" s="46"/>
      <c r="D643" s="46"/>
      <c r="E643" s="46"/>
      <c r="F643" s="46"/>
      <c r="G643" s="46"/>
      <c r="H643" s="46"/>
      <c r="I643" s="46"/>
      <c r="J643" s="46"/>
      <c r="K643" s="87"/>
    </row>
    <row r="644" spans="1:11">
      <c r="A644" s="220" t="s">
        <v>73</v>
      </c>
      <c r="B644" s="220" t="s">
        <v>74</v>
      </c>
      <c r="C644" s="200"/>
      <c r="D644" s="200"/>
      <c r="E644" s="217"/>
      <c r="F644" s="1636" t="s">
        <v>72</v>
      </c>
      <c r="G644" s="1637"/>
      <c r="H644" s="1637"/>
      <c r="I644" s="1637"/>
      <c r="J644" s="1638"/>
      <c r="K644" s="87"/>
    </row>
    <row r="645" spans="1:11" ht="18">
      <c r="A645" s="221"/>
      <c r="B645" s="221"/>
      <c r="C645" s="201"/>
      <c r="D645" s="201"/>
      <c r="E645" s="219"/>
      <c r="F645" s="223" t="s">
        <v>23</v>
      </c>
      <c r="G645" s="223" t="s">
        <v>87</v>
      </c>
      <c r="H645" s="223" t="s">
        <v>212</v>
      </c>
      <c r="I645" s="223" t="s">
        <v>80</v>
      </c>
      <c r="J645" s="223" t="s">
        <v>81</v>
      </c>
      <c r="K645" s="87"/>
    </row>
    <row r="646" spans="1:11">
      <c r="A646" s="222"/>
      <c r="B646" s="222"/>
      <c r="C646" s="203"/>
      <c r="D646" s="203"/>
      <c r="E646" s="218"/>
      <c r="F646" s="204" t="s">
        <v>34</v>
      </c>
      <c r="G646" s="204" t="s">
        <v>34</v>
      </c>
      <c r="H646" s="203" t="s">
        <v>34</v>
      </c>
      <c r="I646" s="204" t="s">
        <v>77</v>
      </c>
      <c r="J646" s="204" t="s">
        <v>77</v>
      </c>
      <c r="K646" s="87"/>
    </row>
    <row r="647" spans="1:11">
      <c r="A647" s="202"/>
      <c r="B647" s="200"/>
      <c r="C647" s="200"/>
      <c r="D647" s="200"/>
      <c r="E647" s="217"/>
      <c r="F647" s="205"/>
      <c r="G647" s="205"/>
      <c r="H647" s="201"/>
      <c r="I647" s="205"/>
      <c r="J647" s="205"/>
      <c r="K647" s="87"/>
    </row>
    <row r="648" spans="1:11">
      <c r="A648" s="205" t="str">
        <f>A613</f>
        <v>LC-20</v>
      </c>
      <c r="B648" s="201" t="str">
        <f>B613</f>
        <v>LC-4 + Seismic Sx=0.3,Sz=1,Sy=0.3</v>
      </c>
      <c r="C648" s="201"/>
      <c r="D648" s="201"/>
      <c r="E648" s="219"/>
      <c r="F648" s="205">
        <f>SUMPRODUCT(F616:F641,$K$616:$K$641)</f>
        <v>1037.7798255725588</v>
      </c>
      <c r="G648" s="1080">
        <f>SUMPRODUCT(G616:G641,$K$616:$K$641)</f>
        <v>41.04011167911051</v>
      </c>
      <c r="H648" s="1080">
        <f>SUMPRODUCT(H616:H641,$K$616:$K$641)</f>
        <v>125.76431560084455</v>
      </c>
      <c r="I648" s="1080">
        <f>SUMPRODUCT(I616:I641,$K$616:$K$641)</f>
        <v>330.63405733355631</v>
      </c>
      <c r="J648" s="1080">
        <f>SUMPRODUCT(J616:J641,$K$616:$K$641)</f>
        <v>1054.8276853101574</v>
      </c>
      <c r="K648" s="87"/>
    </row>
    <row r="649" spans="1:11">
      <c r="A649" s="204"/>
      <c r="B649" s="203"/>
      <c r="C649" s="203"/>
      <c r="D649" s="203"/>
      <c r="E649" s="218"/>
      <c r="F649" s="204"/>
      <c r="G649" s="204"/>
      <c r="H649" s="203"/>
      <c r="I649" s="204"/>
      <c r="J649" s="204"/>
      <c r="K649" s="87"/>
    </row>
    <row r="652" spans="1:11">
      <c r="A652" s="1318" t="str">
        <f>K652</f>
        <v>LC-21</v>
      </c>
      <c r="B652" s="24" t="str">
        <f>VLOOKUP(A652,LC_DEF_2!A3:B42,2,FALSE)</f>
        <v>NS HFL Span dislodge case</v>
      </c>
      <c r="C652" s="24"/>
      <c r="D652" s="24"/>
      <c r="E652" s="21"/>
      <c r="F652" s="1635" t="s">
        <v>742</v>
      </c>
      <c r="G652" s="1635"/>
      <c r="H652" s="1635"/>
      <c r="I652" s="1635"/>
      <c r="J652" s="1600"/>
      <c r="K652" s="413" t="s">
        <v>682</v>
      </c>
    </row>
    <row r="653" spans="1:11" ht="18">
      <c r="A653" s="25" t="s">
        <v>73</v>
      </c>
      <c r="B653" s="26" t="s">
        <v>74</v>
      </c>
      <c r="C653" s="26"/>
      <c r="D653" s="26"/>
      <c r="E653" s="27"/>
      <c r="F653" s="32" t="s">
        <v>23</v>
      </c>
      <c r="G653" s="33" t="s">
        <v>87</v>
      </c>
      <c r="H653" s="33" t="s">
        <v>212</v>
      </c>
      <c r="I653" s="33" t="s">
        <v>80</v>
      </c>
      <c r="J653" s="33" t="s">
        <v>81</v>
      </c>
      <c r="K653" s="376"/>
    </row>
    <row r="654" spans="1:11">
      <c r="A654" s="28"/>
      <c r="B654" s="15"/>
      <c r="C654" s="15"/>
      <c r="D654" s="15"/>
      <c r="E654" s="22"/>
      <c r="F654" s="21" t="s">
        <v>34</v>
      </c>
      <c r="G654" s="36" t="s">
        <v>34</v>
      </c>
      <c r="H654" s="36" t="s">
        <v>34</v>
      </c>
      <c r="I654" s="36" t="s">
        <v>77</v>
      </c>
      <c r="J654" s="36" t="s">
        <v>77</v>
      </c>
      <c r="K654" s="376"/>
    </row>
    <row r="655" spans="1:11">
      <c r="A655" s="25" t="s">
        <v>88</v>
      </c>
      <c r="B655" s="26" t="s">
        <v>75</v>
      </c>
      <c r="C655" s="26"/>
      <c r="D655" s="26"/>
      <c r="E655" s="27"/>
      <c r="F655" s="195">
        <f>SF!F14</f>
        <v>365.08803866482532</v>
      </c>
      <c r="G655" s="210"/>
      <c r="H655" s="34"/>
      <c r="I655" s="195">
        <f>SF!I14</f>
        <v>0</v>
      </c>
      <c r="J655" s="195">
        <f>SF!J14</f>
        <v>0</v>
      </c>
      <c r="K655" s="268">
        <v>1</v>
      </c>
    </row>
    <row r="656" spans="1:11">
      <c r="A656" s="25" t="s">
        <v>250</v>
      </c>
      <c r="B656" s="26" t="s">
        <v>970</v>
      </c>
      <c r="C656" s="26"/>
      <c r="D656" s="26"/>
      <c r="E656" s="27"/>
      <c r="F656" s="195">
        <f>SF!F23</f>
        <v>230</v>
      </c>
      <c r="G656" s="27"/>
      <c r="H656" s="34"/>
      <c r="I656" s="195">
        <f>SF!I23</f>
        <v>115</v>
      </c>
      <c r="J656" s="195">
        <f>SF!J23</f>
        <v>0</v>
      </c>
      <c r="K656" s="376">
        <v>1</v>
      </c>
    </row>
    <row r="657" spans="1:11">
      <c r="A657" s="25" t="s">
        <v>251</v>
      </c>
      <c r="B657" s="26" t="s">
        <v>971</v>
      </c>
      <c r="C657" s="26"/>
      <c r="D657" s="26"/>
      <c r="E657" s="27"/>
      <c r="F657" s="195">
        <f>SF!F24</f>
        <v>20.660000000000004</v>
      </c>
      <c r="G657" s="27"/>
      <c r="H657" s="34"/>
      <c r="I657" s="195">
        <f>SF!I24</f>
        <v>10.330000000000002</v>
      </c>
      <c r="J657" s="195">
        <f>SF!J24</f>
        <v>0</v>
      </c>
      <c r="K657" s="268">
        <v>1</v>
      </c>
    </row>
    <row r="658" spans="1:11">
      <c r="A658" s="25" t="s">
        <v>97</v>
      </c>
      <c r="B658" s="26" t="s">
        <v>972</v>
      </c>
      <c r="C658" s="26"/>
      <c r="D658" s="26"/>
      <c r="E658" s="27"/>
      <c r="F658" s="195">
        <f>SF!F25</f>
        <v>42</v>
      </c>
      <c r="G658" s="27"/>
      <c r="H658" s="34"/>
      <c r="I658" s="195">
        <f>SF!I25</f>
        <v>14.858499999999999</v>
      </c>
      <c r="J658" s="195">
        <f>SF!J25</f>
        <v>0</v>
      </c>
      <c r="K658" s="376">
        <v>1</v>
      </c>
    </row>
    <row r="659" spans="1:11">
      <c r="A659" s="25" t="s">
        <v>987</v>
      </c>
      <c r="B659" s="163" t="s">
        <v>957</v>
      </c>
      <c r="C659" s="26"/>
      <c r="D659" s="26"/>
      <c r="E659" s="27"/>
      <c r="F659" s="34"/>
      <c r="G659" s="195">
        <f>SF!G41</f>
        <v>14.632999999999999</v>
      </c>
      <c r="H659" s="34"/>
      <c r="I659" s="195">
        <f>SF!I41</f>
        <v>121.16124000000001</v>
      </c>
      <c r="J659" s="34"/>
      <c r="K659" s="376">
        <v>1</v>
      </c>
    </row>
    <row r="660" spans="1:11">
      <c r="A660" s="686" t="s">
        <v>1128</v>
      </c>
      <c r="B660" s="687"/>
      <c r="C660" s="688"/>
      <c r="D660" s="688"/>
      <c r="E660" s="689"/>
      <c r="F660" s="696">
        <f>SF!F43</f>
        <v>-103.56143333397094</v>
      </c>
      <c r="G660" s="689"/>
      <c r="H660" s="690"/>
      <c r="I660" s="690"/>
      <c r="J660" s="690"/>
      <c r="K660" s="376">
        <v>1</v>
      </c>
    </row>
    <row r="661" spans="1:11">
      <c r="A661" s="686" t="s">
        <v>1131</v>
      </c>
      <c r="B661" s="687"/>
      <c r="C661" s="688"/>
      <c r="D661" s="688"/>
      <c r="E661" s="689"/>
      <c r="F661" s="690"/>
      <c r="G661" s="696">
        <f>SF!G47</f>
        <v>3.2856246869242693</v>
      </c>
      <c r="H661" s="696">
        <f>SF!H47</f>
        <v>3.5397182492142409</v>
      </c>
      <c r="I661" s="696">
        <f>SF!I47</f>
        <v>7.0628515103002814</v>
      </c>
      <c r="J661" s="696">
        <f>SF!J47</f>
        <v>5.3297614737052639</v>
      </c>
      <c r="K661" s="376">
        <v>1</v>
      </c>
    </row>
    <row r="662" spans="1:11">
      <c r="A662" s="253"/>
      <c r="B662" s="15"/>
      <c r="C662" s="15"/>
      <c r="D662" s="15"/>
      <c r="E662" s="22"/>
      <c r="F662" s="212"/>
      <c r="G662" s="213"/>
      <c r="H662" s="198"/>
      <c r="I662" s="198"/>
      <c r="J662" s="58"/>
      <c r="K662" s="379"/>
    </row>
    <row r="663" spans="1:11">
      <c r="A663" s="46"/>
      <c r="B663" s="46"/>
      <c r="C663" s="46"/>
      <c r="D663" s="46"/>
      <c r="E663" s="46"/>
      <c r="F663" s="46"/>
      <c r="G663" s="46"/>
      <c r="H663" s="46"/>
      <c r="I663" s="46"/>
      <c r="J663" s="46"/>
      <c r="K663" s="87"/>
    </row>
    <row r="664" spans="1:11">
      <c r="A664" s="220" t="s">
        <v>73</v>
      </c>
      <c r="B664" s="220" t="s">
        <v>74</v>
      </c>
      <c r="C664" s="200"/>
      <c r="D664" s="200"/>
      <c r="E664" s="217"/>
      <c r="F664" s="1636" t="s">
        <v>72</v>
      </c>
      <c r="G664" s="1637"/>
      <c r="H664" s="1637"/>
      <c r="I664" s="1637"/>
      <c r="J664" s="1638"/>
      <c r="K664" s="87"/>
    </row>
    <row r="665" spans="1:11" ht="18">
      <c r="A665" s="221"/>
      <c r="B665" s="221"/>
      <c r="C665" s="201"/>
      <c r="D665" s="201"/>
      <c r="E665" s="219"/>
      <c r="F665" s="223" t="s">
        <v>23</v>
      </c>
      <c r="G665" s="223" t="s">
        <v>87</v>
      </c>
      <c r="H665" s="223" t="s">
        <v>212</v>
      </c>
      <c r="I665" s="223" t="s">
        <v>80</v>
      </c>
      <c r="J665" s="223" t="s">
        <v>81</v>
      </c>
      <c r="K665" s="87"/>
    </row>
    <row r="666" spans="1:11">
      <c r="A666" s="222"/>
      <c r="B666" s="222"/>
      <c r="C666" s="203"/>
      <c r="D666" s="203"/>
      <c r="E666" s="218"/>
      <c r="F666" s="204" t="s">
        <v>34</v>
      </c>
      <c r="G666" s="204" t="s">
        <v>34</v>
      </c>
      <c r="H666" s="203" t="s">
        <v>34</v>
      </c>
      <c r="I666" s="204" t="s">
        <v>77</v>
      </c>
      <c r="J666" s="204" t="s">
        <v>77</v>
      </c>
      <c r="K666" s="87"/>
    </row>
    <row r="667" spans="1:11">
      <c r="A667" s="202"/>
      <c r="B667" s="200"/>
      <c r="C667" s="200"/>
      <c r="D667" s="200"/>
      <c r="E667" s="217"/>
      <c r="F667" s="205"/>
      <c r="G667" s="205"/>
      <c r="H667" s="201"/>
      <c r="I667" s="205"/>
      <c r="J667" s="205"/>
      <c r="K667" s="87"/>
    </row>
    <row r="668" spans="1:11">
      <c r="A668" s="205" t="str">
        <f>A652</f>
        <v>LC-21</v>
      </c>
      <c r="B668" s="201" t="str">
        <f>B652</f>
        <v>NS HFL Span dislodge case</v>
      </c>
      <c r="C668" s="201"/>
      <c r="D668" s="201"/>
      <c r="E668" s="219"/>
      <c r="F668" s="205">
        <f>SUMPRODUCT(F655:F661,$K$655:$K$661)</f>
        <v>554.18660533085426</v>
      </c>
      <c r="G668" s="1080">
        <f>SUMPRODUCT(G655:G661,$K$655:$K$661)</f>
        <v>17.918624686924268</v>
      </c>
      <c r="H668" s="1080">
        <f>SUMPRODUCT(H655:H661,$K$655:$K$661)</f>
        <v>3.5397182492142409</v>
      </c>
      <c r="I668" s="1080">
        <f>SUMPRODUCT(I655:I661,$K$655:$K$661)</f>
        <v>268.41259151030027</v>
      </c>
      <c r="J668" s="1080">
        <f>SUMPRODUCT(J655:J661,$K$655:$K$661)</f>
        <v>5.3297614737052639</v>
      </c>
      <c r="K668" s="87"/>
    </row>
    <row r="669" spans="1:11">
      <c r="A669" s="204"/>
      <c r="B669" s="203"/>
      <c r="C669" s="203"/>
      <c r="D669" s="203"/>
      <c r="E669" s="218"/>
      <c r="F669" s="204"/>
      <c r="G669" s="204"/>
      <c r="H669" s="203"/>
      <c r="I669" s="204"/>
      <c r="J669" s="204"/>
      <c r="K669" s="87"/>
    </row>
    <row r="672" spans="1:11">
      <c r="A672" s="1318" t="str">
        <f>K672</f>
        <v>LC-22</v>
      </c>
      <c r="B672" s="24" t="str">
        <f>VLOOKUP(A672,LC_DEF_2!A3:B42,2,FALSE)</f>
        <v>NS HFL No Live load</v>
      </c>
      <c r="C672" s="24"/>
      <c r="D672" s="24"/>
      <c r="E672" s="21"/>
      <c r="F672" s="1635" t="s">
        <v>742</v>
      </c>
      <c r="G672" s="1635"/>
      <c r="H672" s="1635"/>
      <c r="I672" s="1635"/>
      <c r="J672" s="1600"/>
      <c r="K672" s="413" t="s">
        <v>683</v>
      </c>
    </row>
    <row r="673" spans="1:11" ht="18">
      <c r="A673" s="25" t="s">
        <v>73</v>
      </c>
      <c r="B673" s="26" t="s">
        <v>74</v>
      </c>
      <c r="C673" s="26"/>
      <c r="D673" s="26"/>
      <c r="E673" s="27"/>
      <c r="F673" s="32" t="s">
        <v>23</v>
      </c>
      <c r="G673" s="33" t="s">
        <v>87</v>
      </c>
      <c r="H673" s="33" t="s">
        <v>212</v>
      </c>
      <c r="I673" s="33" t="s">
        <v>80</v>
      </c>
      <c r="J673" s="33" t="s">
        <v>81</v>
      </c>
      <c r="K673" s="376"/>
    </row>
    <row r="674" spans="1:11">
      <c r="A674" s="28"/>
      <c r="B674" s="15"/>
      <c r="C674" s="15"/>
      <c r="D674" s="15"/>
      <c r="E674" s="22"/>
      <c r="F674" s="21" t="s">
        <v>34</v>
      </c>
      <c r="G674" s="36" t="s">
        <v>34</v>
      </c>
      <c r="H674" s="36" t="s">
        <v>34</v>
      </c>
      <c r="I674" s="36" t="s">
        <v>77</v>
      </c>
      <c r="J674" s="36" t="s">
        <v>77</v>
      </c>
      <c r="K674" s="376"/>
    </row>
    <row r="675" spans="1:11">
      <c r="A675" s="25" t="s">
        <v>88</v>
      </c>
      <c r="B675" s="26" t="s">
        <v>75</v>
      </c>
      <c r="C675" s="26"/>
      <c r="D675" s="26"/>
      <c r="E675" s="27"/>
      <c r="F675" s="195">
        <f>SF!F14</f>
        <v>365.08803866482532</v>
      </c>
      <c r="G675" s="210"/>
      <c r="H675" s="34"/>
      <c r="I675" s="195">
        <f>SF!I14</f>
        <v>0</v>
      </c>
      <c r="J675" s="195">
        <f>SF!J14</f>
        <v>0</v>
      </c>
      <c r="K675" s="268">
        <v>1</v>
      </c>
    </row>
    <row r="676" spans="1:11">
      <c r="A676" s="25" t="s">
        <v>250</v>
      </c>
      <c r="B676" s="26" t="s">
        <v>967</v>
      </c>
      <c r="C676" s="26"/>
      <c r="D676" s="26"/>
      <c r="E676" s="27"/>
      <c r="F676" s="195">
        <f>SF!F19</f>
        <v>230</v>
      </c>
      <c r="G676" s="27"/>
      <c r="H676" s="34"/>
      <c r="I676" s="195">
        <f>SF!I19</f>
        <v>-115</v>
      </c>
      <c r="J676" s="195">
        <f>SF!J19</f>
        <v>0</v>
      </c>
      <c r="K676" s="376">
        <v>1</v>
      </c>
    </row>
    <row r="677" spans="1:11">
      <c r="A677" s="25" t="s">
        <v>251</v>
      </c>
      <c r="B677" s="26" t="s">
        <v>968</v>
      </c>
      <c r="C677" s="26"/>
      <c r="D677" s="26"/>
      <c r="E677" s="27"/>
      <c r="F677" s="195">
        <f>SF!F20</f>
        <v>20.660000000000004</v>
      </c>
      <c r="G677" s="27"/>
      <c r="H677" s="34"/>
      <c r="I677" s="195">
        <f>SF!I20</f>
        <v>-10.330000000000002</v>
      </c>
      <c r="J677" s="195">
        <f>SF!J20</f>
        <v>0</v>
      </c>
      <c r="K677" s="376">
        <v>1</v>
      </c>
    </row>
    <row r="678" spans="1:11">
      <c r="A678" s="25" t="s">
        <v>97</v>
      </c>
      <c r="B678" s="26" t="s">
        <v>969</v>
      </c>
      <c r="C678" s="26"/>
      <c r="D678" s="26"/>
      <c r="E678" s="27"/>
      <c r="F678" s="195">
        <f>SF!F21</f>
        <v>42</v>
      </c>
      <c r="G678" s="27"/>
      <c r="H678" s="34"/>
      <c r="I678" s="195">
        <f>SF!I21</f>
        <v>-14.858499999999999</v>
      </c>
      <c r="J678" s="195">
        <f>SF!J21</f>
        <v>0</v>
      </c>
      <c r="K678" s="376">
        <v>1</v>
      </c>
    </row>
    <row r="679" spans="1:11">
      <c r="A679" s="25" t="s">
        <v>250</v>
      </c>
      <c r="B679" s="26" t="s">
        <v>970</v>
      </c>
      <c r="C679" s="26"/>
      <c r="D679" s="26"/>
      <c r="E679" s="27"/>
      <c r="F679" s="195">
        <f>SF!F23</f>
        <v>230</v>
      </c>
      <c r="G679" s="27"/>
      <c r="H679" s="34"/>
      <c r="I679" s="195">
        <f>SF!I23</f>
        <v>115</v>
      </c>
      <c r="J679" s="195">
        <f>SF!J23</f>
        <v>0</v>
      </c>
      <c r="K679" s="376">
        <v>1</v>
      </c>
    </row>
    <row r="680" spans="1:11">
      <c r="A680" s="25" t="s">
        <v>251</v>
      </c>
      <c r="B680" s="26" t="s">
        <v>971</v>
      </c>
      <c r="C680" s="26"/>
      <c r="D680" s="26"/>
      <c r="E680" s="27"/>
      <c r="F680" s="195">
        <f>SF!F24</f>
        <v>20.660000000000004</v>
      </c>
      <c r="G680" s="27"/>
      <c r="H680" s="34"/>
      <c r="I680" s="195">
        <f>SF!I24</f>
        <v>10.330000000000002</v>
      </c>
      <c r="J680" s="195">
        <f>SF!J24</f>
        <v>0</v>
      </c>
      <c r="K680" s="268">
        <v>1</v>
      </c>
    </row>
    <row r="681" spans="1:11">
      <c r="A681" s="25" t="s">
        <v>97</v>
      </c>
      <c r="B681" s="26" t="s">
        <v>972</v>
      </c>
      <c r="C681" s="26"/>
      <c r="D681" s="26"/>
      <c r="E681" s="27"/>
      <c r="F681" s="195">
        <f>SF!F25</f>
        <v>42</v>
      </c>
      <c r="G681" s="27"/>
      <c r="H681" s="34"/>
      <c r="I681" s="195">
        <f>SF!I25</f>
        <v>14.858499999999999</v>
      </c>
      <c r="J681" s="195">
        <f>SF!J25</f>
        <v>0</v>
      </c>
      <c r="K681" s="376">
        <v>1</v>
      </c>
    </row>
    <row r="682" spans="1:11">
      <c r="A682" s="25" t="s">
        <v>986</v>
      </c>
      <c r="B682" s="163" t="s">
        <v>955</v>
      </c>
      <c r="C682" s="26"/>
      <c r="D682" s="26"/>
      <c r="E682" s="27"/>
      <c r="F682" s="34"/>
      <c r="G682" s="195">
        <f>SF!G40</f>
        <v>5.8532000000000011</v>
      </c>
      <c r="H682" s="34"/>
      <c r="I682" s="195">
        <f>SF!I40</f>
        <v>48.464496000000018</v>
      </c>
      <c r="J682" s="34"/>
      <c r="K682" s="376">
        <v>1</v>
      </c>
    </row>
    <row r="683" spans="1:11">
      <c r="A683" s="686" t="s">
        <v>1128</v>
      </c>
      <c r="B683" s="687"/>
      <c r="C683" s="688"/>
      <c r="D683" s="688"/>
      <c r="E683" s="689"/>
      <c r="F683" s="696">
        <f>SF!F43</f>
        <v>-103.56143333397094</v>
      </c>
      <c r="G683" s="689"/>
      <c r="H683" s="690"/>
      <c r="I683" s="690"/>
      <c r="J683" s="690"/>
      <c r="K683" s="376">
        <v>1</v>
      </c>
    </row>
    <row r="684" spans="1:11">
      <c r="A684" s="686" t="s">
        <v>1131</v>
      </c>
      <c r="B684" s="687"/>
      <c r="C684" s="688"/>
      <c r="D684" s="688"/>
      <c r="E684" s="689"/>
      <c r="F684" s="690"/>
      <c r="G684" s="696">
        <f>SF!G47</f>
        <v>3.2856246869242693</v>
      </c>
      <c r="H684" s="696">
        <f>SF!H47</f>
        <v>3.5397182492142409</v>
      </c>
      <c r="I684" s="696">
        <f>SF!I47</f>
        <v>7.0628515103002814</v>
      </c>
      <c r="J684" s="696">
        <f>SF!J47</f>
        <v>5.3297614737052639</v>
      </c>
      <c r="K684" s="376">
        <v>1</v>
      </c>
    </row>
    <row r="685" spans="1:11">
      <c r="A685" s="253"/>
      <c r="B685" s="15"/>
      <c r="C685" s="15"/>
      <c r="D685" s="15"/>
      <c r="E685" s="22"/>
      <c r="F685" s="212"/>
      <c r="G685" s="213"/>
      <c r="H685" s="198"/>
      <c r="I685" s="198"/>
      <c r="J685" s="58"/>
      <c r="K685" s="379"/>
    </row>
    <row r="686" spans="1:11">
      <c r="A686" s="46"/>
      <c r="B686" s="46"/>
      <c r="C686" s="46"/>
      <c r="D686" s="46"/>
      <c r="E686" s="46"/>
      <c r="F686" s="46"/>
      <c r="G686" s="46"/>
      <c r="H686" s="46"/>
      <c r="I686" s="46"/>
      <c r="J686" s="46"/>
      <c r="K686" s="87"/>
    </row>
    <row r="687" spans="1:11">
      <c r="A687" s="220" t="s">
        <v>73</v>
      </c>
      <c r="B687" s="220" t="s">
        <v>74</v>
      </c>
      <c r="C687" s="200"/>
      <c r="D687" s="200"/>
      <c r="E687" s="217"/>
      <c r="F687" s="1636" t="s">
        <v>72</v>
      </c>
      <c r="G687" s="1637"/>
      <c r="H687" s="1637"/>
      <c r="I687" s="1637"/>
      <c r="J687" s="1638"/>
      <c r="K687" s="87"/>
    </row>
    <row r="688" spans="1:11" ht="18">
      <c r="A688" s="221"/>
      <c r="B688" s="221"/>
      <c r="C688" s="201"/>
      <c r="D688" s="201"/>
      <c r="E688" s="219"/>
      <c r="F688" s="223" t="s">
        <v>23</v>
      </c>
      <c r="G688" s="223" t="s">
        <v>87</v>
      </c>
      <c r="H688" s="223" t="s">
        <v>212</v>
      </c>
      <c r="I688" s="223" t="s">
        <v>80</v>
      </c>
      <c r="J688" s="223" t="s">
        <v>81</v>
      </c>
      <c r="K688" s="87"/>
    </row>
    <row r="689" spans="1:11">
      <c r="A689" s="222"/>
      <c r="B689" s="222"/>
      <c r="C689" s="203"/>
      <c r="D689" s="203"/>
      <c r="E689" s="218"/>
      <c r="F689" s="204" t="s">
        <v>34</v>
      </c>
      <c r="G689" s="204" t="s">
        <v>34</v>
      </c>
      <c r="H689" s="203" t="s">
        <v>34</v>
      </c>
      <c r="I689" s="204" t="s">
        <v>77</v>
      </c>
      <c r="J689" s="204" t="s">
        <v>77</v>
      </c>
      <c r="K689" s="87"/>
    </row>
    <row r="690" spans="1:11">
      <c r="A690" s="202"/>
      <c r="B690" s="200"/>
      <c r="C690" s="200"/>
      <c r="D690" s="200"/>
      <c r="E690" s="217"/>
      <c r="F690" s="205"/>
      <c r="G690" s="205"/>
      <c r="H690" s="201"/>
      <c r="I690" s="205"/>
      <c r="J690" s="205"/>
      <c r="K690" s="87"/>
    </row>
    <row r="691" spans="1:11">
      <c r="A691" s="205" t="str">
        <f>A672</f>
        <v>LC-22</v>
      </c>
      <c r="B691" s="201" t="str">
        <f>B672</f>
        <v>NS HFL No Live load</v>
      </c>
      <c r="C691" s="201"/>
      <c r="D691" s="201"/>
      <c r="E691" s="219"/>
      <c r="F691" s="205">
        <f>SUMPRODUCT(F675:F684,$K$675:$K$684)</f>
        <v>846.84660533085423</v>
      </c>
      <c r="G691" s="1080">
        <f>SUMPRODUCT(G675:G684,$K$675:$K$684)</f>
        <v>9.13882468692427</v>
      </c>
      <c r="H691" s="1080">
        <f>SUMPRODUCT(H675:H684,$K$675:$K$684)</f>
        <v>3.5397182492142409</v>
      </c>
      <c r="I691" s="1080">
        <f>SUMPRODUCT(I675:I684,$K$675:$K$684)</f>
        <v>55.527347510300295</v>
      </c>
      <c r="J691" s="1080">
        <f>SUMPRODUCT(J675:J684,$K$675:$K$684)</f>
        <v>5.3297614737052639</v>
      </c>
      <c r="K691" s="87"/>
    </row>
    <row r="692" spans="1:11">
      <c r="A692" s="204"/>
      <c r="B692" s="203"/>
      <c r="C692" s="203"/>
      <c r="D692" s="203"/>
      <c r="E692" s="218"/>
      <c r="F692" s="204"/>
      <c r="G692" s="204"/>
      <c r="H692" s="203"/>
      <c r="I692" s="204"/>
      <c r="J692" s="204"/>
      <c r="K692" s="87"/>
    </row>
    <row r="695" spans="1:11">
      <c r="A695" s="1318" t="str">
        <f>K695</f>
        <v>LC-23</v>
      </c>
      <c r="B695" s="24" t="str">
        <f>VLOOKUP(A695,LC_DEF_2!A3:B42,2,FALSE)</f>
        <v>NS HFL With LL max reaction case</v>
      </c>
      <c r="C695" s="24"/>
      <c r="D695" s="24"/>
      <c r="E695" s="21"/>
      <c r="F695" s="1635" t="s">
        <v>742</v>
      </c>
      <c r="G695" s="1635"/>
      <c r="H695" s="1635"/>
      <c r="I695" s="1635"/>
      <c r="J695" s="1600"/>
      <c r="K695" s="413" t="s">
        <v>245</v>
      </c>
    </row>
    <row r="696" spans="1:11" ht="18">
      <c r="A696" s="25" t="s">
        <v>73</v>
      </c>
      <c r="B696" s="26" t="s">
        <v>74</v>
      </c>
      <c r="C696" s="26"/>
      <c r="D696" s="26"/>
      <c r="E696" s="27"/>
      <c r="F696" s="32" t="s">
        <v>23</v>
      </c>
      <c r="G696" s="33" t="s">
        <v>87</v>
      </c>
      <c r="H696" s="33" t="s">
        <v>212</v>
      </c>
      <c r="I696" s="33" t="s">
        <v>80</v>
      </c>
      <c r="J696" s="33" t="s">
        <v>81</v>
      </c>
      <c r="K696" s="376"/>
    </row>
    <row r="697" spans="1:11">
      <c r="A697" s="28"/>
      <c r="B697" s="15"/>
      <c r="C697" s="15"/>
      <c r="D697" s="15"/>
      <c r="E697" s="22"/>
      <c r="F697" s="21" t="s">
        <v>34</v>
      </c>
      <c r="G697" s="36" t="s">
        <v>34</v>
      </c>
      <c r="H697" s="36" t="s">
        <v>34</v>
      </c>
      <c r="I697" s="36" t="s">
        <v>77</v>
      </c>
      <c r="J697" s="36" t="s">
        <v>77</v>
      </c>
      <c r="K697" s="376"/>
    </row>
    <row r="698" spans="1:11">
      <c r="A698" s="25" t="s">
        <v>88</v>
      </c>
      <c r="B698" s="26" t="s">
        <v>75</v>
      </c>
      <c r="C698" s="26"/>
      <c r="D698" s="26"/>
      <c r="E698" s="27"/>
      <c r="F698" s="195">
        <f>SF!F14</f>
        <v>365.08803866482532</v>
      </c>
      <c r="G698" s="210"/>
      <c r="H698" s="34"/>
      <c r="I698" s="195">
        <f>SF!I14</f>
        <v>0</v>
      </c>
      <c r="J698" s="195">
        <f>SF!J14</f>
        <v>0</v>
      </c>
      <c r="K698" s="268">
        <v>1</v>
      </c>
    </row>
    <row r="699" spans="1:11">
      <c r="A699" s="25" t="s">
        <v>250</v>
      </c>
      <c r="B699" s="26" t="s">
        <v>967</v>
      </c>
      <c r="C699" s="26"/>
      <c r="D699" s="26"/>
      <c r="E699" s="27"/>
      <c r="F699" s="195">
        <f>SF!F19</f>
        <v>230</v>
      </c>
      <c r="G699" s="27"/>
      <c r="H699" s="34"/>
      <c r="I699" s="195">
        <f>SF!I19</f>
        <v>-115</v>
      </c>
      <c r="J699" s="195">
        <f>SF!J19</f>
        <v>0</v>
      </c>
      <c r="K699" s="376">
        <v>1</v>
      </c>
    </row>
    <row r="700" spans="1:11">
      <c r="A700" s="25" t="s">
        <v>251</v>
      </c>
      <c r="B700" s="26" t="s">
        <v>968</v>
      </c>
      <c r="C700" s="26"/>
      <c r="D700" s="26"/>
      <c r="E700" s="27"/>
      <c r="F700" s="195">
        <f>SF!F20</f>
        <v>20.660000000000004</v>
      </c>
      <c r="G700" s="27"/>
      <c r="H700" s="34"/>
      <c r="I700" s="195">
        <f>SF!I20</f>
        <v>-10.330000000000002</v>
      </c>
      <c r="J700" s="195">
        <f>SF!J20</f>
        <v>0</v>
      </c>
      <c r="K700" s="376">
        <v>1</v>
      </c>
    </row>
    <row r="701" spans="1:11">
      <c r="A701" s="25" t="s">
        <v>97</v>
      </c>
      <c r="B701" s="26" t="s">
        <v>969</v>
      </c>
      <c r="C701" s="26"/>
      <c r="D701" s="26"/>
      <c r="E701" s="27"/>
      <c r="F701" s="195">
        <f>SF!F21</f>
        <v>42</v>
      </c>
      <c r="G701" s="27"/>
      <c r="H701" s="34"/>
      <c r="I701" s="195">
        <f>SF!I21</f>
        <v>-14.858499999999999</v>
      </c>
      <c r="J701" s="195">
        <f>SF!J21</f>
        <v>0</v>
      </c>
      <c r="K701" s="376">
        <v>1</v>
      </c>
    </row>
    <row r="702" spans="1:11">
      <c r="A702" s="25" t="s">
        <v>250</v>
      </c>
      <c r="B702" s="26" t="s">
        <v>970</v>
      </c>
      <c r="C702" s="26"/>
      <c r="D702" s="26"/>
      <c r="E702" s="27"/>
      <c r="F702" s="195">
        <f>SF!F23</f>
        <v>230</v>
      </c>
      <c r="G702" s="27"/>
      <c r="H702" s="34"/>
      <c r="I702" s="195">
        <f>SF!I23</f>
        <v>115</v>
      </c>
      <c r="J702" s="195">
        <f>SF!J23</f>
        <v>0</v>
      </c>
      <c r="K702" s="376">
        <v>1</v>
      </c>
    </row>
    <row r="703" spans="1:11">
      <c r="A703" s="25" t="s">
        <v>251</v>
      </c>
      <c r="B703" s="26" t="s">
        <v>971</v>
      </c>
      <c r="C703" s="26"/>
      <c r="D703" s="26"/>
      <c r="E703" s="27"/>
      <c r="F703" s="195">
        <f>SF!F24</f>
        <v>20.660000000000004</v>
      </c>
      <c r="G703" s="27"/>
      <c r="H703" s="34"/>
      <c r="I703" s="195">
        <f>SF!I24</f>
        <v>10.330000000000002</v>
      </c>
      <c r="J703" s="195">
        <f>SF!J24</f>
        <v>0</v>
      </c>
      <c r="K703" s="268">
        <v>1</v>
      </c>
    </row>
    <row r="704" spans="1:11">
      <c r="A704" s="25" t="s">
        <v>97</v>
      </c>
      <c r="B704" s="26" t="s">
        <v>972</v>
      </c>
      <c r="C704" s="26"/>
      <c r="D704" s="26"/>
      <c r="E704" s="27"/>
      <c r="F704" s="195">
        <f>SF!F25</f>
        <v>42</v>
      </c>
      <c r="G704" s="27"/>
      <c r="H704" s="34"/>
      <c r="I704" s="195">
        <f>SF!I25</f>
        <v>14.858499999999999</v>
      </c>
      <c r="J704" s="195">
        <f>SF!J25</f>
        <v>0</v>
      </c>
      <c r="K704" s="376">
        <v>1</v>
      </c>
    </row>
    <row r="705" spans="1:11">
      <c r="A705" s="25" t="s">
        <v>976</v>
      </c>
      <c r="B705" s="26" t="s">
        <v>978</v>
      </c>
      <c r="C705" s="26"/>
      <c r="D705" s="26"/>
      <c r="E705" s="27"/>
      <c r="F705" s="195">
        <f>SF!F29</f>
        <v>65.160399999999996</v>
      </c>
      <c r="G705" s="27"/>
      <c r="H705" s="34"/>
      <c r="I705" s="195">
        <f>SF!I29</f>
        <v>-32.580199999999998</v>
      </c>
      <c r="J705" s="195">
        <f>SF!J29</f>
        <v>-10.105732306306301</v>
      </c>
      <c r="K705" s="268">
        <v>1</v>
      </c>
    </row>
    <row r="706" spans="1:11">
      <c r="A706" s="25" t="s">
        <v>977</v>
      </c>
      <c r="B706" s="26" t="s">
        <v>979</v>
      </c>
      <c r="C706" s="26"/>
      <c r="D706" s="26"/>
      <c r="E706" s="27"/>
      <c r="F706" s="195">
        <f>SF!F30</f>
        <v>75.185314285714313</v>
      </c>
      <c r="G706" s="27"/>
      <c r="H706" s="34"/>
      <c r="I706" s="195">
        <f>SF!I30</f>
        <v>37.592657142857156</v>
      </c>
      <c r="J706" s="195">
        <f>SF!J30</f>
        <v>-11.660497166023164</v>
      </c>
      <c r="K706" s="268">
        <v>1</v>
      </c>
    </row>
    <row r="707" spans="1:11">
      <c r="A707" s="25" t="s">
        <v>984</v>
      </c>
      <c r="B707" s="163" t="s">
        <v>951</v>
      </c>
      <c r="C707" s="26"/>
      <c r="D707" s="26"/>
      <c r="E707" s="27"/>
      <c r="F707" s="34"/>
      <c r="G707" s="195">
        <f>SF!G38</f>
        <v>32.051277714285717</v>
      </c>
      <c r="H707" s="34"/>
      <c r="I707" s="195">
        <f>SF!I38</f>
        <v>265.38457947428577</v>
      </c>
      <c r="J707" s="34"/>
      <c r="K707" s="376">
        <v>1</v>
      </c>
    </row>
    <row r="708" spans="1:11">
      <c r="A708" s="686" t="s">
        <v>1128</v>
      </c>
      <c r="B708" s="687"/>
      <c r="C708" s="688"/>
      <c r="D708" s="688"/>
      <c r="E708" s="689"/>
      <c r="F708" s="696">
        <f>SF!F43</f>
        <v>-103.56143333397094</v>
      </c>
      <c r="G708" s="689"/>
      <c r="H708" s="690"/>
      <c r="I708" s="690"/>
      <c r="J708" s="690"/>
      <c r="K708" s="376">
        <v>1</v>
      </c>
    </row>
    <row r="709" spans="1:11">
      <c r="A709" s="686" t="s">
        <v>1131</v>
      </c>
      <c r="B709" s="687"/>
      <c r="C709" s="688"/>
      <c r="D709" s="688"/>
      <c r="E709" s="689"/>
      <c r="F709" s="690"/>
      <c r="G709" s="696">
        <f>SF!G47</f>
        <v>3.2856246869242693</v>
      </c>
      <c r="H709" s="696">
        <f>SF!H47</f>
        <v>3.5397182492142409</v>
      </c>
      <c r="I709" s="696">
        <f>SF!I47</f>
        <v>7.0628515103002814</v>
      </c>
      <c r="J709" s="696">
        <f>SF!J47</f>
        <v>5.3297614737052639</v>
      </c>
      <c r="K709" s="376">
        <v>1</v>
      </c>
    </row>
    <row r="710" spans="1:11">
      <c r="A710" s="253"/>
      <c r="B710" s="15"/>
      <c r="C710" s="15"/>
      <c r="D710" s="15"/>
      <c r="E710" s="22"/>
      <c r="F710" s="212"/>
      <c r="G710" s="213"/>
      <c r="H710" s="198"/>
      <c r="I710" s="198"/>
      <c r="J710" s="58"/>
      <c r="K710" s="379"/>
    </row>
    <row r="711" spans="1:11">
      <c r="A711" s="46"/>
      <c r="B711" s="46"/>
      <c r="C711" s="46"/>
      <c r="D711" s="46"/>
      <c r="E711" s="46"/>
      <c r="F711" s="46"/>
      <c r="G711" s="46"/>
      <c r="H711" s="46"/>
      <c r="I711" s="46"/>
      <c r="J711" s="46"/>
      <c r="K711" s="87"/>
    </row>
    <row r="712" spans="1:11">
      <c r="A712" s="220" t="s">
        <v>73</v>
      </c>
      <c r="B712" s="220" t="s">
        <v>74</v>
      </c>
      <c r="C712" s="200"/>
      <c r="D712" s="200"/>
      <c r="E712" s="217"/>
      <c r="F712" s="1636" t="s">
        <v>72</v>
      </c>
      <c r="G712" s="1637"/>
      <c r="H712" s="1637"/>
      <c r="I712" s="1637"/>
      <c r="J712" s="1638"/>
      <c r="K712" s="87"/>
    </row>
    <row r="713" spans="1:11" ht="18">
      <c r="A713" s="221"/>
      <c r="B713" s="221"/>
      <c r="C713" s="201"/>
      <c r="D713" s="201"/>
      <c r="E713" s="219"/>
      <c r="F713" s="223" t="s">
        <v>23</v>
      </c>
      <c r="G713" s="223" t="s">
        <v>87</v>
      </c>
      <c r="H713" s="223" t="s">
        <v>212</v>
      </c>
      <c r="I713" s="223" t="s">
        <v>80</v>
      </c>
      <c r="J713" s="223" t="s">
        <v>81</v>
      </c>
      <c r="K713" s="87"/>
    </row>
    <row r="714" spans="1:11">
      <c r="A714" s="222"/>
      <c r="B714" s="222"/>
      <c r="C714" s="203"/>
      <c r="D714" s="203"/>
      <c r="E714" s="218"/>
      <c r="F714" s="204" t="s">
        <v>34</v>
      </c>
      <c r="G714" s="204" t="s">
        <v>34</v>
      </c>
      <c r="H714" s="203" t="s">
        <v>34</v>
      </c>
      <c r="I714" s="204" t="s">
        <v>77</v>
      </c>
      <c r="J714" s="204" t="s">
        <v>77</v>
      </c>
      <c r="K714" s="87"/>
    </row>
    <row r="715" spans="1:11">
      <c r="A715" s="202"/>
      <c r="B715" s="200"/>
      <c r="C715" s="200"/>
      <c r="D715" s="200"/>
      <c r="E715" s="217"/>
      <c r="F715" s="205"/>
      <c r="G715" s="205"/>
      <c r="H715" s="201"/>
      <c r="I715" s="205"/>
      <c r="J715" s="205"/>
      <c r="K715" s="87"/>
    </row>
    <row r="716" spans="1:11">
      <c r="A716" s="205" t="str">
        <f>A695</f>
        <v>LC-23</v>
      </c>
      <c r="B716" s="201" t="str">
        <f>B695</f>
        <v>NS HFL With LL max reaction case</v>
      </c>
      <c r="C716" s="201"/>
      <c r="D716" s="201"/>
      <c r="E716" s="219"/>
      <c r="F716" s="205">
        <f>SUMPRODUCT(F698:F709,$K$698:$K$709)</f>
        <v>987.19231961656862</v>
      </c>
      <c r="G716" s="1080">
        <f>SUMPRODUCT(G698:G709,$K$698:$K$709)</f>
        <v>35.33690240120999</v>
      </c>
      <c r="H716" s="1080">
        <f>SUMPRODUCT(H698:H709,$K$698:$K$709)</f>
        <v>3.5397182492142409</v>
      </c>
      <c r="I716" s="1080">
        <f>SUMPRODUCT(I698:I709,$K$698:$K$709)</f>
        <v>277.45988812744321</v>
      </c>
      <c r="J716" s="1080">
        <f>SUMPRODUCT(J698:J709,$K$698:$K$709)</f>
        <v>-16.436467998624199</v>
      </c>
      <c r="K716" s="87"/>
    </row>
    <row r="717" spans="1:11">
      <c r="A717" s="204"/>
      <c r="B717" s="203"/>
      <c r="C717" s="203"/>
      <c r="D717" s="203"/>
      <c r="E717" s="218"/>
      <c r="F717" s="204"/>
      <c r="G717" s="204"/>
      <c r="H717" s="203"/>
      <c r="I717" s="204"/>
      <c r="J717" s="204"/>
      <c r="K717" s="87"/>
    </row>
    <row r="720" spans="1:11">
      <c r="A720" s="1318" t="str">
        <f>K720</f>
        <v>LC-24</v>
      </c>
      <c r="B720" s="24" t="str">
        <f>VLOOKUP(A720,LC_DEF_2!A3:B42,2,FALSE)</f>
        <v>NS HFL With LL max moment case</v>
      </c>
      <c r="C720" s="24"/>
      <c r="D720" s="24"/>
      <c r="E720" s="21"/>
      <c r="F720" s="1635" t="s">
        <v>742</v>
      </c>
      <c r="G720" s="1635"/>
      <c r="H720" s="1635"/>
      <c r="I720" s="1635"/>
      <c r="J720" s="1600"/>
      <c r="K720" s="413" t="s">
        <v>684</v>
      </c>
    </row>
    <row r="721" spans="1:11" ht="18">
      <c r="A721" s="25" t="s">
        <v>73</v>
      </c>
      <c r="B721" s="26" t="s">
        <v>74</v>
      </c>
      <c r="C721" s="26"/>
      <c r="D721" s="26"/>
      <c r="E721" s="27"/>
      <c r="F721" s="32" t="s">
        <v>23</v>
      </c>
      <c r="G721" s="33" t="s">
        <v>87</v>
      </c>
      <c r="H721" s="33" t="s">
        <v>212</v>
      </c>
      <c r="I721" s="33" t="s">
        <v>80</v>
      </c>
      <c r="J721" s="33" t="s">
        <v>81</v>
      </c>
      <c r="K721" s="376"/>
    </row>
    <row r="722" spans="1:11">
      <c r="A722" s="28"/>
      <c r="B722" s="15"/>
      <c r="C722" s="15"/>
      <c r="D722" s="15"/>
      <c r="E722" s="22"/>
      <c r="F722" s="21" t="s">
        <v>34</v>
      </c>
      <c r="G722" s="36" t="s">
        <v>34</v>
      </c>
      <c r="H722" s="36" t="s">
        <v>34</v>
      </c>
      <c r="I722" s="36" t="s">
        <v>77</v>
      </c>
      <c r="J722" s="36" t="s">
        <v>77</v>
      </c>
      <c r="K722" s="376"/>
    </row>
    <row r="723" spans="1:11">
      <c r="A723" s="25" t="s">
        <v>88</v>
      </c>
      <c r="B723" s="26" t="s">
        <v>75</v>
      </c>
      <c r="C723" s="26"/>
      <c r="D723" s="26"/>
      <c r="E723" s="27"/>
      <c r="F723" s="195">
        <f>SF!F14</f>
        <v>365.08803866482532</v>
      </c>
      <c r="G723" s="210"/>
      <c r="H723" s="34"/>
      <c r="I723" s="195">
        <f>SF!I14</f>
        <v>0</v>
      </c>
      <c r="J723" s="195">
        <f>SF!J14</f>
        <v>0</v>
      </c>
      <c r="K723" s="268">
        <v>1</v>
      </c>
    </row>
    <row r="724" spans="1:11">
      <c r="A724" s="25" t="s">
        <v>250</v>
      </c>
      <c r="B724" s="26" t="s">
        <v>967</v>
      </c>
      <c r="C724" s="26"/>
      <c r="D724" s="26"/>
      <c r="E724" s="27"/>
      <c r="F724" s="195">
        <f>SF!F19</f>
        <v>230</v>
      </c>
      <c r="G724" s="27"/>
      <c r="H724" s="34"/>
      <c r="I724" s="195">
        <f>SF!I19</f>
        <v>-115</v>
      </c>
      <c r="J724" s="195">
        <f>SF!J19</f>
        <v>0</v>
      </c>
      <c r="K724" s="376">
        <v>1</v>
      </c>
    </row>
    <row r="725" spans="1:11">
      <c r="A725" s="25" t="s">
        <v>251</v>
      </c>
      <c r="B725" s="26" t="s">
        <v>968</v>
      </c>
      <c r="C725" s="26"/>
      <c r="D725" s="26"/>
      <c r="E725" s="27"/>
      <c r="F725" s="195">
        <f>SF!F20</f>
        <v>20.660000000000004</v>
      </c>
      <c r="G725" s="27"/>
      <c r="H725" s="34"/>
      <c r="I725" s="195">
        <f>SF!I20</f>
        <v>-10.330000000000002</v>
      </c>
      <c r="J725" s="195">
        <f>SF!J20</f>
        <v>0</v>
      </c>
      <c r="K725" s="376">
        <v>1</v>
      </c>
    </row>
    <row r="726" spans="1:11">
      <c r="A726" s="25" t="s">
        <v>97</v>
      </c>
      <c r="B726" s="26" t="s">
        <v>969</v>
      </c>
      <c r="C726" s="26"/>
      <c r="D726" s="26"/>
      <c r="E726" s="27"/>
      <c r="F726" s="195">
        <f>SF!F21</f>
        <v>42</v>
      </c>
      <c r="G726" s="27"/>
      <c r="H726" s="34"/>
      <c r="I726" s="195">
        <f>SF!I21</f>
        <v>-14.858499999999999</v>
      </c>
      <c r="J726" s="195">
        <f>SF!J21</f>
        <v>0</v>
      </c>
      <c r="K726" s="376">
        <v>1</v>
      </c>
    </row>
    <row r="727" spans="1:11">
      <c r="A727" s="25" t="s">
        <v>250</v>
      </c>
      <c r="B727" s="26" t="s">
        <v>970</v>
      </c>
      <c r="C727" s="26"/>
      <c r="D727" s="26"/>
      <c r="E727" s="27"/>
      <c r="F727" s="195">
        <f>SF!F23</f>
        <v>230</v>
      </c>
      <c r="G727" s="27"/>
      <c r="H727" s="34"/>
      <c r="I727" s="195">
        <f>SF!I23</f>
        <v>115</v>
      </c>
      <c r="J727" s="195">
        <f>SF!J23</f>
        <v>0</v>
      </c>
      <c r="K727" s="376">
        <v>1</v>
      </c>
    </row>
    <row r="728" spans="1:11">
      <c r="A728" s="25" t="s">
        <v>251</v>
      </c>
      <c r="B728" s="26" t="s">
        <v>971</v>
      </c>
      <c r="C728" s="26"/>
      <c r="D728" s="26"/>
      <c r="E728" s="27"/>
      <c r="F728" s="195">
        <f>SF!F24</f>
        <v>20.660000000000004</v>
      </c>
      <c r="G728" s="27"/>
      <c r="H728" s="34"/>
      <c r="I728" s="195">
        <f>SF!I24</f>
        <v>10.330000000000002</v>
      </c>
      <c r="J728" s="195">
        <f>SF!J24</f>
        <v>0</v>
      </c>
      <c r="K728" s="268">
        <v>1</v>
      </c>
    </row>
    <row r="729" spans="1:11">
      <c r="A729" s="25" t="s">
        <v>97</v>
      </c>
      <c r="B729" s="26" t="s">
        <v>972</v>
      </c>
      <c r="C729" s="26"/>
      <c r="D729" s="26"/>
      <c r="E729" s="27"/>
      <c r="F729" s="195">
        <f>SF!F25</f>
        <v>42</v>
      </c>
      <c r="G729" s="27"/>
      <c r="H729" s="34"/>
      <c r="I729" s="195">
        <f>SF!I25</f>
        <v>14.858499999999999</v>
      </c>
      <c r="J729" s="195">
        <f>SF!J25</f>
        <v>0</v>
      </c>
      <c r="K729" s="376">
        <v>1</v>
      </c>
    </row>
    <row r="730" spans="1:11">
      <c r="A730" s="25" t="s">
        <v>976</v>
      </c>
      <c r="B730" s="26" t="s">
        <v>981</v>
      </c>
      <c r="C730" s="26"/>
      <c r="D730" s="26"/>
      <c r="E730" s="27"/>
      <c r="F730" s="195">
        <f>SF!F33</f>
        <v>0</v>
      </c>
      <c r="G730" s="27"/>
      <c r="H730" s="34"/>
      <c r="I730" s="195">
        <f>SF!I33</f>
        <v>0</v>
      </c>
      <c r="J730" s="195">
        <f>SF!J33</f>
        <v>0</v>
      </c>
      <c r="K730" s="376">
        <v>1</v>
      </c>
    </row>
    <row r="731" spans="1:11">
      <c r="A731" s="25" t="s">
        <v>977</v>
      </c>
      <c r="B731" s="26" t="s">
        <v>982</v>
      </c>
      <c r="C731" s="26"/>
      <c r="D731" s="26"/>
      <c r="E731" s="27"/>
      <c r="F731" s="195">
        <f>SF!F34</f>
        <v>127.89948571428575</v>
      </c>
      <c r="G731" s="27"/>
      <c r="H731" s="34"/>
      <c r="I731" s="195">
        <f>SF!I34</f>
        <v>63.949742857142873</v>
      </c>
      <c r="J731" s="195">
        <f>SF!J34</f>
        <v>-19.835942761904757</v>
      </c>
      <c r="K731" s="376">
        <v>1</v>
      </c>
    </row>
    <row r="732" spans="1:11">
      <c r="A732" s="25" t="s">
        <v>985</v>
      </c>
      <c r="B732" s="163" t="s">
        <v>953</v>
      </c>
      <c r="C732" s="26"/>
      <c r="D732" s="26"/>
      <c r="E732" s="27"/>
      <c r="F732" s="34"/>
      <c r="G732" s="195">
        <f>SF!G39</f>
        <v>29.998225714285713</v>
      </c>
      <c r="H732" s="34"/>
      <c r="I732" s="195">
        <f>SF!I39</f>
        <v>248.38530891428573</v>
      </c>
      <c r="J732" s="34"/>
      <c r="K732" s="376">
        <v>1</v>
      </c>
    </row>
    <row r="733" spans="1:11">
      <c r="A733" s="686" t="s">
        <v>1128</v>
      </c>
      <c r="B733" s="687"/>
      <c r="C733" s="688"/>
      <c r="D733" s="688"/>
      <c r="E733" s="689"/>
      <c r="F733" s="696">
        <f>SF!F43</f>
        <v>-103.56143333397094</v>
      </c>
      <c r="G733" s="689"/>
      <c r="H733" s="690"/>
      <c r="I733" s="690"/>
      <c r="J733" s="690"/>
      <c r="K733" s="376">
        <v>1</v>
      </c>
    </row>
    <row r="734" spans="1:11">
      <c r="A734" s="686" t="s">
        <v>1131</v>
      </c>
      <c r="B734" s="687"/>
      <c r="C734" s="688"/>
      <c r="D734" s="688"/>
      <c r="E734" s="689"/>
      <c r="F734" s="690"/>
      <c r="G734" s="696">
        <f>SF!G47</f>
        <v>3.2856246869242693</v>
      </c>
      <c r="H734" s="696">
        <f>SF!H47</f>
        <v>3.5397182492142409</v>
      </c>
      <c r="I734" s="696">
        <f>SF!I47</f>
        <v>7.0628515103002814</v>
      </c>
      <c r="J734" s="696">
        <f>SF!J47</f>
        <v>5.3297614737052639</v>
      </c>
      <c r="K734" s="376">
        <v>1</v>
      </c>
    </row>
    <row r="735" spans="1:11">
      <c r="A735" s="253"/>
      <c r="B735" s="15"/>
      <c r="C735" s="15"/>
      <c r="D735" s="15"/>
      <c r="E735" s="22"/>
      <c r="F735" s="212"/>
      <c r="G735" s="213"/>
      <c r="H735" s="198"/>
      <c r="I735" s="198"/>
      <c r="J735" s="58"/>
      <c r="K735" s="379"/>
    </row>
    <row r="736" spans="1:11">
      <c r="A736" s="46"/>
      <c r="B736" s="46"/>
      <c r="C736" s="46"/>
      <c r="D736" s="46"/>
      <c r="E736" s="46"/>
      <c r="F736" s="46"/>
      <c r="G736" s="46"/>
      <c r="H736" s="46"/>
      <c r="I736" s="46"/>
      <c r="J736" s="46"/>
      <c r="K736" s="87"/>
    </row>
    <row r="737" spans="1:11">
      <c r="A737" s="220" t="s">
        <v>73</v>
      </c>
      <c r="B737" s="220" t="s">
        <v>74</v>
      </c>
      <c r="C737" s="200"/>
      <c r="D737" s="200"/>
      <c r="E737" s="217"/>
      <c r="F737" s="1636" t="s">
        <v>72</v>
      </c>
      <c r="G737" s="1637"/>
      <c r="H737" s="1637"/>
      <c r="I737" s="1637"/>
      <c r="J737" s="1638"/>
      <c r="K737" s="87"/>
    </row>
    <row r="738" spans="1:11" ht="18">
      <c r="A738" s="221"/>
      <c r="B738" s="221"/>
      <c r="C738" s="201"/>
      <c r="D738" s="201"/>
      <c r="E738" s="219"/>
      <c r="F738" s="223" t="s">
        <v>23</v>
      </c>
      <c r="G738" s="223" t="s">
        <v>87</v>
      </c>
      <c r="H738" s="223" t="s">
        <v>212</v>
      </c>
      <c r="I738" s="223" t="s">
        <v>80</v>
      </c>
      <c r="J738" s="223" t="s">
        <v>81</v>
      </c>
      <c r="K738" s="87"/>
    </row>
    <row r="739" spans="1:11">
      <c r="A739" s="222"/>
      <c r="B739" s="222"/>
      <c r="C739" s="203"/>
      <c r="D739" s="203"/>
      <c r="E739" s="218"/>
      <c r="F739" s="204" t="s">
        <v>34</v>
      </c>
      <c r="G739" s="204" t="s">
        <v>34</v>
      </c>
      <c r="H739" s="203" t="s">
        <v>34</v>
      </c>
      <c r="I739" s="204" t="s">
        <v>77</v>
      </c>
      <c r="J739" s="204" t="s">
        <v>77</v>
      </c>
      <c r="K739" s="87"/>
    </row>
    <row r="740" spans="1:11">
      <c r="A740" s="202"/>
      <c r="B740" s="200"/>
      <c r="C740" s="200"/>
      <c r="D740" s="200"/>
      <c r="E740" s="217"/>
      <c r="F740" s="205"/>
      <c r="G740" s="205"/>
      <c r="H740" s="201"/>
      <c r="I740" s="205"/>
      <c r="J740" s="205"/>
      <c r="K740" s="87"/>
    </row>
    <row r="741" spans="1:11">
      <c r="A741" s="205" t="str">
        <f>A720</f>
        <v>LC-24</v>
      </c>
      <c r="B741" s="201" t="str">
        <f>B720</f>
        <v>NS HFL With LL max moment case</v>
      </c>
      <c r="C741" s="201"/>
      <c r="D741" s="201"/>
      <c r="E741" s="219"/>
      <c r="F741" s="205">
        <f>SUMPRODUCT(F723:F734,$K$723:$K$734)</f>
        <v>974.74609104513991</v>
      </c>
      <c r="G741" s="1080">
        <f>SUMPRODUCT(G723:G734,$K$723:$K$734)</f>
        <v>33.283850401209982</v>
      </c>
      <c r="H741" s="1080">
        <f>SUMPRODUCT(H723:H734,$K$723:$K$734)</f>
        <v>3.5397182492142409</v>
      </c>
      <c r="I741" s="1080">
        <f>SUMPRODUCT(I723:I734,$K$723:$K$734)</f>
        <v>319.39790328172887</v>
      </c>
      <c r="J741" s="1080">
        <f>SUMPRODUCT(J723:J734,$K$723:$K$734)</f>
        <v>-14.506181288199492</v>
      </c>
      <c r="K741" s="87"/>
    </row>
    <row r="742" spans="1:11">
      <c r="A742" s="204"/>
      <c r="B742" s="203"/>
      <c r="C742" s="203"/>
      <c r="D742" s="203"/>
      <c r="E742" s="218"/>
      <c r="F742" s="204"/>
      <c r="G742" s="204"/>
      <c r="H742" s="203"/>
      <c r="I742" s="204"/>
      <c r="J742" s="204"/>
      <c r="K742" s="87"/>
    </row>
    <row r="745" spans="1:11">
      <c r="A745" s="1318" t="str">
        <f>K745</f>
        <v>LC-25</v>
      </c>
      <c r="B745" s="24" t="str">
        <f>VLOOKUP(A745,LC_DEF_2!A3:B42,2,FALSE)</f>
        <v>LC-21 + Seismic Sx=1,Sz=0.3,Sy=-0.3 (50% seismic)</v>
      </c>
      <c r="C745" s="24"/>
      <c r="D745" s="24"/>
      <c r="E745" s="21"/>
      <c r="F745" s="1635" t="s">
        <v>742</v>
      </c>
      <c r="G745" s="1635"/>
      <c r="H745" s="1635"/>
      <c r="I745" s="1635"/>
      <c r="J745" s="1600"/>
      <c r="K745" s="413" t="s">
        <v>1162</v>
      </c>
    </row>
    <row r="746" spans="1:11" ht="18">
      <c r="A746" s="25" t="s">
        <v>73</v>
      </c>
      <c r="B746" s="26" t="s">
        <v>74</v>
      </c>
      <c r="C746" s="26"/>
      <c r="D746" s="26"/>
      <c r="E746" s="27"/>
      <c r="F746" s="32" t="s">
        <v>23</v>
      </c>
      <c r="G746" s="33" t="s">
        <v>87</v>
      </c>
      <c r="H746" s="33" t="s">
        <v>212</v>
      </c>
      <c r="I746" s="33" t="s">
        <v>80</v>
      </c>
      <c r="J746" s="33" t="s">
        <v>81</v>
      </c>
      <c r="K746" s="376"/>
    </row>
    <row r="747" spans="1:11">
      <c r="A747" s="28"/>
      <c r="B747" s="15"/>
      <c r="C747" s="15"/>
      <c r="D747" s="15"/>
      <c r="E747" s="22"/>
      <c r="F747" s="21" t="s">
        <v>34</v>
      </c>
      <c r="G747" s="36" t="s">
        <v>34</v>
      </c>
      <c r="H747" s="36" t="s">
        <v>34</v>
      </c>
      <c r="I747" s="36" t="s">
        <v>77</v>
      </c>
      <c r="J747" s="36" t="s">
        <v>77</v>
      </c>
      <c r="K747" s="376"/>
    </row>
    <row r="748" spans="1:11">
      <c r="A748" s="25" t="s">
        <v>88</v>
      </c>
      <c r="B748" s="26" t="s">
        <v>75</v>
      </c>
      <c r="C748" s="26"/>
      <c r="D748" s="26"/>
      <c r="E748" s="27"/>
      <c r="F748" s="195">
        <f>SF!F14</f>
        <v>365.08803866482532</v>
      </c>
      <c r="G748" s="210"/>
      <c r="H748" s="34"/>
      <c r="I748" s="195">
        <f>SF!I14</f>
        <v>0</v>
      </c>
      <c r="J748" s="195">
        <f>SF!J14</f>
        <v>0</v>
      </c>
      <c r="K748" s="268">
        <v>1</v>
      </c>
    </row>
    <row r="749" spans="1:11">
      <c r="A749" s="25" t="s">
        <v>90</v>
      </c>
      <c r="B749" s="26" t="s">
        <v>249</v>
      </c>
      <c r="C749" s="26"/>
      <c r="D749" s="26"/>
      <c r="E749" s="27"/>
      <c r="F749" s="195">
        <f>SF!F16</f>
        <v>36.639026644707663</v>
      </c>
      <c r="G749" s="210"/>
      <c r="H749" s="34"/>
      <c r="I749" s="195">
        <f>SF!I16</f>
        <v>0</v>
      </c>
      <c r="J749" s="195">
        <f>SF!J16</f>
        <v>0</v>
      </c>
      <c r="K749" s="268">
        <v>1</v>
      </c>
    </row>
    <row r="750" spans="1:11">
      <c r="A750" s="25" t="s">
        <v>250</v>
      </c>
      <c r="B750" s="26" t="s">
        <v>970</v>
      </c>
      <c r="C750" s="26"/>
      <c r="D750" s="26"/>
      <c r="E750" s="27"/>
      <c r="F750" s="195">
        <f>SF!F23</f>
        <v>230</v>
      </c>
      <c r="G750" s="27"/>
      <c r="H750" s="34"/>
      <c r="I750" s="195">
        <f>SF!I23</f>
        <v>115</v>
      </c>
      <c r="J750" s="195">
        <f>SF!J23</f>
        <v>0</v>
      </c>
      <c r="K750" s="376">
        <v>1</v>
      </c>
    </row>
    <row r="751" spans="1:11">
      <c r="A751" s="25" t="s">
        <v>251</v>
      </c>
      <c r="B751" s="26" t="s">
        <v>971</v>
      </c>
      <c r="C751" s="26"/>
      <c r="D751" s="26"/>
      <c r="E751" s="27"/>
      <c r="F751" s="195">
        <f>SF!F24</f>
        <v>20.660000000000004</v>
      </c>
      <c r="G751" s="27"/>
      <c r="H751" s="34"/>
      <c r="I751" s="195">
        <f>SF!I24</f>
        <v>10.330000000000002</v>
      </c>
      <c r="J751" s="195">
        <f>SF!J24</f>
        <v>0</v>
      </c>
      <c r="K751" s="268">
        <v>1</v>
      </c>
    </row>
    <row r="752" spans="1:11">
      <c r="A752" s="25" t="s">
        <v>97</v>
      </c>
      <c r="B752" s="26" t="s">
        <v>972</v>
      </c>
      <c r="C752" s="26"/>
      <c r="D752" s="26"/>
      <c r="E752" s="27"/>
      <c r="F752" s="195">
        <f>SF!F25</f>
        <v>42</v>
      </c>
      <c r="G752" s="27"/>
      <c r="H752" s="34"/>
      <c r="I752" s="195">
        <f>SF!I25</f>
        <v>14.858499999999999</v>
      </c>
      <c r="J752" s="195">
        <f>SF!J25</f>
        <v>0</v>
      </c>
      <c r="K752" s="376">
        <v>1</v>
      </c>
    </row>
    <row r="753" spans="1:11">
      <c r="A753" s="25" t="s">
        <v>987</v>
      </c>
      <c r="B753" s="163" t="s">
        <v>957</v>
      </c>
      <c r="C753" s="26"/>
      <c r="D753" s="26"/>
      <c r="E753" s="27"/>
      <c r="F753" s="34"/>
      <c r="G753" s="195">
        <f>SF!G41</f>
        <v>14.632999999999999</v>
      </c>
      <c r="H753" s="34"/>
      <c r="I753" s="195">
        <f>SF!I41</f>
        <v>121.16124000000001</v>
      </c>
      <c r="J753" s="34"/>
      <c r="K753" s="376">
        <v>1</v>
      </c>
    </row>
    <row r="754" spans="1:11">
      <c r="A754" s="686" t="s">
        <v>1128</v>
      </c>
      <c r="B754" s="687"/>
      <c r="C754" s="688"/>
      <c r="D754" s="688"/>
      <c r="E754" s="689"/>
      <c r="F754" s="696">
        <f>SF!F43</f>
        <v>-103.56143333397094</v>
      </c>
      <c r="G754" s="689"/>
      <c r="H754" s="690"/>
      <c r="I754" s="690"/>
      <c r="J754" s="690"/>
      <c r="K754" s="376">
        <v>1</v>
      </c>
    </row>
    <row r="755" spans="1:11">
      <c r="A755" s="686" t="s">
        <v>1131</v>
      </c>
      <c r="B755" s="687"/>
      <c r="C755" s="688"/>
      <c r="D755" s="688"/>
      <c r="E755" s="689"/>
      <c r="F755" s="690"/>
      <c r="G755" s="696">
        <f>SF!G47</f>
        <v>3.2856246869242693</v>
      </c>
      <c r="H755" s="696">
        <f>SF!H47</f>
        <v>3.5397182492142409</v>
      </c>
      <c r="I755" s="696">
        <f>SF!I47</f>
        <v>7.0628515103002814</v>
      </c>
      <c r="J755" s="696">
        <f>SF!J47</f>
        <v>5.3297614737052639</v>
      </c>
      <c r="K755" s="376">
        <v>1</v>
      </c>
    </row>
    <row r="756" spans="1:11">
      <c r="A756" s="278" t="s">
        <v>1132</v>
      </c>
      <c r="B756" s="262"/>
      <c r="C756" s="262"/>
      <c r="D756" s="262"/>
      <c r="E756" s="263"/>
      <c r="F756" s="279"/>
      <c r="G756" s="280"/>
      <c r="H756" s="264"/>
      <c r="I756" s="279"/>
      <c r="J756" s="264"/>
      <c r="K756" s="650">
        <v>0.5</v>
      </c>
    </row>
    <row r="757" spans="1:11">
      <c r="A757" s="25" t="s">
        <v>991</v>
      </c>
      <c r="B757" s="26" t="s">
        <v>989</v>
      </c>
      <c r="C757" s="26"/>
      <c r="D757" s="26"/>
      <c r="E757" s="27"/>
      <c r="F757" s="197"/>
      <c r="G757" s="172">
        <f>SF!G52</f>
        <v>94.821839999999995</v>
      </c>
      <c r="H757" s="34"/>
      <c r="I757" s="172">
        <f>SF!I52</f>
        <v>785.12483520000001</v>
      </c>
      <c r="J757" s="89"/>
      <c r="K757" s="268">
        <v>0.5</v>
      </c>
    </row>
    <row r="758" spans="1:11">
      <c r="A758" s="25" t="s">
        <v>217</v>
      </c>
      <c r="B758" s="26" t="s">
        <v>211</v>
      </c>
      <c r="C758" s="26"/>
      <c r="D758" s="26"/>
      <c r="E758" s="27"/>
      <c r="F758" s="197"/>
      <c r="G758" s="196">
        <f>SF!G58</f>
        <v>26.798532263701709</v>
      </c>
      <c r="H758" s="199"/>
      <c r="I758" s="172">
        <f>SF!I58</f>
        <v>147.28381289471153</v>
      </c>
      <c r="J758" s="195"/>
      <c r="K758" s="376">
        <v>0.5</v>
      </c>
    </row>
    <row r="759" spans="1:11">
      <c r="A759" s="686" t="s">
        <v>1472</v>
      </c>
      <c r="B759" s="688" t="s">
        <v>1045</v>
      </c>
      <c r="C759" s="688"/>
      <c r="D759" s="688"/>
      <c r="E759" s="689"/>
      <c r="F759" s="620"/>
      <c r="G759" s="695">
        <f>SF!G61</f>
        <v>32.345729999999996</v>
      </c>
      <c r="H759" s="690"/>
      <c r="I759" s="695">
        <f>SF!I61</f>
        <v>29.111156999999999</v>
      </c>
      <c r="J759" s="269"/>
      <c r="K759" s="376">
        <v>0.5</v>
      </c>
    </row>
    <row r="760" spans="1:11">
      <c r="A760" s="686" t="s">
        <v>1139</v>
      </c>
      <c r="B760" s="688" t="s">
        <v>1140</v>
      </c>
      <c r="C760" s="688"/>
      <c r="D760" s="688"/>
      <c r="E760" s="689"/>
      <c r="F760" s="620"/>
      <c r="G760" s="695">
        <f>SF!G63</f>
        <v>19.373390077688924</v>
      </c>
      <c r="H760" s="690"/>
      <c r="I760" s="695">
        <f>SF!I63</f>
        <v>37.512792074379419</v>
      </c>
      <c r="J760" s="269"/>
      <c r="K760" s="376">
        <v>0.5</v>
      </c>
    </row>
    <row r="761" spans="1:11">
      <c r="A761" s="278" t="s">
        <v>1135</v>
      </c>
      <c r="B761" s="262"/>
      <c r="C761" s="262"/>
      <c r="D761" s="262"/>
      <c r="E761" s="263"/>
      <c r="F761" s="279"/>
      <c r="G761" s="280"/>
      <c r="H761" s="264"/>
      <c r="I761" s="279"/>
      <c r="J761" s="264"/>
      <c r="K761" s="708">
        <v>0.15</v>
      </c>
    </row>
    <row r="762" spans="1:11">
      <c r="A762" s="25" t="s">
        <v>998</v>
      </c>
      <c r="B762" s="26" t="s">
        <v>989</v>
      </c>
      <c r="C762" s="26"/>
      <c r="D762" s="26"/>
      <c r="E762" s="27"/>
      <c r="F762" s="197"/>
      <c r="G762" s="211"/>
      <c r="H762" s="254">
        <f>SF!H68</f>
        <v>47.410919999999997</v>
      </c>
      <c r="I762" s="197"/>
      <c r="J762" s="254">
        <f>SF!J68</f>
        <v>433.10062959257624</v>
      </c>
      <c r="K762" s="376">
        <v>0.15</v>
      </c>
    </row>
    <row r="763" spans="1:11">
      <c r="A763" s="25" t="s">
        <v>1006</v>
      </c>
      <c r="B763" s="26" t="s">
        <v>211</v>
      </c>
      <c r="C763" s="26"/>
      <c r="D763" s="26"/>
      <c r="E763" s="27"/>
      <c r="F763" s="197"/>
      <c r="G763" s="195"/>
      <c r="H763" s="254">
        <f>SF!H78</f>
        <v>26.798532263701709</v>
      </c>
      <c r="I763" s="195"/>
      <c r="J763" s="254">
        <f>SF!J78</f>
        <v>147.28381289471153</v>
      </c>
      <c r="K763" s="376">
        <v>0.15</v>
      </c>
    </row>
    <row r="764" spans="1:11">
      <c r="A764" s="686" t="s">
        <v>1138</v>
      </c>
      <c r="B764" s="688" t="s">
        <v>1045</v>
      </c>
      <c r="C764" s="688"/>
      <c r="D764" s="688"/>
      <c r="E764" s="689"/>
      <c r="F764" s="620"/>
      <c r="G764" s="711"/>
      <c r="H764" s="989">
        <f>SF!H81</f>
        <v>32.345729999999996</v>
      </c>
      <c r="I764" s="696"/>
      <c r="J764" s="989">
        <f>SF!J81</f>
        <v>29.111156999999999</v>
      </c>
      <c r="K764" s="376">
        <v>0.15</v>
      </c>
    </row>
    <row r="765" spans="1:11">
      <c r="A765" s="686" t="s">
        <v>1138</v>
      </c>
      <c r="B765" s="688" t="s">
        <v>1141</v>
      </c>
      <c r="C765" s="26"/>
      <c r="D765" s="26"/>
      <c r="E765" s="27"/>
      <c r="F765" s="34"/>
      <c r="G765" s="27"/>
      <c r="H765" s="989">
        <f>SF!H83</f>
        <v>19.373390077688924</v>
      </c>
      <c r="I765" s="696"/>
      <c r="J765" s="989">
        <f>SF!J83</f>
        <v>37.512792074379419</v>
      </c>
      <c r="K765" s="376">
        <v>0.15</v>
      </c>
    </row>
    <row r="766" spans="1:11">
      <c r="A766" s="290" t="s">
        <v>1137</v>
      </c>
      <c r="B766" s="11"/>
      <c r="C766" s="11"/>
      <c r="D766" s="11"/>
      <c r="E766" s="191"/>
      <c r="F766" s="197"/>
      <c r="G766" s="211"/>
      <c r="H766" s="89"/>
      <c r="I766" s="197"/>
      <c r="J766" s="89"/>
      <c r="K766" s="994">
        <v>0.15</v>
      </c>
    </row>
    <row r="767" spans="1:11">
      <c r="A767" s="25" t="s">
        <v>1008</v>
      </c>
      <c r="B767" s="26" t="s">
        <v>989</v>
      </c>
      <c r="C767" s="26"/>
      <c r="D767" s="26"/>
      <c r="E767" s="27"/>
      <c r="F767" s="196">
        <f>SF!F88</f>
        <v>31.607279999999999</v>
      </c>
      <c r="G767" s="211"/>
      <c r="H767" s="34"/>
      <c r="I767" s="196">
        <f>SF!I88</f>
        <v>15.140358000000003</v>
      </c>
      <c r="J767" s="196">
        <f>SF!J88</f>
        <v>0</v>
      </c>
      <c r="K767" s="268">
        <v>-0.15</v>
      </c>
    </row>
    <row r="768" spans="1:11">
      <c r="A768" s="25" t="s">
        <v>1011</v>
      </c>
      <c r="B768" s="26" t="s">
        <v>211</v>
      </c>
      <c r="C768" s="26"/>
      <c r="D768" s="26"/>
      <c r="E768" s="27"/>
      <c r="F768" s="196">
        <f>SF!F98</f>
        <v>17.865688175801139</v>
      </c>
      <c r="G768" s="211"/>
      <c r="H768" s="197"/>
      <c r="I768" s="196">
        <f>SF!I98</f>
        <v>0</v>
      </c>
      <c r="J768" s="196">
        <f>SF!J98</f>
        <v>0</v>
      </c>
      <c r="K768" s="268">
        <v>-0.15</v>
      </c>
    </row>
    <row r="769" spans="1:11">
      <c r="A769" s="686" t="s">
        <v>1473</v>
      </c>
      <c r="B769" s="688" t="s">
        <v>1045</v>
      </c>
      <c r="C769" s="688"/>
      <c r="D769" s="688"/>
      <c r="E769" s="689"/>
      <c r="F769" s="695">
        <f>SF!F101</f>
        <v>21.56382</v>
      </c>
      <c r="G769" s="621"/>
      <c r="H769" s="620"/>
      <c r="I769" s="695">
        <f>SF!I101</f>
        <v>0</v>
      </c>
      <c r="J769" s="695">
        <f>SF!J101</f>
        <v>0</v>
      </c>
      <c r="K769" s="268">
        <v>-0.15</v>
      </c>
    </row>
    <row r="770" spans="1:11">
      <c r="A770" s="253"/>
      <c r="B770" s="15"/>
      <c r="C770" s="15"/>
      <c r="D770" s="15"/>
      <c r="E770" s="22"/>
      <c r="F770" s="212"/>
      <c r="G770" s="213"/>
      <c r="H770" s="198"/>
      <c r="I770" s="198"/>
      <c r="J770" s="58"/>
      <c r="K770" s="379"/>
    </row>
    <row r="771" spans="1:11">
      <c r="A771" s="46"/>
      <c r="B771" s="46"/>
      <c r="C771" s="46"/>
      <c r="D771" s="46"/>
      <c r="E771" s="46"/>
      <c r="F771" s="46"/>
      <c r="G771" s="46"/>
      <c r="H771" s="46"/>
      <c r="I771" s="46"/>
      <c r="J771" s="46"/>
      <c r="K771" s="87"/>
    </row>
    <row r="772" spans="1:11">
      <c r="A772" s="220" t="s">
        <v>73</v>
      </c>
      <c r="B772" s="220" t="s">
        <v>74</v>
      </c>
      <c r="C772" s="200"/>
      <c r="D772" s="200"/>
      <c r="E772" s="217"/>
      <c r="F772" s="1636" t="s">
        <v>72</v>
      </c>
      <c r="G772" s="1637"/>
      <c r="H772" s="1637"/>
      <c r="I772" s="1637"/>
      <c r="J772" s="1638"/>
      <c r="K772" s="87"/>
    </row>
    <row r="773" spans="1:11" ht="18">
      <c r="A773" s="221"/>
      <c r="B773" s="221"/>
      <c r="C773" s="201"/>
      <c r="D773" s="201"/>
      <c r="E773" s="219"/>
      <c r="F773" s="223" t="s">
        <v>23</v>
      </c>
      <c r="G773" s="223" t="s">
        <v>87</v>
      </c>
      <c r="H773" s="223" t="s">
        <v>212</v>
      </c>
      <c r="I773" s="223" t="s">
        <v>80</v>
      </c>
      <c r="J773" s="223" t="s">
        <v>81</v>
      </c>
      <c r="K773" s="87"/>
    </row>
    <row r="774" spans="1:11">
      <c r="A774" s="222"/>
      <c r="B774" s="222"/>
      <c r="C774" s="203"/>
      <c r="D774" s="203"/>
      <c r="E774" s="218"/>
      <c r="F774" s="204" t="s">
        <v>34</v>
      </c>
      <c r="G774" s="204" t="s">
        <v>34</v>
      </c>
      <c r="H774" s="203" t="s">
        <v>34</v>
      </c>
      <c r="I774" s="204" t="s">
        <v>77</v>
      </c>
      <c r="J774" s="204" t="s">
        <v>77</v>
      </c>
      <c r="K774" s="87"/>
    </row>
    <row r="775" spans="1:11">
      <c r="A775" s="202"/>
      <c r="B775" s="200"/>
      <c r="C775" s="200"/>
      <c r="D775" s="200"/>
      <c r="E775" s="217"/>
      <c r="F775" s="205"/>
      <c r="G775" s="205"/>
      <c r="H775" s="201"/>
      <c r="I775" s="205"/>
      <c r="J775" s="205"/>
      <c r="K775" s="87"/>
    </row>
    <row r="776" spans="1:11">
      <c r="A776" s="205" t="str">
        <f>A745</f>
        <v>LC-25</v>
      </c>
      <c r="B776" s="201" t="str">
        <f>B745</f>
        <v>LC-21 + Seismic Sx=1,Sz=0.3,Sy=-0.3 (50% seismic)</v>
      </c>
      <c r="C776" s="201"/>
      <c r="D776" s="201"/>
      <c r="E776" s="219"/>
      <c r="F776" s="205">
        <f>SUMPRODUCT(F748:F769,$K$748:$K$769)</f>
        <v>580.17011374919184</v>
      </c>
      <c r="G776" s="1080">
        <f>SUMPRODUCT(G748:G769,$K$748:$K$769)</f>
        <v>104.58837085761958</v>
      </c>
      <c r="H776" s="1080">
        <f>SUMPRODUCT(H748:H769,$K$748:$K$769)</f>
        <v>22.429004100422837</v>
      </c>
      <c r="I776" s="1080">
        <f>SUMPRODUCT(I748:I769,$K$748:$K$769)</f>
        <v>765.65783639484573</v>
      </c>
      <c r="J776" s="1080">
        <f>SUMPRODUCT(J748:J769,$K$748:$K$769)</f>
        <v>102.38102020795534</v>
      </c>
      <c r="K776" s="87"/>
    </row>
    <row r="777" spans="1:11">
      <c r="A777" s="204"/>
      <c r="B777" s="203"/>
      <c r="C777" s="203"/>
      <c r="D777" s="203"/>
      <c r="E777" s="218"/>
      <c r="F777" s="204"/>
      <c r="G777" s="204"/>
      <c r="H777" s="203"/>
      <c r="I777" s="204"/>
      <c r="J777" s="204"/>
      <c r="K777" s="87"/>
    </row>
    <row r="780" spans="1:11">
      <c r="A780" s="1318" t="str">
        <f>K780</f>
        <v>LC-26</v>
      </c>
      <c r="B780" s="24" t="str">
        <f>VLOOKUP(A780,LC_DEF_2!A3:B42,2,FALSE)</f>
        <v>LC-21 + Seismic Sx=0.3,Sz=1,Sy=-0.3 (50% seismic)</v>
      </c>
      <c r="C780" s="24"/>
      <c r="D780" s="24"/>
      <c r="E780" s="21"/>
      <c r="F780" s="1635" t="s">
        <v>742</v>
      </c>
      <c r="G780" s="1635"/>
      <c r="H780" s="1635"/>
      <c r="I780" s="1635"/>
      <c r="J780" s="1600"/>
      <c r="K780" s="413" t="s">
        <v>1163</v>
      </c>
    </row>
    <row r="781" spans="1:11" ht="18">
      <c r="A781" s="25" t="s">
        <v>73</v>
      </c>
      <c r="B781" s="26" t="s">
        <v>74</v>
      </c>
      <c r="C781" s="26"/>
      <c r="D781" s="26"/>
      <c r="E781" s="27"/>
      <c r="F781" s="32" t="s">
        <v>23</v>
      </c>
      <c r="G781" s="33" t="s">
        <v>87</v>
      </c>
      <c r="H781" s="33" t="s">
        <v>212</v>
      </c>
      <c r="I781" s="33" t="s">
        <v>80</v>
      </c>
      <c r="J781" s="33" t="s">
        <v>81</v>
      </c>
      <c r="K781" s="376"/>
    </row>
    <row r="782" spans="1:11">
      <c r="A782" s="28"/>
      <c r="B782" s="15"/>
      <c r="C782" s="15"/>
      <c r="D782" s="15"/>
      <c r="E782" s="22"/>
      <c r="F782" s="21" t="s">
        <v>34</v>
      </c>
      <c r="G782" s="36" t="s">
        <v>34</v>
      </c>
      <c r="H782" s="36" t="s">
        <v>34</v>
      </c>
      <c r="I782" s="36" t="s">
        <v>77</v>
      </c>
      <c r="J782" s="36" t="s">
        <v>77</v>
      </c>
      <c r="K782" s="376"/>
    </row>
    <row r="783" spans="1:11">
      <c r="A783" s="25" t="s">
        <v>88</v>
      </c>
      <c r="B783" s="26" t="s">
        <v>75</v>
      </c>
      <c r="C783" s="26"/>
      <c r="D783" s="26"/>
      <c r="E783" s="27"/>
      <c r="F783" s="195">
        <f>SF!F14</f>
        <v>365.08803866482532</v>
      </c>
      <c r="G783" s="210"/>
      <c r="H783" s="34"/>
      <c r="I783" s="195">
        <f>SF!I14</f>
        <v>0</v>
      </c>
      <c r="J783" s="195">
        <f>SF!J14</f>
        <v>0</v>
      </c>
      <c r="K783" s="268">
        <v>1</v>
      </c>
    </row>
    <row r="784" spans="1:11">
      <c r="A784" s="25" t="s">
        <v>90</v>
      </c>
      <c r="B784" s="26" t="s">
        <v>249</v>
      </c>
      <c r="C784" s="26"/>
      <c r="D784" s="26"/>
      <c r="E784" s="27"/>
      <c r="F784" s="195">
        <f>SF!F16</f>
        <v>36.639026644707663</v>
      </c>
      <c r="G784" s="210"/>
      <c r="H784" s="34"/>
      <c r="I784" s="195">
        <f>SF!I16</f>
        <v>0</v>
      </c>
      <c r="J784" s="195">
        <f>SF!J16</f>
        <v>0</v>
      </c>
      <c r="K784" s="268">
        <v>1</v>
      </c>
    </row>
    <row r="785" spans="1:11">
      <c r="A785" s="25" t="s">
        <v>250</v>
      </c>
      <c r="B785" s="26" t="s">
        <v>970</v>
      </c>
      <c r="C785" s="26"/>
      <c r="D785" s="26"/>
      <c r="E785" s="27"/>
      <c r="F785" s="195">
        <f>SF!F23</f>
        <v>230</v>
      </c>
      <c r="G785" s="27"/>
      <c r="H785" s="34"/>
      <c r="I785" s="195">
        <f>SF!I23</f>
        <v>115</v>
      </c>
      <c r="J785" s="195">
        <f>SF!J23</f>
        <v>0</v>
      </c>
      <c r="K785" s="376">
        <v>1</v>
      </c>
    </row>
    <row r="786" spans="1:11">
      <c r="A786" s="25" t="s">
        <v>251</v>
      </c>
      <c r="B786" s="26" t="s">
        <v>971</v>
      </c>
      <c r="C786" s="26"/>
      <c r="D786" s="26"/>
      <c r="E786" s="27"/>
      <c r="F786" s="195">
        <f>SF!F24</f>
        <v>20.660000000000004</v>
      </c>
      <c r="G786" s="27"/>
      <c r="H786" s="34"/>
      <c r="I786" s="195">
        <f>SF!I24</f>
        <v>10.330000000000002</v>
      </c>
      <c r="J786" s="195">
        <f>SF!J24</f>
        <v>0</v>
      </c>
      <c r="K786" s="268">
        <v>1</v>
      </c>
    </row>
    <row r="787" spans="1:11">
      <c r="A787" s="25" t="s">
        <v>97</v>
      </c>
      <c r="B787" s="26" t="s">
        <v>972</v>
      </c>
      <c r="C787" s="26"/>
      <c r="D787" s="26"/>
      <c r="E787" s="27"/>
      <c r="F787" s="195">
        <f>SF!F25</f>
        <v>42</v>
      </c>
      <c r="G787" s="27"/>
      <c r="H787" s="34"/>
      <c r="I787" s="195">
        <f>SF!I25</f>
        <v>14.858499999999999</v>
      </c>
      <c r="J787" s="195">
        <f>SF!J25</f>
        <v>0</v>
      </c>
      <c r="K787" s="376">
        <v>1</v>
      </c>
    </row>
    <row r="788" spans="1:11">
      <c r="A788" s="25" t="s">
        <v>987</v>
      </c>
      <c r="B788" s="163" t="s">
        <v>957</v>
      </c>
      <c r="C788" s="26"/>
      <c r="D788" s="26"/>
      <c r="E788" s="27"/>
      <c r="F788" s="34"/>
      <c r="G788" s="195">
        <f>SF!G41</f>
        <v>14.632999999999999</v>
      </c>
      <c r="H788" s="34"/>
      <c r="I788" s="195">
        <f>SF!I41</f>
        <v>121.16124000000001</v>
      </c>
      <c r="J788" s="34"/>
      <c r="K788" s="376">
        <v>1</v>
      </c>
    </row>
    <row r="789" spans="1:11">
      <c r="A789" s="686" t="s">
        <v>1128</v>
      </c>
      <c r="B789" s="687"/>
      <c r="C789" s="688"/>
      <c r="D789" s="688"/>
      <c r="E789" s="689"/>
      <c r="F789" s="696">
        <f>SF!F43</f>
        <v>-103.56143333397094</v>
      </c>
      <c r="G789" s="689"/>
      <c r="H789" s="690"/>
      <c r="I789" s="690"/>
      <c r="J789" s="690"/>
      <c r="K789" s="376">
        <v>1</v>
      </c>
    </row>
    <row r="790" spans="1:11">
      <c r="A790" s="686" t="s">
        <v>1131</v>
      </c>
      <c r="B790" s="687"/>
      <c r="C790" s="688"/>
      <c r="D790" s="688"/>
      <c r="E790" s="689"/>
      <c r="F790" s="690"/>
      <c r="G790" s="696">
        <f>SF!G47</f>
        <v>3.2856246869242693</v>
      </c>
      <c r="H790" s="696">
        <f>SF!H47</f>
        <v>3.5397182492142409</v>
      </c>
      <c r="I790" s="696">
        <f>SF!I47</f>
        <v>7.0628515103002814</v>
      </c>
      <c r="J790" s="696">
        <f>SF!J47</f>
        <v>5.3297614737052639</v>
      </c>
      <c r="K790" s="376">
        <v>1</v>
      </c>
    </row>
    <row r="791" spans="1:11">
      <c r="A791" s="278" t="s">
        <v>1132</v>
      </c>
      <c r="B791" s="262"/>
      <c r="C791" s="262"/>
      <c r="D791" s="262"/>
      <c r="E791" s="263"/>
      <c r="F791" s="279"/>
      <c r="G791" s="280"/>
      <c r="H791" s="264"/>
      <c r="I791" s="279"/>
      <c r="J791" s="264"/>
      <c r="K791" s="650">
        <v>0.15</v>
      </c>
    </row>
    <row r="792" spans="1:11">
      <c r="A792" s="25" t="s">
        <v>991</v>
      </c>
      <c r="B792" s="26" t="s">
        <v>989</v>
      </c>
      <c r="C792" s="26"/>
      <c r="D792" s="26"/>
      <c r="E792" s="27"/>
      <c r="F792" s="197"/>
      <c r="G792" s="172">
        <f>SF!G52</f>
        <v>94.821839999999995</v>
      </c>
      <c r="H792" s="34"/>
      <c r="I792" s="172">
        <f>SF!I52</f>
        <v>785.12483520000001</v>
      </c>
      <c r="J792" s="89"/>
      <c r="K792" s="268">
        <v>0.15</v>
      </c>
    </row>
    <row r="793" spans="1:11">
      <c r="A793" s="25" t="s">
        <v>217</v>
      </c>
      <c r="B793" s="26" t="s">
        <v>211</v>
      </c>
      <c r="C793" s="26"/>
      <c r="D793" s="26"/>
      <c r="E793" s="27"/>
      <c r="F793" s="197"/>
      <c r="G793" s="196">
        <f>SF!G58</f>
        <v>26.798532263701709</v>
      </c>
      <c r="H793" s="199"/>
      <c r="I793" s="172">
        <f>SF!I58</f>
        <v>147.28381289471153</v>
      </c>
      <c r="J793" s="195"/>
      <c r="K793" s="376">
        <v>0.15</v>
      </c>
    </row>
    <row r="794" spans="1:11">
      <c r="A794" s="686" t="s">
        <v>1472</v>
      </c>
      <c r="B794" s="688" t="s">
        <v>1045</v>
      </c>
      <c r="C794" s="688"/>
      <c r="D794" s="688"/>
      <c r="E794" s="689"/>
      <c r="F794" s="620"/>
      <c r="G794" s="695">
        <f>SF!G61</f>
        <v>32.345729999999996</v>
      </c>
      <c r="H794" s="690"/>
      <c r="I794" s="695">
        <f>SF!I61</f>
        <v>29.111156999999999</v>
      </c>
      <c r="J794" s="269"/>
      <c r="K794" s="376">
        <v>0.15</v>
      </c>
    </row>
    <row r="795" spans="1:11">
      <c r="A795" s="686" t="s">
        <v>1139</v>
      </c>
      <c r="B795" s="688" t="s">
        <v>1140</v>
      </c>
      <c r="C795" s="688"/>
      <c r="D795" s="688"/>
      <c r="E795" s="689"/>
      <c r="F795" s="620"/>
      <c r="G795" s="695">
        <f>SF!G63</f>
        <v>19.373390077688924</v>
      </c>
      <c r="H795" s="690"/>
      <c r="I795" s="695">
        <f>SF!I63</f>
        <v>37.512792074379419</v>
      </c>
      <c r="J795" s="269"/>
      <c r="K795" s="376">
        <v>0.15</v>
      </c>
    </row>
    <row r="796" spans="1:11">
      <c r="A796" s="278" t="s">
        <v>1135</v>
      </c>
      <c r="B796" s="262"/>
      <c r="C796" s="262"/>
      <c r="D796" s="262"/>
      <c r="E796" s="263"/>
      <c r="F796" s="279"/>
      <c r="G796" s="280"/>
      <c r="H796" s="264"/>
      <c r="I796" s="279"/>
      <c r="J796" s="264"/>
      <c r="K796" s="708">
        <v>0.5</v>
      </c>
    </row>
    <row r="797" spans="1:11">
      <c r="A797" s="25" t="s">
        <v>998</v>
      </c>
      <c r="B797" s="26" t="s">
        <v>989</v>
      </c>
      <c r="C797" s="26"/>
      <c r="D797" s="26"/>
      <c r="E797" s="27"/>
      <c r="F797" s="197"/>
      <c r="G797" s="211"/>
      <c r="H797" s="254">
        <f>SF!H68</f>
        <v>47.410919999999997</v>
      </c>
      <c r="I797" s="197"/>
      <c r="J797" s="254">
        <f>SF!J68</f>
        <v>433.10062959257624</v>
      </c>
      <c r="K797" s="376">
        <v>0.5</v>
      </c>
    </row>
    <row r="798" spans="1:11">
      <c r="A798" s="25" t="s">
        <v>1006</v>
      </c>
      <c r="B798" s="26" t="s">
        <v>211</v>
      </c>
      <c r="C798" s="26"/>
      <c r="D798" s="26"/>
      <c r="E798" s="27"/>
      <c r="F798" s="197"/>
      <c r="G798" s="195"/>
      <c r="H798" s="254">
        <f>SF!H78</f>
        <v>26.798532263701709</v>
      </c>
      <c r="I798" s="195"/>
      <c r="J798" s="254">
        <f>SF!J78</f>
        <v>147.28381289471153</v>
      </c>
      <c r="K798" s="376">
        <v>0.5</v>
      </c>
    </row>
    <row r="799" spans="1:11">
      <c r="A799" s="686" t="s">
        <v>1138</v>
      </c>
      <c r="B799" s="688" t="s">
        <v>1045</v>
      </c>
      <c r="C799" s="688"/>
      <c r="D799" s="688"/>
      <c r="E799" s="689"/>
      <c r="F799" s="620"/>
      <c r="G799" s="711"/>
      <c r="H799" s="989">
        <f>SF!H81</f>
        <v>32.345729999999996</v>
      </c>
      <c r="I799" s="696"/>
      <c r="J799" s="989">
        <f>SF!J81</f>
        <v>29.111156999999999</v>
      </c>
      <c r="K799" s="376">
        <v>0.5</v>
      </c>
    </row>
    <row r="800" spans="1:11">
      <c r="A800" s="686" t="s">
        <v>1138</v>
      </c>
      <c r="B800" s="688" t="s">
        <v>1141</v>
      </c>
      <c r="C800" s="26"/>
      <c r="D800" s="26"/>
      <c r="E800" s="27"/>
      <c r="F800" s="34"/>
      <c r="G800" s="27"/>
      <c r="H800" s="989">
        <f>SF!H83</f>
        <v>19.373390077688924</v>
      </c>
      <c r="I800" s="696"/>
      <c r="J800" s="989">
        <f>SF!J83</f>
        <v>37.512792074379419</v>
      </c>
      <c r="K800" s="376">
        <v>0.5</v>
      </c>
    </row>
    <row r="801" spans="1:11">
      <c r="A801" s="290" t="s">
        <v>1137</v>
      </c>
      <c r="B801" s="11"/>
      <c r="C801" s="11"/>
      <c r="D801" s="11"/>
      <c r="E801" s="191"/>
      <c r="F801" s="197"/>
      <c r="G801" s="211"/>
      <c r="H801" s="89"/>
      <c r="I801" s="197"/>
      <c r="J801" s="89"/>
      <c r="K801" s="994">
        <v>0.15</v>
      </c>
    </row>
    <row r="802" spans="1:11">
      <c r="A802" s="25" t="s">
        <v>1008</v>
      </c>
      <c r="B802" s="26" t="s">
        <v>989</v>
      </c>
      <c r="C802" s="26"/>
      <c r="D802" s="26"/>
      <c r="E802" s="27"/>
      <c r="F802" s="196">
        <f>SF!F88</f>
        <v>31.607279999999999</v>
      </c>
      <c r="G802" s="211"/>
      <c r="H802" s="34"/>
      <c r="I802" s="196">
        <f>SF!I88</f>
        <v>15.140358000000003</v>
      </c>
      <c r="J802" s="196">
        <f>SF!J88</f>
        <v>0</v>
      </c>
      <c r="K802" s="268">
        <v>-0.15</v>
      </c>
    </row>
    <row r="803" spans="1:11">
      <c r="A803" s="25" t="s">
        <v>1011</v>
      </c>
      <c r="B803" s="26" t="s">
        <v>211</v>
      </c>
      <c r="C803" s="26"/>
      <c r="D803" s="26"/>
      <c r="E803" s="27"/>
      <c r="F803" s="196">
        <f>SF!F98</f>
        <v>17.865688175801139</v>
      </c>
      <c r="G803" s="211"/>
      <c r="H803" s="197"/>
      <c r="I803" s="196">
        <f>SF!I98</f>
        <v>0</v>
      </c>
      <c r="J803" s="196">
        <f>SF!J98</f>
        <v>0</v>
      </c>
      <c r="K803" s="268">
        <v>-0.15</v>
      </c>
    </row>
    <row r="804" spans="1:11">
      <c r="A804" s="686" t="s">
        <v>1473</v>
      </c>
      <c r="B804" s="688" t="s">
        <v>1045</v>
      </c>
      <c r="C804" s="688"/>
      <c r="D804" s="688"/>
      <c r="E804" s="689"/>
      <c r="F804" s="695">
        <f>SF!F101</f>
        <v>21.56382</v>
      </c>
      <c r="G804" s="621"/>
      <c r="H804" s="620"/>
      <c r="I804" s="695">
        <f>SF!I101</f>
        <v>0</v>
      </c>
      <c r="J804" s="695">
        <f>SF!J101</f>
        <v>0</v>
      </c>
      <c r="K804" s="268">
        <v>-0.15</v>
      </c>
    </row>
    <row r="805" spans="1:11">
      <c r="A805" s="253"/>
      <c r="B805" s="15"/>
      <c r="C805" s="15"/>
      <c r="D805" s="15"/>
      <c r="E805" s="22"/>
      <c r="F805" s="212"/>
      <c r="G805" s="213"/>
      <c r="H805" s="198"/>
      <c r="I805" s="198"/>
      <c r="J805" s="58"/>
      <c r="K805" s="379"/>
    </row>
    <row r="806" spans="1:11">
      <c r="A806" s="46"/>
      <c r="B806" s="46"/>
      <c r="C806" s="46"/>
      <c r="D806" s="46"/>
      <c r="E806" s="46"/>
      <c r="F806" s="46"/>
      <c r="G806" s="46"/>
      <c r="H806" s="46"/>
      <c r="I806" s="46"/>
      <c r="J806" s="46"/>
      <c r="K806" s="87"/>
    </row>
    <row r="807" spans="1:11">
      <c r="A807" s="220" t="s">
        <v>73</v>
      </c>
      <c r="B807" s="220" t="s">
        <v>74</v>
      </c>
      <c r="C807" s="200"/>
      <c r="D807" s="200"/>
      <c r="E807" s="217"/>
      <c r="F807" s="1636" t="s">
        <v>72</v>
      </c>
      <c r="G807" s="1637"/>
      <c r="H807" s="1637"/>
      <c r="I807" s="1637"/>
      <c r="J807" s="1638"/>
      <c r="K807" s="87"/>
    </row>
    <row r="808" spans="1:11" ht="18">
      <c r="A808" s="221"/>
      <c r="B808" s="221"/>
      <c r="C808" s="201"/>
      <c r="D808" s="201"/>
      <c r="E808" s="219"/>
      <c r="F808" s="223" t="s">
        <v>23</v>
      </c>
      <c r="G808" s="223" t="s">
        <v>87</v>
      </c>
      <c r="H808" s="223" t="s">
        <v>212</v>
      </c>
      <c r="I808" s="223" t="s">
        <v>80</v>
      </c>
      <c r="J808" s="223" t="s">
        <v>81</v>
      </c>
      <c r="K808" s="87"/>
    </row>
    <row r="809" spans="1:11">
      <c r="A809" s="222"/>
      <c r="B809" s="222"/>
      <c r="C809" s="203"/>
      <c r="D809" s="203"/>
      <c r="E809" s="218"/>
      <c r="F809" s="204" t="s">
        <v>34</v>
      </c>
      <c r="G809" s="204" t="s">
        <v>34</v>
      </c>
      <c r="H809" s="203" t="s">
        <v>34</v>
      </c>
      <c r="I809" s="204" t="s">
        <v>77</v>
      </c>
      <c r="J809" s="204" t="s">
        <v>77</v>
      </c>
      <c r="K809" s="87"/>
    </row>
    <row r="810" spans="1:11">
      <c r="A810" s="202"/>
      <c r="B810" s="200"/>
      <c r="C810" s="200"/>
      <c r="D810" s="200"/>
      <c r="E810" s="217"/>
      <c r="F810" s="205"/>
      <c r="G810" s="205"/>
      <c r="H810" s="201"/>
      <c r="I810" s="205"/>
      <c r="J810" s="205"/>
      <c r="K810" s="87"/>
    </row>
    <row r="811" spans="1:11">
      <c r="A811" s="205" t="str">
        <f>A780</f>
        <v>LC-26</v>
      </c>
      <c r="B811" s="201" t="str">
        <f>B780</f>
        <v>LC-21 + Seismic Sx=0.3,Sz=1,Sy=-0.3 (50% seismic)</v>
      </c>
      <c r="C811" s="201"/>
      <c r="D811" s="201"/>
      <c r="E811" s="219"/>
      <c r="F811" s="205">
        <f>SUMPRODUCT(F783:F804,$K$783:$K$804)</f>
        <v>580.17011374919184</v>
      </c>
      <c r="G811" s="1080">
        <f>SUMPRODUCT(G783:G804,$K$783:$K$804)</f>
        <v>43.919548538132858</v>
      </c>
      <c r="H811" s="1080">
        <f>SUMPRODUCT(H783:H804,$K$783:$K$804)</f>
        <v>66.504004419909563</v>
      </c>
      <c r="I811" s="1080">
        <f>SUMPRODUCT(I783:I804,$K$783:$K$804)</f>
        <v>415.99642738566394</v>
      </c>
      <c r="J811" s="1080">
        <f>SUMPRODUCT(J783:J804,$K$783:$K$804)</f>
        <v>328.83395725453886</v>
      </c>
      <c r="K811" s="87"/>
    </row>
    <row r="812" spans="1:11">
      <c r="A812" s="204"/>
      <c r="B812" s="203"/>
      <c r="C812" s="203"/>
      <c r="D812" s="203"/>
      <c r="E812" s="218"/>
      <c r="F812" s="204"/>
      <c r="G812" s="204"/>
      <c r="H812" s="203"/>
      <c r="I812" s="204"/>
      <c r="J812" s="204"/>
      <c r="K812" s="87"/>
    </row>
    <row r="815" spans="1:11">
      <c r="A815" s="1318" t="str">
        <f>K815</f>
        <v>LC-27</v>
      </c>
      <c r="B815" s="24" t="str">
        <f>VLOOKUP(A815,LC_DEF_2!A3:B42,2,FALSE)</f>
        <v>LC-21 + Seismic Sx=1,Sz=0.3,Sy=0.3 (50% seismic)</v>
      </c>
      <c r="C815" s="24"/>
      <c r="D815" s="24"/>
      <c r="E815" s="21"/>
      <c r="F815" s="1635" t="s">
        <v>742</v>
      </c>
      <c r="G815" s="1635"/>
      <c r="H815" s="1635"/>
      <c r="I815" s="1635"/>
      <c r="J815" s="1600"/>
      <c r="K815" s="413" t="s">
        <v>1164</v>
      </c>
    </row>
    <row r="816" spans="1:11" ht="18">
      <c r="A816" s="25" t="s">
        <v>73</v>
      </c>
      <c r="B816" s="26" t="s">
        <v>74</v>
      </c>
      <c r="C816" s="26"/>
      <c r="D816" s="26"/>
      <c r="E816" s="27"/>
      <c r="F816" s="32" t="s">
        <v>23</v>
      </c>
      <c r="G816" s="33" t="s">
        <v>87</v>
      </c>
      <c r="H816" s="33" t="s">
        <v>212</v>
      </c>
      <c r="I816" s="33" t="s">
        <v>80</v>
      </c>
      <c r="J816" s="33" t="s">
        <v>81</v>
      </c>
      <c r="K816" s="376"/>
    </row>
    <row r="817" spans="1:11">
      <c r="A817" s="28"/>
      <c r="B817" s="15"/>
      <c r="C817" s="15"/>
      <c r="D817" s="15"/>
      <c r="E817" s="22"/>
      <c r="F817" s="21" t="s">
        <v>34</v>
      </c>
      <c r="G817" s="36" t="s">
        <v>34</v>
      </c>
      <c r="H817" s="36" t="s">
        <v>34</v>
      </c>
      <c r="I817" s="36" t="s">
        <v>77</v>
      </c>
      <c r="J817" s="36" t="s">
        <v>77</v>
      </c>
      <c r="K817" s="376"/>
    </row>
    <row r="818" spans="1:11">
      <c r="A818" s="25" t="s">
        <v>88</v>
      </c>
      <c r="B818" s="26" t="s">
        <v>75</v>
      </c>
      <c r="C818" s="26"/>
      <c r="D818" s="26"/>
      <c r="E818" s="27"/>
      <c r="F818" s="195">
        <f>SF!F14</f>
        <v>365.08803866482532</v>
      </c>
      <c r="G818" s="210"/>
      <c r="H818" s="34"/>
      <c r="I818" s="195">
        <f>SF!I14</f>
        <v>0</v>
      </c>
      <c r="J818" s="195">
        <f>SF!J14</f>
        <v>0</v>
      </c>
      <c r="K818" s="268">
        <v>1</v>
      </c>
    </row>
    <row r="819" spans="1:11">
      <c r="A819" s="25" t="s">
        <v>90</v>
      </c>
      <c r="B819" s="26" t="s">
        <v>249</v>
      </c>
      <c r="C819" s="26"/>
      <c r="D819" s="26"/>
      <c r="E819" s="27"/>
      <c r="F819" s="195">
        <f>SF!F16</f>
        <v>36.639026644707663</v>
      </c>
      <c r="G819" s="210"/>
      <c r="H819" s="34"/>
      <c r="I819" s="195">
        <f>SF!I16</f>
        <v>0</v>
      </c>
      <c r="J819" s="195">
        <f>SF!J16</f>
        <v>0</v>
      </c>
      <c r="K819" s="268">
        <v>1</v>
      </c>
    </row>
    <row r="820" spans="1:11">
      <c r="A820" s="25" t="s">
        <v>250</v>
      </c>
      <c r="B820" s="26" t="s">
        <v>970</v>
      </c>
      <c r="C820" s="26"/>
      <c r="D820" s="26"/>
      <c r="E820" s="27"/>
      <c r="F820" s="195">
        <f>SF!F23</f>
        <v>230</v>
      </c>
      <c r="G820" s="27"/>
      <c r="H820" s="34"/>
      <c r="I820" s="195">
        <f>SF!I23</f>
        <v>115</v>
      </c>
      <c r="J820" s="195">
        <f>SF!J23</f>
        <v>0</v>
      </c>
      <c r="K820" s="376">
        <v>1</v>
      </c>
    </row>
    <row r="821" spans="1:11">
      <c r="A821" s="25" t="s">
        <v>251</v>
      </c>
      <c r="B821" s="26" t="s">
        <v>971</v>
      </c>
      <c r="C821" s="26"/>
      <c r="D821" s="26"/>
      <c r="E821" s="27"/>
      <c r="F821" s="195">
        <f>SF!F24</f>
        <v>20.660000000000004</v>
      </c>
      <c r="G821" s="27"/>
      <c r="H821" s="34"/>
      <c r="I821" s="195">
        <f>SF!I24</f>
        <v>10.330000000000002</v>
      </c>
      <c r="J821" s="195">
        <f>SF!J24</f>
        <v>0</v>
      </c>
      <c r="K821" s="268">
        <v>1</v>
      </c>
    </row>
    <row r="822" spans="1:11">
      <c r="A822" s="25" t="s">
        <v>97</v>
      </c>
      <c r="B822" s="26" t="s">
        <v>972</v>
      </c>
      <c r="C822" s="26"/>
      <c r="D822" s="26"/>
      <c r="E822" s="27"/>
      <c r="F822" s="195">
        <f>SF!F25</f>
        <v>42</v>
      </c>
      <c r="G822" s="27"/>
      <c r="H822" s="34"/>
      <c r="I822" s="195">
        <f>SF!I25</f>
        <v>14.858499999999999</v>
      </c>
      <c r="J822" s="195">
        <f>SF!J25</f>
        <v>0</v>
      </c>
      <c r="K822" s="376">
        <v>1</v>
      </c>
    </row>
    <row r="823" spans="1:11">
      <c r="A823" s="25" t="s">
        <v>987</v>
      </c>
      <c r="B823" s="163" t="s">
        <v>957</v>
      </c>
      <c r="C823" s="26"/>
      <c r="D823" s="26"/>
      <c r="E823" s="27"/>
      <c r="F823" s="34"/>
      <c r="G823" s="195">
        <f>SF!G41</f>
        <v>14.632999999999999</v>
      </c>
      <c r="H823" s="34"/>
      <c r="I823" s="195">
        <f>SF!I41</f>
        <v>121.16124000000001</v>
      </c>
      <c r="J823" s="34"/>
      <c r="K823" s="376">
        <v>1</v>
      </c>
    </row>
    <row r="824" spans="1:11">
      <c r="A824" s="686" t="s">
        <v>1128</v>
      </c>
      <c r="B824" s="687"/>
      <c r="C824" s="688"/>
      <c r="D824" s="688"/>
      <c r="E824" s="689"/>
      <c r="F824" s="696">
        <f>SF!F43</f>
        <v>-103.56143333397094</v>
      </c>
      <c r="G824" s="689"/>
      <c r="H824" s="690"/>
      <c r="I824" s="690"/>
      <c r="J824" s="690"/>
      <c r="K824" s="376">
        <v>1</v>
      </c>
    </row>
    <row r="825" spans="1:11">
      <c r="A825" s="686" t="s">
        <v>1131</v>
      </c>
      <c r="B825" s="687"/>
      <c r="C825" s="688"/>
      <c r="D825" s="688"/>
      <c r="E825" s="689"/>
      <c r="F825" s="690"/>
      <c r="G825" s="696">
        <f>SF!G47</f>
        <v>3.2856246869242693</v>
      </c>
      <c r="H825" s="696">
        <f>SF!H47</f>
        <v>3.5397182492142409</v>
      </c>
      <c r="I825" s="696">
        <f>SF!I47</f>
        <v>7.0628515103002814</v>
      </c>
      <c r="J825" s="696">
        <f>SF!J47</f>
        <v>5.3297614737052639</v>
      </c>
      <c r="K825" s="376">
        <v>1</v>
      </c>
    </row>
    <row r="826" spans="1:11">
      <c r="A826" s="278" t="s">
        <v>1132</v>
      </c>
      <c r="B826" s="262"/>
      <c r="C826" s="262"/>
      <c r="D826" s="262"/>
      <c r="E826" s="263"/>
      <c r="F826" s="279"/>
      <c r="G826" s="280"/>
      <c r="H826" s="264"/>
      <c r="I826" s="279"/>
      <c r="J826" s="264"/>
      <c r="K826" s="650">
        <v>0.5</v>
      </c>
    </row>
    <row r="827" spans="1:11">
      <c r="A827" s="25" t="s">
        <v>991</v>
      </c>
      <c r="B827" s="26" t="s">
        <v>989</v>
      </c>
      <c r="C827" s="26"/>
      <c r="D827" s="26"/>
      <c r="E827" s="27"/>
      <c r="F827" s="197"/>
      <c r="G827" s="172">
        <f>SF!G52</f>
        <v>94.821839999999995</v>
      </c>
      <c r="H827" s="34"/>
      <c r="I827" s="172">
        <f>SF!I52</f>
        <v>785.12483520000001</v>
      </c>
      <c r="J827" s="89"/>
      <c r="K827" s="268">
        <v>0.5</v>
      </c>
    </row>
    <row r="828" spans="1:11">
      <c r="A828" s="25" t="s">
        <v>217</v>
      </c>
      <c r="B828" s="26" t="s">
        <v>211</v>
      </c>
      <c r="C828" s="26"/>
      <c r="D828" s="26"/>
      <c r="E828" s="27"/>
      <c r="F828" s="197"/>
      <c r="G828" s="196">
        <f>SF!G58</f>
        <v>26.798532263701709</v>
      </c>
      <c r="H828" s="199"/>
      <c r="I828" s="172">
        <f>SF!I58</f>
        <v>147.28381289471153</v>
      </c>
      <c r="J828" s="195"/>
      <c r="K828" s="376">
        <v>0.5</v>
      </c>
    </row>
    <row r="829" spans="1:11">
      <c r="A829" s="686" t="s">
        <v>1472</v>
      </c>
      <c r="B829" s="688" t="s">
        <v>1045</v>
      </c>
      <c r="C829" s="688"/>
      <c r="D829" s="688"/>
      <c r="E829" s="689"/>
      <c r="F829" s="620"/>
      <c r="G829" s="695">
        <f>SF!G61</f>
        <v>32.345729999999996</v>
      </c>
      <c r="H829" s="690"/>
      <c r="I829" s="695">
        <f>SF!I61</f>
        <v>29.111156999999999</v>
      </c>
      <c r="J829" s="269"/>
      <c r="K829" s="376">
        <v>0.5</v>
      </c>
    </row>
    <row r="830" spans="1:11">
      <c r="A830" s="686" t="s">
        <v>1139</v>
      </c>
      <c r="B830" s="688" t="s">
        <v>1140</v>
      </c>
      <c r="C830" s="688"/>
      <c r="D830" s="688"/>
      <c r="E830" s="689"/>
      <c r="F830" s="620"/>
      <c r="G830" s="695">
        <f>SF!G63</f>
        <v>19.373390077688924</v>
      </c>
      <c r="H830" s="690"/>
      <c r="I830" s="695">
        <f>SF!I63</f>
        <v>37.512792074379419</v>
      </c>
      <c r="J830" s="269"/>
      <c r="K830" s="376">
        <v>0.5</v>
      </c>
    </row>
    <row r="831" spans="1:11">
      <c r="A831" s="278" t="s">
        <v>1135</v>
      </c>
      <c r="B831" s="262"/>
      <c r="C831" s="262"/>
      <c r="D831" s="262"/>
      <c r="E831" s="263"/>
      <c r="F831" s="279"/>
      <c r="G831" s="280"/>
      <c r="H831" s="264"/>
      <c r="I831" s="279"/>
      <c r="J831" s="264"/>
      <c r="K831" s="708">
        <v>0.15</v>
      </c>
    </row>
    <row r="832" spans="1:11">
      <c r="A832" s="25" t="s">
        <v>998</v>
      </c>
      <c r="B832" s="26" t="s">
        <v>989</v>
      </c>
      <c r="C832" s="26"/>
      <c r="D832" s="26"/>
      <c r="E832" s="27"/>
      <c r="F832" s="197"/>
      <c r="G832" s="211"/>
      <c r="H832" s="254">
        <f>SF!H68</f>
        <v>47.410919999999997</v>
      </c>
      <c r="I832" s="197"/>
      <c r="J832" s="254">
        <f>SF!J68</f>
        <v>433.10062959257624</v>
      </c>
      <c r="K832" s="376">
        <v>0.15</v>
      </c>
    </row>
    <row r="833" spans="1:11">
      <c r="A833" s="25" t="s">
        <v>1006</v>
      </c>
      <c r="B833" s="26" t="s">
        <v>211</v>
      </c>
      <c r="C833" s="26"/>
      <c r="D833" s="26"/>
      <c r="E833" s="27"/>
      <c r="F833" s="197"/>
      <c r="G833" s="195"/>
      <c r="H833" s="254">
        <f>SF!H78</f>
        <v>26.798532263701709</v>
      </c>
      <c r="I833" s="195"/>
      <c r="J833" s="254">
        <f>SF!J78</f>
        <v>147.28381289471153</v>
      </c>
      <c r="K833" s="376">
        <v>0.15</v>
      </c>
    </row>
    <row r="834" spans="1:11">
      <c r="A834" s="686" t="s">
        <v>1138</v>
      </c>
      <c r="B834" s="688" t="s">
        <v>1045</v>
      </c>
      <c r="C834" s="688"/>
      <c r="D834" s="688"/>
      <c r="E834" s="689"/>
      <c r="F834" s="620"/>
      <c r="G834" s="711"/>
      <c r="H834" s="989">
        <f>SF!H81</f>
        <v>32.345729999999996</v>
      </c>
      <c r="I834" s="696"/>
      <c r="J834" s="989">
        <f>SF!J81</f>
        <v>29.111156999999999</v>
      </c>
      <c r="K834" s="376">
        <v>0.15</v>
      </c>
    </row>
    <row r="835" spans="1:11">
      <c r="A835" s="686" t="s">
        <v>1138</v>
      </c>
      <c r="B835" s="688" t="s">
        <v>1141</v>
      </c>
      <c r="C835" s="26"/>
      <c r="D835" s="26"/>
      <c r="E835" s="27"/>
      <c r="F835" s="34"/>
      <c r="G835" s="27"/>
      <c r="H835" s="989">
        <f>SF!H83</f>
        <v>19.373390077688924</v>
      </c>
      <c r="I835" s="696"/>
      <c r="J835" s="989">
        <f>SF!J83</f>
        <v>37.512792074379419</v>
      </c>
      <c r="K835" s="376">
        <v>0.15</v>
      </c>
    </row>
    <row r="836" spans="1:11">
      <c r="A836" s="290" t="s">
        <v>1137</v>
      </c>
      <c r="B836" s="11"/>
      <c r="C836" s="11"/>
      <c r="D836" s="11"/>
      <c r="E836" s="191"/>
      <c r="F836" s="197"/>
      <c r="G836" s="211"/>
      <c r="H836" s="89"/>
      <c r="I836" s="197"/>
      <c r="J836" s="89"/>
      <c r="K836" s="994">
        <v>0.15</v>
      </c>
    </row>
    <row r="837" spans="1:11">
      <c r="A837" s="25" t="s">
        <v>1008</v>
      </c>
      <c r="B837" s="26" t="s">
        <v>989</v>
      </c>
      <c r="C837" s="26"/>
      <c r="D837" s="26"/>
      <c r="E837" s="27"/>
      <c r="F837" s="196">
        <f>SF!F88</f>
        <v>31.607279999999999</v>
      </c>
      <c r="G837" s="211"/>
      <c r="H837" s="34"/>
      <c r="I837" s="196">
        <f>SF!I88</f>
        <v>15.140358000000003</v>
      </c>
      <c r="J837" s="196">
        <f>SF!J88</f>
        <v>0</v>
      </c>
      <c r="K837" s="268">
        <v>0.15</v>
      </c>
    </row>
    <row r="838" spans="1:11">
      <c r="A838" s="25" t="s">
        <v>1011</v>
      </c>
      <c r="B838" s="26" t="s">
        <v>211</v>
      </c>
      <c r="C838" s="26"/>
      <c r="D838" s="26"/>
      <c r="E838" s="27"/>
      <c r="F838" s="196">
        <f>SF!F98</f>
        <v>17.865688175801139</v>
      </c>
      <c r="G838" s="211"/>
      <c r="H838" s="197"/>
      <c r="I838" s="196">
        <f>SF!I98</f>
        <v>0</v>
      </c>
      <c r="J838" s="196">
        <f>SF!J98</f>
        <v>0</v>
      </c>
      <c r="K838" s="268">
        <v>0.15</v>
      </c>
    </row>
    <row r="839" spans="1:11">
      <c r="A839" s="686" t="s">
        <v>1473</v>
      </c>
      <c r="B839" s="688" t="s">
        <v>1045</v>
      </c>
      <c r="C839" s="688"/>
      <c r="D839" s="688"/>
      <c r="E839" s="689"/>
      <c r="F839" s="695">
        <f>SF!F101</f>
        <v>21.56382</v>
      </c>
      <c r="G839" s="621"/>
      <c r="H839" s="620"/>
      <c r="I839" s="695">
        <f>SF!I101</f>
        <v>0</v>
      </c>
      <c r="J839" s="695">
        <f>SF!J101</f>
        <v>0</v>
      </c>
      <c r="K839" s="268">
        <v>0.15</v>
      </c>
    </row>
    <row r="840" spans="1:11">
      <c r="A840" s="253"/>
      <c r="B840" s="15"/>
      <c r="C840" s="15"/>
      <c r="D840" s="15"/>
      <c r="E840" s="22"/>
      <c r="F840" s="212"/>
      <c r="G840" s="213"/>
      <c r="H840" s="198"/>
      <c r="I840" s="198"/>
      <c r="J840" s="58"/>
      <c r="K840" s="379"/>
    </row>
    <row r="841" spans="1:11">
      <c r="A841" s="46"/>
      <c r="B841" s="46"/>
      <c r="C841" s="46"/>
      <c r="D841" s="46"/>
      <c r="E841" s="46"/>
      <c r="F841" s="46"/>
      <c r="G841" s="46"/>
      <c r="H841" s="46"/>
      <c r="I841" s="46"/>
      <c r="J841" s="46"/>
      <c r="K841" s="87"/>
    </row>
    <row r="842" spans="1:11">
      <c r="A842" s="220" t="s">
        <v>73</v>
      </c>
      <c r="B842" s="220" t="s">
        <v>74</v>
      </c>
      <c r="C842" s="200"/>
      <c r="D842" s="200"/>
      <c r="E842" s="217"/>
      <c r="F842" s="1636" t="s">
        <v>72</v>
      </c>
      <c r="G842" s="1637"/>
      <c r="H842" s="1637"/>
      <c r="I842" s="1637"/>
      <c r="J842" s="1638"/>
      <c r="K842" s="87"/>
    </row>
    <row r="843" spans="1:11" ht="18">
      <c r="A843" s="221"/>
      <c r="B843" s="221"/>
      <c r="C843" s="201"/>
      <c r="D843" s="201"/>
      <c r="E843" s="219"/>
      <c r="F843" s="223" t="s">
        <v>23</v>
      </c>
      <c r="G843" s="223" t="s">
        <v>87</v>
      </c>
      <c r="H843" s="223" t="s">
        <v>212</v>
      </c>
      <c r="I843" s="223" t="s">
        <v>80</v>
      </c>
      <c r="J843" s="223" t="s">
        <v>81</v>
      </c>
      <c r="K843" s="87"/>
    </row>
    <row r="844" spans="1:11">
      <c r="A844" s="222"/>
      <c r="B844" s="222"/>
      <c r="C844" s="203"/>
      <c r="D844" s="203"/>
      <c r="E844" s="218"/>
      <c r="F844" s="204" t="s">
        <v>34</v>
      </c>
      <c r="G844" s="204" t="s">
        <v>34</v>
      </c>
      <c r="H844" s="203" t="s">
        <v>34</v>
      </c>
      <c r="I844" s="204" t="s">
        <v>77</v>
      </c>
      <c r="J844" s="204" t="s">
        <v>77</v>
      </c>
      <c r="K844" s="87"/>
    </row>
    <row r="845" spans="1:11">
      <c r="A845" s="202"/>
      <c r="B845" s="200"/>
      <c r="C845" s="200"/>
      <c r="D845" s="200"/>
      <c r="E845" s="217"/>
      <c r="F845" s="205"/>
      <c r="G845" s="205"/>
      <c r="H845" s="201"/>
      <c r="I845" s="205"/>
      <c r="J845" s="205"/>
      <c r="K845" s="87"/>
    </row>
    <row r="846" spans="1:11">
      <c r="A846" s="205" t="str">
        <f>A815</f>
        <v>LC-27</v>
      </c>
      <c r="B846" s="201" t="str">
        <f>B815</f>
        <v>LC-21 + Seismic Sx=1,Sz=0.3,Sy=0.3 (50% seismic)</v>
      </c>
      <c r="C846" s="201"/>
      <c r="D846" s="201"/>
      <c r="E846" s="219"/>
      <c r="F846" s="205">
        <f>SUMPRODUCT(F818:F839,$K$818:$K$839)</f>
        <v>601.481150201932</v>
      </c>
      <c r="G846" s="1080">
        <f>SUMPRODUCT(G818:G839,$K$818:$K$839)</f>
        <v>104.58837085761958</v>
      </c>
      <c r="H846" s="1080">
        <f>SUMPRODUCT(H818:H839,$K$818:$K$839)</f>
        <v>22.429004100422837</v>
      </c>
      <c r="I846" s="1080">
        <f>SUMPRODUCT(I818:I839,$K$818:$K$839)</f>
        <v>770.19994379484581</v>
      </c>
      <c r="J846" s="1080">
        <f>SUMPRODUCT(J818:J839,$K$818:$K$839)</f>
        <v>102.38102020795534</v>
      </c>
      <c r="K846" s="87"/>
    </row>
    <row r="847" spans="1:11">
      <c r="A847" s="204"/>
      <c r="B847" s="203"/>
      <c r="C847" s="203"/>
      <c r="D847" s="203"/>
      <c r="E847" s="218"/>
      <c r="F847" s="204"/>
      <c r="G847" s="204"/>
      <c r="H847" s="203"/>
      <c r="I847" s="204"/>
      <c r="J847" s="204"/>
      <c r="K847" s="87"/>
    </row>
    <row r="850" spans="1:11">
      <c r="A850" s="1318" t="str">
        <f>K850</f>
        <v>LC-28</v>
      </c>
      <c r="B850" s="24" t="str">
        <f>VLOOKUP(A850,LC_DEF_2!A3:B42,2,FALSE)</f>
        <v>LC-21 + Seismic Sx=0.3,Sz=1,Sy=0.3 (50% seismic)</v>
      </c>
      <c r="C850" s="24"/>
      <c r="D850" s="24"/>
      <c r="E850" s="21"/>
      <c r="F850" s="1635" t="s">
        <v>742</v>
      </c>
      <c r="G850" s="1635"/>
      <c r="H850" s="1635"/>
      <c r="I850" s="1635"/>
      <c r="J850" s="1600"/>
      <c r="K850" s="413" t="s">
        <v>1165</v>
      </c>
    </row>
    <row r="851" spans="1:11" ht="18">
      <c r="A851" s="25" t="s">
        <v>73</v>
      </c>
      <c r="B851" s="26" t="s">
        <v>74</v>
      </c>
      <c r="C851" s="26"/>
      <c r="D851" s="26"/>
      <c r="E851" s="27"/>
      <c r="F851" s="32" t="s">
        <v>23</v>
      </c>
      <c r="G851" s="33" t="s">
        <v>87</v>
      </c>
      <c r="H851" s="33" t="s">
        <v>212</v>
      </c>
      <c r="I851" s="33" t="s">
        <v>80</v>
      </c>
      <c r="J851" s="33" t="s">
        <v>81</v>
      </c>
      <c r="K851" s="376"/>
    </row>
    <row r="852" spans="1:11">
      <c r="A852" s="28"/>
      <c r="B852" s="15"/>
      <c r="C852" s="15"/>
      <c r="D852" s="15"/>
      <c r="E852" s="22"/>
      <c r="F852" s="21" t="s">
        <v>34</v>
      </c>
      <c r="G852" s="36" t="s">
        <v>34</v>
      </c>
      <c r="H852" s="36" t="s">
        <v>34</v>
      </c>
      <c r="I852" s="36" t="s">
        <v>77</v>
      </c>
      <c r="J852" s="36" t="s">
        <v>77</v>
      </c>
      <c r="K852" s="376"/>
    </row>
    <row r="853" spans="1:11">
      <c r="A853" s="25" t="s">
        <v>88</v>
      </c>
      <c r="B853" s="26" t="s">
        <v>75</v>
      </c>
      <c r="C853" s="26"/>
      <c r="D853" s="26"/>
      <c r="E853" s="27"/>
      <c r="F853" s="195">
        <f>SF!F14</f>
        <v>365.08803866482532</v>
      </c>
      <c r="G853" s="210"/>
      <c r="H853" s="34"/>
      <c r="I853" s="195">
        <f>SF!I14</f>
        <v>0</v>
      </c>
      <c r="J853" s="195">
        <f>SF!J14</f>
        <v>0</v>
      </c>
      <c r="K853" s="268">
        <v>1</v>
      </c>
    </row>
    <row r="854" spans="1:11">
      <c r="A854" s="25" t="s">
        <v>90</v>
      </c>
      <c r="B854" s="26" t="s">
        <v>249</v>
      </c>
      <c r="C854" s="26"/>
      <c r="D854" s="26"/>
      <c r="E854" s="27"/>
      <c r="F854" s="195">
        <f>SF!F16</f>
        <v>36.639026644707663</v>
      </c>
      <c r="G854" s="210"/>
      <c r="H854" s="34"/>
      <c r="I854" s="195">
        <f>SF!I16</f>
        <v>0</v>
      </c>
      <c r="J854" s="195">
        <f>SF!J16</f>
        <v>0</v>
      </c>
      <c r="K854" s="268">
        <v>1</v>
      </c>
    </row>
    <row r="855" spans="1:11">
      <c r="A855" s="25" t="s">
        <v>250</v>
      </c>
      <c r="B855" s="26" t="s">
        <v>970</v>
      </c>
      <c r="C855" s="26"/>
      <c r="D855" s="26"/>
      <c r="E855" s="27"/>
      <c r="F855" s="195">
        <f>SF!F23</f>
        <v>230</v>
      </c>
      <c r="G855" s="27"/>
      <c r="H855" s="34"/>
      <c r="I855" s="195">
        <f>SF!I23</f>
        <v>115</v>
      </c>
      <c r="J855" s="195">
        <f>SF!J23</f>
        <v>0</v>
      </c>
      <c r="K855" s="376">
        <v>1</v>
      </c>
    </row>
    <row r="856" spans="1:11">
      <c r="A856" s="25" t="s">
        <v>251</v>
      </c>
      <c r="B856" s="26" t="s">
        <v>971</v>
      </c>
      <c r="C856" s="26"/>
      <c r="D856" s="26"/>
      <c r="E856" s="27"/>
      <c r="F856" s="195">
        <f>SF!F24</f>
        <v>20.660000000000004</v>
      </c>
      <c r="G856" s="27"/>
      <c r="H856" s="34"/>
      <c r="I856" s="195">
        <f>SF!I24</f>
        <v>10.330000000000002</v>
      </c>
      <c r="J856" s="195">
        <f>SF!J24</f>
        <v>0</v>
      </c>
      <c r="K856" s="268">
        <v>1</v>
      </c>
    </row>
    <row r="857" spans="1:11">
      <c r="A857" s="25" t="s">
        <v>97</v>
      </c>
      <c r="B857" s="26" t="s">
        <v>972</v>
      </c>
      <c r="C857" s="26"/>
      <c r="D857" s="26"/>
      <c r="E857" s="27"/>
      <c r="F857" s="195">
        <f>SF!F25</f>
        <v>42</v>
      </c>
      <c r="G857" s="27"/>
      <c r="H857" s="34"/>
      <c r="I857" s="195">
        <f>SF!I25</f>
        <v>14.858499999999999</v>
      </c>
      <c r="J857" s="195">
        <f>SF!J25</f>
        <v>0</v>
      </c>
      <c r="K857" s="376">
        <v>1</v>
      </c>
    </row>
    <row r="858" spans="1:11">
      <c r="A858" s="25" t="s">
        <v>987</v>
      </c>
      <c r="B858" s="163" t="s">
        <v>957</v>
      </c>
      <c r="C858" s="26"/>
      <c r="D858" s="26"/>
      <c r="E858" s="27"/>
      <c r="F858" s="34"/>
      <c r="G858" s="195">
        <f>SF!G41</f>
        <v>14.632999999999999</v>
      </c>
      <c r="H858" s="34"/>
      <c r="I858" s="195">
        <f>SF!I41</f>
        <v>121.16124000000001</v>
      </c>
      <c r="J858" s="34"/>
      <c r="K858" s="376">
        <v>1</v>
      </c>
    </row>
    <row r="859" spans="1:11">
      <c r="A859" s="686" t="s">
        <v>1128</v>
      </c>
      <c r="B859" s="687"/>
      <c r="C859" s="688"/>
      <c r="D859" s="688"/>
      <c r="E859" s="689"/>
      <c r="F859" s="696">
        <f>SF!F43</f>
        <v>-103.56143333397094</v>
      </c>
      <c r="G859" s="689"/>
      <c r="H859" s="690"/>
      <c r="I859" s="690"/>
      <c r="J859" s="690"/>
      <c r="K859" s="376">
        <v>1</v>
      </c>
    </row>
    <row r="860" spans="1:11">
      <c r="A860" s="686" t="s">
        <v>1131</v>
      </c>
      <c r="B860" s="687"/>
      <c r="C860" s="688"/>
      <c r="D860" s="688"/>
      <c r="E860" s="689"/>
      <c r="F860" s="690"/>
      <c r="G860" s="696">
        <f>SF!G47</f>
        <v>3.2856246869242693</v>
      </c>
      <c r="H860" s="696">
        <f>SF!H47</f>
        <v>3.5397182492142409</v>
      </c>
      <c r="I860" s="696">
        <f>SF!I47</f>
        <v>7.0628515103002814</v>
      </c>
      <c r="J860" s="696">
        <f>SF!J47</f>
        <v>5.3297614737052639</v>
      </c>
      <c r="K860" s="376">
        <v>1</v>
      </c>
    </row>
    <row r="861" spans="1:11">
      <c r="A861" s="278" t="s">
        <v>1132</v>
      </c>
      <c r="B861" s="262"/>
      <c r="C861" s="262"/>
      <c r="D861" s="262"/>
      <c r="E861" s="263"/>
      <c r="F861" s="279"/>
      <c r="G861" s="280"/>
      <c r="H861" s="264"/>
      <c r="I861" s="279"/>
      <c r="J861" s="264"/>
      <c r="K861" s="650">
        <v>0.15</v>
      </c>
    </row>
    <row r="862" spans="1:11">
      <c r="A862" s="25" t="s">
        <v>991</v>
      </c>
      <c r="B862" s="26" t="s">
        <v>989</v>
      </c>
      <c r="C862" s="26"/>
      <c r="D862" s="26"/>
      <c r="E862" s="27"/>
      <c r="F862" s="197"/>
      <c r="G862" s="172">
        <f>SF!G52</f>
        <v>94.821839999999995</v>
      </c>
      <c r="H862" s="34"/>
      <c r="I862" s="172">
        <f>SF!I52</f>
        <v>785.12483520000001</v>
      </c>
      <c r="J862" s="89"/>
      <c r="K862" s="268">
        <v>0.15</v>
      </c>
    </row>
    <row r="863" spans="1:11">
      <c r="A863" s="25" t="s">
        <v>217</v>
      </c>
      <c r="B863" s="26" t="s">
        <v>211</v>
      </c>
      <c r="C863" s="26"/>
      <c r="D863" s="26"/>
      <c r="E863" s="27"/>
      <c r="F863" s="197"/>
      <c r="G863" s="196">
        <f>SF!G58</f>
        <v>26.798532263701709</v>
      </c>
      <c r="H863" s="199"/>
      <c r="I863" s="172">
        <f>SF!I58</f>
        <v>147.28381289471153</v>
      </c>
      <c r="J863" s="195"/>
      <c r="K863" s="376">
        <v>0.15</v>
      </c>
    </row>
    <row r="864" spans="1:11">
      <c r="A864" s="686" t="s">
        <v>1472</v>
      </c>
      <c r="B864" s="688" t="s">
        <v>1045</v>
      </c>
      <c r="C864" s="688"/>
      <c r="D864" s="688"/>
      <c r="E864" s="689"/>
      <c r="F864" s="620"/>
      <c r="G864" s="695">
        <f>SF!G61</f>
        <v>32.345729999999996</v>
      </c>
      <c r="H864" s="690"/>
      <c r="I864" s="695">
        <f>SF!I61</f>
        <v>29.111156999999999</v>
      </c>
      <c r="J864" s="269"/>
      <c r="K864" s="376">
        <v>0.15</v>
      </c>
    </row>
    <row r="865" spans="1:11">
      <c r="A865" s="686" t="s">
        <v>1139</v>
      </c>
      <c r="B865" s="688" t="s">
        <v>1140</v>
      </c>
      <c r="C865" s="688"/>
      <c r="D865" s="688"/>
      <c r="E865" s="689"/>
      <c r="F865" s="620"/>
      <c r="G865" s="695">
        <f>SF!G63</f>
        <v>19.373390077688924</v>
      </c>
      <c r="H865" s="690"/>
      <c r="I865" s="695">
        <f>SF!I63</f>
        <v>37.512792074379419</v>
      </c>
      <c r="J865" s="269"/>
      <c r="K865" s="376">
        <v>0.15</v>
      </c>
    </row>
    <row r="866" spans="1:11">
      <c r="A866" s="278" t="s">
        <v>1135</v>
      </c>
      <c r="B866" s="262"/>
      <c r="C866" s="262"/>
      <c r="D866" s="262"/>
      <c r="E866" s="263"/>
      <c r="F866" s="279"/>
      <c r="G866" s="280"/>
      <c r="H866" s="264"/>
      <c r="I866" s="279"/>
      <c r="J866" s="264"/>
      <c r="K866" s="708">
        <v>0.5</v>
      </c>
    </row>
    <row r="867" spans="1:11">
      <c r="A867" s="25" t="s">
        <v>998</v>
      </c>
      <c r="B867" s="26" t="s">
        <v>989</v>
      </c>
      <c r="C867" s="26"/>
      <c r="D867" s="26"/>
      <c r="E867" s="27"/>
      <c r="F867" s="197"/>
      <c r="G867" s="211"/>
      <c r="H867" s="254">
        <f>SF!H68</f>
        <v>47.410919999999997</v>
      </c>
      <c r="I867" s="197"/>
      <c r="J867" s="254">
        <f>SF!J68</f>
        <v>433.10062959257624</v>
      </c>
      <c r="K867" s="376">
        <v>0.5</v>
      </c>
    </row>
    <row r="868" spans="1:11">
      <c r="A868" s="25" t="s">
        <v>1006</v>
      </c>
      <c r="B868" s="26" t="s">
        <v>211</v>
      </c>
      <c r="C868" s="26"/>
      <c r="D868" s="26"/>
      <c r="E868" s="27"/>
      <c r="F868" s="197"/>
      <c r="G868" s="195"/>
      <c r="H868" s="254">
        <f>SF!H78</f>
        <v>26.798532263701709</v>
      </c>
      <c r="I868" s="195"/>
      <c r="J868" s="254">
        <f>SF!J78</f>
        <v>147.28381289471153</v>
      </c>
      <c r="K868" s="376">
        <v>0.5</v>
      </c>
    </row>
    <row r="869" spans="1:11">
      <c r="A869" s="686" t="s">
        <v>1138</v>
      </c>
      <c r="B869" s="688" t="s">
        <v>1045</v>
      </c>
      <c r="C869" s="688"/>
      <c r="D869" s="688"/>
      <c r="E869" s="689"/>
      <c r="F869" s="620"/>
      <c r="G869" s="711"/>
      <c r="H869" s="989">
        <f>SF!H81</f>
        <v>32.345729999999996</v>
      </c>
      <c r="I869" s="696"/>
      <c r="J869" s="989">
        <f>SF!J81</f>
        <v>29.111156999999999</v>
      </c>
      <c r="K869" s="376">
        <v>0.5</v>
      </c>
    </row>
    <row r="870" spans="1:11">
      <c r="A870" s="686" t="s">
        <v>1138</v>
      </c>
      <c r="B870" s="688" t="s">
        <v>1141</v>
      </c>
      <c r="C870" s="26"/>
      <c r="D870" s="26"/>
      <c r="E870" s="27"/>
      <c r="F870" s="34"/>
      <c r="G870" s="27"/>
      <c r="H870" s="989">
        <f>SF!H83</f>
        <v>19.373390077688924</v>
      </c>
      <c r="I870" s="696"/>
      <c r="J870" s="989">
        <f>SF!J83</f>
        <v>37.512792074379419</v>
      </c>
      <c r="K870" s="376">
        <v>0.5</v>
      </c>
    </row>
    <row r="871" spans="1:11">
      <c r="A871" s="290" t="s">
        <v>1137</v>
      </c>
      <c r="B871" s="11"/>
      <c r="C871" s="11"/>
      <c r="D871" s="11"/>
      <c r="E871" s="191"/>
      <c r="F871" s="197"/>
      <c r="G871" s="211"/>
      <c r="H871" s="89"/>
      <c r="I871" s="197"/>
      <c r="J871" s="89"/>
      <c r="K871" s="994">
        <v>0.15</v>
      </c>
    </row>
    <row r="872" spans="1:11">
      <c r="A872" s="25" t="s">
        <v>1008</v>
      </c>
      <c r="B872" s="26" t="s">
        <v>989</v>
      </c>
      <c r="C872" s="26"/>
      <c r="D872" s="26"/>
      <c r="E872" s="27"/>
      <c r="F872" s="196">
        <f>SF!F88</f>
        <v>31.607279999999999</v>
      </c>
      <c r="G872" s="211"/>
      <c r="H872" s="34"/>
      <c r="I872" s="196">
        <f>SF!I88</f>
        <v>15.140358000000003</v>
      </c>
      <c r="J872" s="196">
        <f>SF!J88</f>
        <v>0</v>
      </c>
      <c r="K872" s="268">
        <v>0.15</v>
      </c>
    </row>
    <row r="873" spans="1:11">
      <c r="A873" s="25" t="s">
        <v>1011</v>
      </c>
      <c r="B873" s="26" t="s">
        <v>211</v>
      </c>
      <c r="C873" s="26"/>
      <c r="D873" s="26"/>
      <c r="E873" s="27"/>
      <c r="F873" s="196">
        <f>SF!F98</f>
        <v>17.865688175801139</v>
      </c>
      <c r="G873" s="211"/>
      <c r="H873" s="197"/>
      <c r="I873" s="196">
        <f>SF!I98</f>
        <v>0</v>
      </c>
      <c r="J873" s="196">
        <f>SF!J98</f>
        <v>0</v>
      </c>
      <c r="K873" s="268">
        <v>0.15</v>
      </c>
    </row>
    <row r="874" spans="1:11">
      <c r="A874" s="686" t="s">
        <v>1473</v>
      </c>
      <c r="B874" s="688" t="s">
        <v>1045</v>
      </c>
      <c r="C874" s="688"/>
      <c r="D874" s="688"/>
      <c r="E874" s="689"/>
      <c r="F874" s="695">
        <f>SF!F101</f>
        <v>21.56382</v>
      </c>
      <c r="G874" s="621"/>
      <c r="H874" s="620"/>
      <c r="I874" s="695">
        <f>SF!I101</f>
        <v>0</v>
      </c>
      <c r="J874" s="695">
        <f>SF!J101</f>
        <v>0</v>
      </c>
      <c r="K874" s="268">
        <v>0.15</v>
      </c>
    </row>
    <row r="875" spans="1:11">
      <c r="A875" s="253"/>
      <c r="B875" s="15"/>
      <c r="C875" s="15"/>
      <c r="D875" s="15"/>
      <c r="E875" s="22"/>
      <c r="F875" s="212"/>
      <c r="G875" s="213"/>
      <c r="H875" s="198"/>
      <c r="I875" s="198"/>
      <c r="J875" s="58"/>
      <c r="K875" s="379"/>
    </row>
    <row r="876" spans="1:11">
      <c r="A876" s="46"/>
      <c r="B876" s="46"/>
      <c r="C876" s="46"/>
      <c r="D876" s="46"/>
      <c r="E876" s="46"/>
      <c r="F876" s="46"/>
      <c r="G876" s="46"/>
      <c r="H876" s="46"/>
      <c r="I876" s="46"/>
      <c r="J876" s="46"/>
      <c r="K876" s="87"/>
    </row>
    <row r="877" spans="1:11">
      <c r="A877" s="220" t="s">
        <v>73</v>
      </c>
      <c r="B877" s="220" t="s">
        <v>74</v>
      </c>
      <c r="C877" s="200"/>
      <c r="D877" s="200"/>
      <c r="E877" s="217"/>
      <c r="F877" s="1636" t="s">
        <v>72</v>
      </c>
      <c r="G877" s="1637"/>
      <c r="H877" s="1637"/>
      <c r="I877" s="1637"/>
      <c r="J877" s="1638"/>
      <c r="K877" s="87"/>
    </row>
    <row r="878" spans="1:11" ht="18">
      <c r="A878" s="221"/>
      <c r="B878" s="221"/>
      <c r="C878" s="201"/>
      <c r="D878" s="201"/>
      <c r="E878" s="219"/>
      <c r="F878" s="223" t="s">
        <v>23</v>
      </c>
      <c r="G878" s="223" t="s">
        <v>87</v>
      </c>
      <c r="H878" s="223" t="s">
        <v>212</v>
      </c>
      <c r="I878" s="223" t="s">
        <v>80</v>
      </c>
      <c r="J878" s="223" t="s">
        <v>81</v>
      </c>
      <c r="K878" s="87"/>
    </row>
    <row r="879" spans="1:11">
      <c r="A879" s="222"/>
      <c r="B879" s="222"/>
      <c r="C879" s="203"/>
      <c r="D879" s="203"/>
      <c r="E879" s="218"/>
      <c r="F879" s="204" t="s">
        <v>34</v>
      </c>
      <c r="G879" s="204" t="s">
        <v>34</v>
      </c>
      <c r="H879" s="203" t="s">
        <v>34</v>
      </c>
      <c r="I879" s="204" t="s">
        <v>77</v>
      </c>
      <c r="J879" s="204" t="s">
        <v>77</v>
      </c>
      <c r="K879" s="87"/>
    </row>
    <row r="880" spans="1:11">
      <c r="A880" s="202"/>
      <c r="B880" s="200"/>
      <c r="C880" s="200"/>
      <c r="D880" s="200"/>
      <c r="E880" s="217"/>
      <c r="F880" s="205"/>
      <c r="G880" s="205"/>
      <c r="H880" s="201"/>
      <c r="I880" s="205"/>
      <c r="J880" s="205"/>
      <c r="K880" s="87"/>
    </row>
    <row r="881" spans="1:11">
      <c r="A881" s="205" t="str">
        <f>A850</f>
        <v>LC-28</v>
      </c>
      <c r="B881" s="201" t="str">
        <f>B850</f>
        <v>LC-21 + Seismic Sx=0.3,Sz=1,Sy=0.3 (50% seismic)</v>
      </c>
      <c r="C881" s="201"/>
      <c r="D881" s="201"/>
      <c r="E881" s="219"/>
      <c r="F881" s="205">
        <f>SUMPRODUCT(F853:F874,$K$853:$K$874)</f>
        <v>601.481150201932</v>
      </c>
      <c r="G881" s="1080">
        <f>SUMPRODUCT(G853:G874,$K$853:$K$874)</f>
        <v>43.919548538132858</v>
      </c>
      <c r="H881" s="1080">
        <f>SUMPRODUCT(H853:H874,$K$853:$K$874)</f>
        <v>66.504004419909563</v>
      </c>
      <c r="I881" s="1080">
        <f>SUMPRODUCT(I853:I874,$K$853:$K$874)</f>
        <v>420.5385347856639</v>
      </c>
      <c r="J881" s="1080">
        <f>SUMPRODUCT(J853:J874,$K$853:$K$874)</f>
        <v>328.83395725453886</v>
      </c>
      <c r="K881" s="87"/>
    </row>
    <row r="882" spans="1:11">
      <c r="A882" s="204"/>
      <c r="B882" s="203"/>
      <c r="C882" s="203"/>
      <c r="D882" s="203"/>
      <c r="E882" s="218"/>
      <c r="F882" s="204"/>
      <c r="G882" s="204"/>
      <c r="H882" s="203"/>
      <c r="I882" s="204"/>
      <c r="J882" s="204"/>
      <c r="K882" s="87"/>
    </row>
    <row r="885" spans="1:11">
      <c r="A885" s="1318" t="str">
        <f>K885</f>
        <v>LC-29</v>
      </c>
      <c r="B885" s="24" t="str">
        <f>VLOOKUP(A885,LC_DEF_2!A3:B42,2,FALSE)</f>
        <v>LC-22 + Seismic Sx=1,Sz=0.3,Sy=-0.3</v>
      </c>
      <c r="C885" s="24"/>
      <c r="D885" s="24"/>
      <c r="E885" s="21"/>
      <c r="F885" s="1635" t="s">
        <v>742</v>
      </c>
      <c r="G885" s="1635"/>
      <c r="H885" s="1635"/>
      <c r="I885" s="1635"/>
      <c r="J885" s="1600"/>
      <c r="K885" s="413" t="s">
        <v>1166</v>
      </c>
    </row>
    <row r="886" spans="1:11" ht="18">
      <c r="A886" s="25" t="s">
        <v>73</v>
      </c>
      <c r="B886" s="26" t="s">
        <v>74</v>
      </c>
      <c r="C886" s="26"/>
      <c r="D886" s="26"/>
      <c r="E886" s="27"/>
      <c r="F886" s="32" t="s">
        <v>23</v>
      </c>
      <c r="G886" s="33" t="s">
        <v>87</v>
      </c>
      <c r="H886" s="33" t="s">
        <v>212</v>
      </c>
      <c r="I886" s="33" t="s">
        <v>80</v>
      </c>
      <c r="J886" s="33" t="s">
        <v>81</v>
      </c>
      <c r="K886" s="376"/>
    </row>
    <row r="887" spans="1:11">
      <c r="A887" s="28"/>
      <c r="B887" s="15"/>
      <c r="C887" s="15"/>
      <c r="D887" s="15"/>
      <c r="E887" s="22"/>
      <c r="F887" s="21" t="s">
        <v>34</v>
      </c>
      <c r="G887" s="36" t="s">
        <v>34</v>
      </c>
      <c r="H887" s="36" t="s">
        <v>34</v>
      </c>
      <c r="I887" s="36" t="s">
        <v>77</v>
      </c>
      <c r="J887" s="36" t="s">
        <v>77</v>
      </c>
      <c r="K887" s="376"/>
    </row>
    <row r="888" spans="1:11">
      <c r="A888" s="25" t="s">
        <v>88</v>
      </c>
      <c r="B888" s="26" t="s">
        <v>75</v>
      </c>
      <c r="C888" s="26"/>
      <c r="D888" s="26"/>
      <c r="E888" s="27"/>
      <c r="F888" s="195">
        <f>SF!F14</f>
        <v>365.08803866482532</v>
      </c>
      <c r="G888" s="210"/>
      <c r="H888" s="34"/>
      <c r="I888" s="195">
        <f>SF!I14</f>
        <v>0</v>
      </c>
      <c r="J888" s="195">
        <f>SF!J14</f>
        <v>0</v>
      </c>
      <c r="K888" s="268">
        <v>1</v>
      </c>
    </row>
    <row r="889" spans="1:11">
      <c r="A889" s="25" t="s">
        <v>90</v>
      </c>
      <c r="B889" s="26" t="s">
        <v>249</v>
      </c>
      <c r="C889" s="26"/>
      <c r="D889" s="26"/>
      <c r="E889" s="27"/>
      <c r="F889" s="195">
        <f>SF!F16</f>
        <v>36.639026644707663</v>
      </c>
      <c r="G889" s="210"/>
      <c r="H889" s="34"/>
      <c r="I889" s="195">
        <f>SF!I16</f>
        <v>0</v>
      </c>
      <c r="J889" s="195">
        <f>SF!J16</f>
        <v>0</v>
      </c>
      <c r="K889" s="268">
        <v>1</v>
      </c>
    </row>
    <row r="890" spans="1:11">
      <c r="A890" s="25" t="s">
        <v>250</v>
      </c>
      <c r="B890" s="26" t="s">
        <v>967</v>
      </c>
      <c r="C890" s="26"/>
      <c r="D890" s="26"/>
      <c r="E890" s="27"/>
      <c r="F890" s="195">
        <f>SF!F19</f>
        <v>230</v>
      </c>
      <c r="G890" s="27"/>
      <c r="H890" s="34"/>
      <c r="I890" s="195">
        <f>SF!I19</f>
        <v>-115</v>
      </c>
      <c r="J890" s="195">
        <f>SF!J19</f>
        <v>0</v>
      </c>
      <c r="K890" s="376">
        <v>1</v>
      </c>
    </row>
    <row r="891" spans="1:11">
      <c r="A891" s="25" t="s">
        <v>251</v>
      </c>
      <c r="B891" s="26" t="s">
        <v>968</v>
      </c>
      <c r="C891" s="26"/>
      <c r="D891" s="26"/>
      <c r="E891" s="27"/>
      <c r="F891" s="195">
        <f>SF!F20</f>
        <v>20.660000000000004</v>
      </c>
      <c r="G891" s="27"/>
      <c r="H891" s="34"/>
      <c r="I891" s="195">
        <f>SF!I20</f>
        <v>-10.330000000000002</v>
      </c>
      <c r="J891" s="195">
        <f>SF!J20</f>
        <v>0</v>
      </c>
      <c r="K891" s="376">
        <v>1</v>
      </c>
    </row>
    <row r="892" spans="1:11">
      <c r="A892" s="25" t="s">
        <v>97</v>
      </c>
      <c r="B892" s="26" t="s">
        <v>969</v>
      </c>
      <c r="C892" s="26"/>
      <c r="D892" s="26"/>
      <c r="E892" s="27"/>
      <c r="F892" s="195">
        <f>SF!F21</f>
        <v>42</v>
      </c>
      <c r="G892" s="27"/>
      <c r="H892" s="34"/>
      <c r="I892" s="195">
        <f>SF!I21</f>
        <v>-14.858499999999999</v>
      </c>
      <c r="J892" s="195">
        <f>SF!J21</f>
        <v>0</v>
      </c>
      <c r="K892" s="376">
        <v>1</v>
      </c>
    </row>
    <row r="893" spans="1:11">
      <c r="A893" s="25" t="s">
        <v>250</v>
      </c>
      <c r="B893" s="26" t="s">
        <v>970</v>
      </c>
      <c r="C893" s="26"/>
      <c r="D893" s="26"/>
      <c r="E893" s="27"/>
      <c r="F893" s="195">
        <f>SF!F23</f>
        <v>230</v>
      </c>
      <c r="G893" s="27"/>
      <c r="H893" s="34"/>
      <c r="I893" s="195">
        <f>SF!I23</f>
        <v>115</v>
      </c>
      <c r="J893" s="195">
        <f>SF!J23</f>
        <v>0</v>
      </c>
      <c r="K893" s="376">
        <v>1</v>
      </c>
    </row>
    <row r="894" spans="1:11">
      <c r="A894" s="25" t="s">
        <v>251</v>
      </c>
      <c r="B894" s="26" t="s">
        <v>971</v>
      </c>
      <c r="C894" s="26"/>
      <c r="D894" s="26"/>
      <c r="E894" s="27"/>
      <c r="F894" s="195">
        <f>SF!F24</f>
        <v>20.660000000000004</v>
      </c>
      <c r="G894" s="27"/>
      <c r="H894" s="34"/>
      <c r="I894" s="195">
        <f>SF!I24</f>
        <v>10.330000000000002</v>
      </c>
      <c r="J894" s="195">
        <f>SF!J24</f>
        <v>0</v>
      </c>
      <c r="K894" s="268">
        <v>1</v>
      </c>
    </row>
    <row r="895" spans="1:11">
      <c r="A895" s="25" t="s">
        <v>97</v>
      </c>
      <c r="B895" s="26" t="s">
        <v>972</v>
      </c>
      <c r="C895" s="26"/>
      <c r="D895" s="26"/>
      <c r="E895" s="27"/>
      <c r="F895" s="195">
        <f>SF!F25</f>
        <v>42</v>
      </c>
      <c r="G895" s="27"/>
      <c r="H895" s="34"/>
      <c r="I895" s="195">
        <f>SF!I25</f>
        <v>14.858499999999999</v>
      </c>
      <c r="J895" s="195">
        <f>SF!J25</f>
        <v>0</v>
      </c>
      <c r="K895" s="376">
        <v>1</v>
      </c>
    </row>
    <row r="896" spans="1:11">
      <c r="A896" s="25" t="s">
        <v>986</v>
      </c>
      <c r="B896" s="163" t="s">
        <v>955</v>
      </c>
      <c r="C896" s="26"/>
      <c r="D896" s="26"/>
      <c r="E896" s="27"/>
      <c r="F896" s="34"/>
      <c r="G896" s="195">
        <f>SF!G40</f>
        <v>5.8532000000000011</v>
      </c>
      <c r="H896" s="34"/>
      <c r="I896" s="195">
        <f>SF!I40</f>
        <v>48.464496000000018</v>
      </c>
      <c r="J896" s="34"/>
      <c r="K896" s="376">
        <v>1</v>
      </c>
    </row>
    <row r="897" spans="1:11">
      <c r="A897" s="686" t="s">
        <v>1128</v>
      </c>
      <c r="B897" s="687"/>
      <c r="C897" s="688"/>
      <c r="D897" s="688"/>
      <c r="E897" s="689"/>
      <c r="F897" s="696">
        <f>SF!F43</f>
        <v>-103.56143333397094</v>
      </c>
      <c r="G897" s="689"/>
      <c r="H897" s="690"/>
      <c r="I897" s="690"/>
      <c r="J897" s="690"/>
      <c r="K897" s="376">
        <v>1</v>
      </c>
    </row>
    <row r="898" spans="1:11">
      <c r="A898" s="686" t="s">
        <v>1131</v>
      </c>
      <c r="B898" s="687"/>
      <c r="C898" s="688"/>
      <c r="D898" s="688"/>
      <c r="E898" s="689"/>
      <c r="F898" s="690"/>
      <c r="G898" s="696">
        <f>SF!G47</f>
        <v>3.2856246869242693</v>
      </c>
      <c r="H898" s="696">
        <f>SF!H47</f>
        <v>3.5397182492142409</v>
      </c>
      <c r="I898" s="696">
        <f>SF!I47</f>
        <v>7.0628515103002814</v>
      </c>
      <c r="J898" s="696">
        <f>SF!J47</f>
        <v>5.3297614737052639</v>
      </c>
      <c r="K898" s="376">
        <v>1</v>
      </c>
    </row>
    <row r="899" spans="1:11">
      <c r="A899" s="278" t="s">
        <v>1132</v>
      </c>
      <c r="B899" s="262"/>
      <c r="C899" s="262"/>
      <c r="D899" s="262"/>
      <c r="E899" s="263"/>
      <c r="F899" s="279"/>
      <c r="G899" s="280"/>
      <c r="H899" s="264"/>
      <c r="I899" s="279"/>
      <c r="J899" s="264"/>
      <c r="K899" s="650">
        <v>1</v>
      </c>
    </row>
    <row r="900" spans="1:11">
      <c r="A900" s="25" t="s">
        <v>991</v>
      </c>
      <c r="B900" s="26" t="s">
        <v>989</v>
      </c>
      <c r="C900" s="26"/>
      <c r="D900" s="26"/>
      <c r="E900" s="27"/>
      <c r="F900" s="197"/>
      <c r="G900" s="172">
        <f>SF!G52</f>
        <v>94.821839999999995</v>
      </c>
      <c r="H900" s="34"/>
      <c r="I900" s="172">
        <f>SF!I52</f>
        <v>785.12483520000001</v>
      </c>
      <c r="J900" s="89"/>
      <c r="K900" s="268">
        <v>1</v>
      </c>
    </row>
    <row r="901" spans="1:11">
      <c r="A901" s="25" t="s">
        <v>217</v>
      </c>
      <c r="B901" s="26" t="s">
        <v>211</v>
      </c>
      <c r="C901" s="26"/>
      <c r="D901" s="26"/>
      <c r="E901" s="27"/>
      <c r="F901" s="197"/>
      <c r="G901" s="196">
        <f>SF!G58</f>
        <v>26.798532263701709</v>
      </c>
      <c r="H901" s="199"/>
      <c r="I901" s="172">
        <f>SF!I58</f>
        <v>147.28381289471153</v>
      </c>
      <c r="J901" s="195"/>
      <c r="K901" s="376">
        <v>1</v>
      </c>
    </row>
    <row r="902" spans="1:11">
      <c r="A902" s="686" t="s">
        <v>1472</v>
      </c>
      <c r="B902" s="688" t="s">
        <v>1045</v>
      </c>
      <c r="C902" s="688"/>
      <c r="D902" s="688"/>
      <c r="E902" s="689"/>
      <c r="F902" s="620"/>
      <c r="G902" s="695">
        <f>SF!G61</f>
        <v>32.345729999999996</v>
      </c>
      <c r="H902" s="690"/>
      <c r="I902" s="695">
        <f>SF!I61</f>
        <v>29.111156999999999</v>
      </c>
      <c r="J902" s="269"/>
      <c r="K902" s="376">
        <v>1</v>
      </c>
    </row>
    <row r="903" spans="1:11">
      <c r="A903" s="686" t="s">
        <v>1139</v>
      </c>
      <c r="B903" s="688" t="s">
        <v>1140</v>
      </c>
      <c r="C903" s="688"/>
      <c r="D903" s="688"/>
      <c r="E903" s="689"/>
      <c r="F903" s="620"/>
      <c r="G903" s="695">
        <f>SF!G63</f>
        <v>19.373390077688924</v>
      </c>
      <c r="H903" s="690"/>
      <c r="I903" s="695">
        <f>SF!I63</f>
        <v>37.512792074379419</v>
      </c>
      <c r="J903" s="269"/>
      <c r="K903" s="376">
        <v>1</v>
      </c>
    </row>
    <row r="904" spans="1:11">
      <c r="A904" s="278" t="s">
        <v>1135</v>
      </c>
      <c r="B904" s="262"/>
      <c r="C904" s="262"/>
      <c r="D904" s="262"/>
      <c r="E904" s="263"/>
      <c r="F904" s="279"/>
      <c r="G904" s="280"/>
      <c r="H904" s="264"/>
      <c r="I904" s="279"/>
      <c r="J904" s="264"/>
      <c r="K904" s="708">
        <v>0.3</v>
      </c>
    </row>
    <row r="905" spans="1:11">
      <c r="A905" s="25" t="s">
        <v>997</v>
      </c>
      <c r="B905" s="26" t="s">
        <v>988</v>
      </c>
      <c r="C905" s="26"/>
      <c r="D905" s="26"/>
      <c r="E905" s="27"/>
      <c r="F905" s="197"/>
      <c r="G905" s="211"/>
      <c r="H905" s="254">
        <f>SF!H67</f>
        <v>47.410919999999997</v>
      </c>
      <c r="I905" s="197"/>
      <c r="J905" s="254">
        <f>SF!J67</f>
        <v>433.10062959257624</v>
      </c>
      <c r="K905" s="268">
        <v>0.3</v>
      </c>
    </row>
    <row r="906" spans="1:11">
      <c r="A906" s="25" t="s">
        <v>998</v>
      </c>
      <c r="B906" s="26" t="s">
        <v>989</v>
      </c>
      <c r="C906" s="26"/>
      <c r="D906" s="26"/>
      <c r="E906" s="27"/>
      <c r="F906" s="197"/>
      <c r="G906" s="211"/>
      <c r="H906" s="254">
        <f>SF!H68</f>
        <v>47.410919999999997</v>
      </c>
      <c r="I906" s="197"/>
      <c r="J906" s="254">
        <f>SF!J68</f>
        <v>433.10062959257624</v>
      </c>
      <c r="K906" s="376">
        <v>0.3</v>
      </c>
    </row>
    <row r="907" spans="1:11">
      <c r="A907" s="25" t="s">
        <v>1006</v>
      </c>
      <c r="B907" s="26" t="s">
        <v>211</v>
      </c>
      <c r="C907" s="26"/>
      <c r="D907" s="26"/>
      <c r="E907" s="27"/>
      <c r="F907" s="197"/>
      <c r="G907" s="195"/>
      <c r="H907" s="254">
        <f>SF!H78</f>
        <v>26.798532263701709</v>
      </c>
      <c r="I907" s="195"/>
      <c r="J907" s="254">
        <f>SF!J78</f>
        <v>147.28381289471153</v>
      </c>
      <c r="K907" s="376">
        <v>0.3</v>
      </c>
    </row>
    <row r="908" spans="1:11">
      <c r="A908" s="686" t="s">
        <v>1138</v>
      </c>
      <c r="B908" s="688" t="s">
        <v>1045</v>
      </c>
      <c r="C908" s="688"/>
      <c r="D908" s="688"/>
      <c r="E908" s="689"/>
      <c r="F908" s="620"/>
      <c r="G908" s="711"/>
      <c r="H908" s="989">
        <f>SF!H81</f>
        <v>32.345729999999996</v>
      </c>
      <c r="I908" s="696"/>
      <c r="J908" s="989">
        <f>SF!J81</f>
        <v>29.111156999999999</v>
      </c>
      <c r="K908" s="376">
        <v>0.3</v>
      </c>
    </row>
    <row r="909" spans="1:11">
      <c r="A909" s="686" t="s">
        <v>1138</v>
      </c>
      <c r="B909" s="688" t="s">
        <v>1141</v>
      </c>
      <c r="C909" s="26"/>
      <c r="D909" s="26"/>
      <c r="E909" s="27"/>
      <c r="F909" s="34"/>
      <c r="G909" s="27"/>
      <c r="H909" s="989">
        <f>SF!H83</f>
        <v>19.373390077688924</v>
      </c>
      <c r="I909" s="696"/>
      <c r="J909" s="989">
        <f>SF!J83</f>
        <v>37.512792074379419</v>
      </c>
      <c r="K909" s="376">
        <v>0.3</v>
      </c>
    </row>
    <row r="910" spans="1:11">
      <c r="A910" s="290" t="s">
        <v>1137</v>
      </c>
      <c r="B910" s="11"/>
      <c r="C910" s="11"/>
      <c r="D910" s="11"/>
      <c r="E910" s="191"/>
      <c r="F910" s="197"/>
      <c r="G910" s="211"/>
      <c r="H910" s="89"/>
      <c r="I910" s="197"/>
      <c r="J910" s="89"/>
      <c r="K910" s="994">
        <v>0.3</v>
      </c>
    </row>
    <row r="911" spans="1:11">
      <c r="A911" s="25" t="s">
        <v>1007</v>
      </c>
      <c r="B911" s="26" t="s">
        <v>988</v>
      </c>
      <c r="C911" s="26"/>
      <c r="D911" s="26"/>
      <c r="E911" s="27"/>
      <c r="F911" s="196">
        <f>SF!F87</f>
        <v>31.607279999999999</v>
      </c>
      <c r="G911" s="211"/>
      <c r="H911" s="34"/>
      <c r="I911" s="196">
        <f>SF!I87</f>
        <v>-15.140358000000003</v>
      </c>
      <c r="J911" s="196">
        <f>SF!J87</f>
        <v>0</v>
      </c>
      <c r="K911" s="376">
        <v>-0.3</v>
      </c>
    </row>
    <row r="912" spans="1:11">
      <c r="A912" s="25" t="s">
        <v>1008</v>
      </c>
      <c r="B912" s="26" t="s">
        <v>989</v>
      </c>
      <c r="C912" s="26"/>
      <c r="D912" s="26"/>
      <c r="E912" s="27"/>
      <c r="F912" s="196">
        <f>SF!F88</f>
        <v>31.607279999999999</v>
      </c>
      <c r="G912" s="211"/>
      <c r="H912" s="34"/>
      <c r="I912" s="196">
        <f>SF!I88</f>
        <v>15.140358000000003</v>
      </c>
      <c r="J912" s="196">
        <f>SF!J88</f>
        <v>0</v>
      </c>
      <c r="K912" s="268">
        <v>-0.3</v>
      </c>
    </row>
    <row r="913" spans="1:11">
      <c r="A913" s="25" t="s">
        <v>1011</v>
      </c>
      <c r="B913" s="26" t="s">
        <v>211</v>
      </c>
      <c r="C913" s="26"/>
      <c r="D913" s="26"/>
      <c r="E913" s="27"/>
      <c r="F913" s="196">
        <f>SF!F98</f>
        <v>17.865688175801139</v>
      </c>
      <c r="G913" s="211"/>
      <c r="H913" s="197"/>
      <c r="I913" s="196">
        <f>SF!I98</f>
        <v>0</v>
      </c>
      <c r="J913" s="196">
        <f>SF!J98</f>
        <v>0</v>
      </c>
      <c r="K913" s="268">
        <v>-0.3</v>
      </c>
    </row>
    <row r="914" spans="1:11">
      <c r="A914" s="686" t="s">
        <v>1473</v>
      </c>
      <c r="B914" s="688" t="s">
        <v>1045</v>
      </c>
      <c r="C914" s="688"/>
      <c r="D914" s="688"/>
      <c r="E914" s="689"/>
      <c r="F914" s="695">
        <f>SF!F101</f>
        <v>21.56382</v>
      </c>
      <c r="G914" s="621"/>
      <c r="H914" s="620"/>
      <c r="I914" s="695">
        <f>SF!I101</f>
        <v>0</v>
      </c>
      <c r="J914" s="695">
        <f>SF!J101</f>
        <v>0</v>
      </c>
      <c r="K914" s="268">
        <v>-0.3</v>
      </c>
    </row>
    <row r="915" spans="1:11">
      <c r="A915" s="253"/>
      <c r="B915" s="15"/>
      <c r="C915" s="15"/>
      <c r="D915" s="15"/>
      <c r="E915" s="22"/>
      <c r="F915" s="212"/>
      <c r="G915" s="213"/>
      <c r="H915" s="198"/>
      <c r="I915" s="198"/>
      <c r="J915" s="58"/>
      <c r="K915" s="379"/>
    </row>
    <row r="916" spans="1:11">
      <c r="A916" s="46"/>
      <c r="B916" s="46"/>
      <c r="C916" s="46"/>
      <c r="D916" s="46"/>
      <c r="E916" s="46"/>
      <c r="F916" s="46"/>
      <c r="G916" s="46"/>
      <c r="H916" s="46"/>
      <c r="I916" s="46"/>
      <c r="J916" s="46"/>
      <c r="K916" s="87"/>
    </row>
    <row r="917" spans="1:11">
      <c r="A917" s="220" t="s">
        <v>73</v>
      </c>
      <c r="B917" s="220" t="s">
        <v>74</v>
      </c>
      <c r="C917" s="200"/>
      <c r="D917" s="200"/>
      <c r="E917" s="217"/>
      <c r="F917" s="1636" t="s">
        <v>72</v>
      </c>
      <c r="G917" s="1637"/>
      <c r="H917" s="1637"/>
      <c r="I917" s="1637"/>
      <c r="J917" s="1638"/>
      <c r="K917" s="87"/>
    </row>
    <row r="918" spans="1:11" ht="18">
      <c r="A918" s="221"/>
      <c r="B918" s="221"/>
      <c r="C918" s="201"/>
      <c r="D918" s="201"/>
      <c r="E918" s="219"/>
      <c r="F918" s="223" t="s">
        <v>23</v>
      </c>
      <c r="G918" s="223" t="s">
        <v>87</v>
      </c>
      <c r="H918" s="223" t="s">
        <v>212</v>
      </c>
      <c r="I918" s="223" t="s">
        <v>80</v>
      </c>
      <c r="J918" s="223" t="s">
        <v>81</v>
      </c>
      <c r="K918" s="87"/>
    </row>
    <row r="919" spans="1:11">
      <c r="A919" s="222"/>
      <c r="B919" s="222"/>
      <c r="C919" s="203"/>
      <c r="D919" s="203"/>
      <c r="E919" s="218"/>
      <c r="F919" s="204" t="s">
        <v>34</v>
      </c>
      <c r="G919" s="204" t="s">
        <v>34</v>
      </c>
      <c r="H919" s="203" t="s">
        <v>34</v>
      </c>
      <c r="I919" s="204" t="s">
        <v>77</v>
      </c>
      <c r="J919" s="204" t="s">
        <v>77</v>
      </c>
      <c r="K919" s="87"/>
    </row>
    <row r="920" spans="1:11">
      <c r="A920" s="202"/>
      <c r="B920" s="200"/>
      <c r="C920" s="200"/>
      <c r="D920" s="200"/>
      <c r="E920" s="217"/>
      <c r="F920" s="205"/>
      <c r="G920" s="205"/>
      <c r="H920" s="201"/>
      <c r="I920" s="205"/>
      <c r="J920" s="205"/>
      <c r="K920" s="87"/>
    </row>
    <row r="921" spans="1:11">
      <c r="A921" s="205" t="str">
        <f>A885</f>
        <v>LC-29</v>
      </c>
      <c r="B921" s="201" t="str">
        <f>B885</f>
        <v>LC-22 + Seismic Sx=1,Sz=0.3,Sy=-0.3</v>
      </c>
      <c r="C921" s="201"/>
      <c r="D921" s="201"/>
      <c r="E921" s="219"/>
      <c r="F921" s="205">
        <f>SUMPRODUCT(F888:F914,$K$888:$K$914)</f>
        <v>852.69241152282154</v>
      </c>
      <c r="G921" s="1080">
        <f>SUMPRODUCT(G888:G914,$K$888:$K$914)</f>
        <v>182.4783170283149</v>
      </c>
      <c r="H921" s="1080">
        <f>SUMPRODUCT(H888:H914,$K$888:$K$914)</f>
        <v>55.541565951631426</v>
      </c>
      <c r="I921" s="1080">
        <f>SUMPRODUCT(I888:I914,$K$888:$K$914)</f>
        <v>1054.5599446793913</v>
      </c>
      <c r="J921" s="1080">
        <f>SUMPRODUCT(J888:J914,$K$888:$K$914)</f>
        <v>329.36246781997829</v>
      </c>
      <c r="K921" s="87"/>
    </row>
    <row r="922" spans="1:11">
      <c r="A922" s="204"/>
      <c r="B922" s="203"/>
      <c r="C922" s="203"/>
      <c r="D922" s="203"/>
      <c r="E922" s="218"/>
      <c r="F922" s="204"/>
      <c r="G922" s="204"/>
      <c r="H922" s="203"/>
      <c r="I922" s="204"/>
      <c r="J922" s="204"/>
      <c r="K922" s="87"/>
    </row>
    <row r="925" spans="1:11">
      <c r="A925" s="1318" t="str">
        <f>K925</f>
        <v>LC-30</v>
      </c>
      <c r="B925" s="24" t="str">
        <f>VLOOKUP(A925,LC_DEF_2!A3:B42,2,FALSE)</f>
        <v>LC-22 + Seismic Sx=0.3,Sz=1,Sy=-0.3</v>
      </c>
      <c r="C925" s="24"/>
      <c r="D925" s="24"/>
      <c r="E925" s="21"/>
      <c r="F925" s="1635" t="s">
        <v>742</v>
      </c>
      <c r="G925" s="1635"/>
      <c r="H925" s="1635"/>
      <c r="I925" s="1635"/>
      <c r="J925" s="1600"/>
      <c r="K925" s="413" t="s">
        <v>1167</v>
      </c>
    </row>
    <row r="926" spans="1:11" ht="18">
      <c r="A926" s="25" t="s">
        <v>73</v>
      </c>
      <c r="B926" s="26" t="s">
        <v>74</v>
      </c>
      <c r="C926" s="26"/>
      <c r="D926" s="26"/>
      <c r="E926" s="27"/>
      <c r="F926" s="32" t="s">
        <v>23</v>
      </c>
      <c r="G926" s="33" t="s">
        <v>87</v>
      </c>
      <c r="H926" s="33" t="s">
        <v>212</v>
      </c>
      <c r="I926" s="33" t="s">
        <v>80</v>
      </c>
      <c r="J926" s="33" t="s">
        <v>81</v>
      </c>
      <c r="K926" s="376"/>
    </row>
    <row r="927" spans="1:11">
      <c r="A927" s="28"/>
      <c r="B927" s="15"/>
      <c r="C927" s="15"/>
      <c r="D927" s="15"/>
      <c r="E927" s="22"/>
      <c r="F927" s="21" t="s">
        <v>34</v>
      </c>
      <c r="G927" s="36" t="s">
        <v>34</v>
      </c>
      <c r="H927" s="36" t="s">
        <v>34</v>
      </c>
      <c r="I927" s="36" t="s">
        <v>77</v>
      </c>
      <c r="J927" s="36" t="s">
        <v>77</v>
      </c>
      <c r="K927" s="376"/>
    </row>
    <row r="928" spans="1:11">
      <c r="A928" s="25" t="s">
        <v>88</v>
      </c>
      <c r="B928" s="26" t="s">
        <v>75</v>
      </c>
      <c r="C928" s="26"/>
      <c r="D928" s="26"/>
      <c r="E928" s="27"/>
      <c r="F928" s="195">
        <f>SF!F14</f>
        <v>365.08803866482532</v>
      </c>
      <c r="G928" s="210"/>
      <c r="H928" s="34"/>
      <c r="I928" s="195">
        <f>SF!I14</f>
        <v>0</v>
      </c>
      <c r="J928" s="195">
        <f>SF!J14</f>
        <v>0</v>
      </c>
      <c r="K928" s="268">
        <v>1</v>
      </c>
    </row>
    <row r="929" spans="1:11">
      <c r="A929" s="25" t="s">
        <v>90</v>
      </c>
      <c r="B929" s="26" t="s">
        <v>249</v>
      </c>
      <c r="C929" s="26"/>
      <c r="D929" s="26"/>
      <c r="E929" s="27"/>
      <c r="F929" s="195">
        <f>SF!F16</f>
        <v>36.639026644707663</v>
      </c>
      <c r="G929" s="210"/>
      <c r="H929" s="34"/>
      <c r="I929" s="195">
        <f>SF!I16</f>
        <v>0</v>
      </c>
      <c r="J929" s="195">
        <f>SF!J16</f>
        <v>0</v>
      </c>
      <c r="K929" s="268">
        <v>1</v>
      </c>
    </row>
    <row r="930" spans="1:11">
      <c r="A930" s="25" t="s">
        <v>250</v>
      </c>
      <c r="B930" s="26" t="s">
        <v>967</v>
      </c>
      <c r="C930" s="26"/>
      <c r="D930" s="26"/>
      <c r="E930" s="27"/>
      <c r="F930" s="195">
        <f>SF!F19</f>
        <v>230</v>
      </c>
      <c r="G930" s="27"/>
      <c r="H930" s="34"/>
      <c r="I930" s="195">
        <f>SF!I19</f>
        <v>-115</v>
      </c>
      <c r="J930" s="195">
        <f>SF!J19</f>
        <v>0</v>
      </c>
      <c r="K930" s="376">
        <v>1</v>
      </c>
    </row>
    <row r="931" spans="1:11">
      <c r="A931" s="25" t="s">
        <v>251</v>
      </c>
      <c r="B931" s="26" t="s">
        <v>968</v>
      </c>
      <c r="C931" s="26"/>
      <c r="D931" s="26"/>
      <c r="E931" s="27"/>
      <c r="F931" s="195">
        <f>SF!F20</f>
        <v>20.660000000000004</v>
      </c>
      <c r="G931" s="27"/>
      <c r="H931" s="34"/>
      <c r="I931" s="195">
        <f>SF!I20</f>
        <v>-10.330000000000002</v>
      </c>
      <c r="J931" s="195">
        <f>SF!J20</f>
        <v>0</v>
      </c>
      <c r="K931" s="376">
        <v>1</v>
      </c>
    </row>
    <row r="932" spans="1:11">
      <c r="A932" s="25" t="s">
        <v>97</v>
      </c>
      <c r="B932" s="26" t="s">
        <v>969</v>
      </c>
      <c r="C932" s="26"/>
      <c r="D932" s="26"/>
      <c r="E932" s="27"/>
      <c r="F932" s="195">
        <f>SF!F21</f>
        <v>42</v>
      </c>
      <c r="G932" s="27"/>
      <c r="H932" s="34"/>
      <c r="I932" s="195">
        <f>SF!I21</f>
        <v>-14.858499999999999</v>
      </c>
      <c r="J932" s="195">
        <f>SF!J21</f>
        <v>0</v>
      </c>
      <c r="K932" s="376">
        <v>1</v>
      </c>
    </row>
    <row r="933" spans="1:11">
      <c r="A933" s="25" t="s">
        <v>250</v>
      </c>
      <c r="B933" s="26" t="s">
        <v>970</v>
      </c>
      <c r="C933" s="26"/>
      <c r="D933" s="26"/>
      <c r="E933" s="27"/>
      <c r="F933" s="195">
        <f>SF!F23</f>
        <v>230</v>
      </c>
      <c r="G933" s="27"/>
      <c r="H933" s="34"/>
      <c r="I933" s="195">
        <f>SF!I23</f>
        <v>115</v>
      </c>
      <c r="J933" s="195">
        <f>SF!J23</f>
        <v>0</v>
      </c>
      <c r="K933" s="376">
        <v>1</v>
      </c>
    </row>
    <row r="934" spans="1:11">
      <c r="A934" s="25" t="s">
        <v>251</v>
      </c>
      <c r="B934" s="26" t="s">
        <v>971</v>
      </c>
      <c r="C934" s="26"/>
      <c r="D934" s="26"/>
      <c r="E934" s="27"/>
      <c r="F934" s="195">
        <f>SF!F24</f>
        <v>20.660000000000004</v>
      </c>
      <c r="G934" s="27"/>
      <c r="H934" s="34"/>
      <c r="I934" s="195">
        <f>SF!I24</f>
        <v>10.330000000000002</v>
      </c>
      <c r="J934" s="195">
        <f>SF!J24</f>
        <v>0</v>
      </c>
      <c r="K934" s="268">
        <v>1</v>
      </c>
    </row>
    <row r="935" spans="1:11">
      <c r="A935" s="25" t="s">
        <v>97</v>
      </c>
      <c r="B935" s="26" t="s">
        <v>972</v>
      </c>
      <c r="C935" s="26"/>
      <c r="D935" s="26"/>
      <c r="E935" s="27"/>
      <c r="F935" s="195">
        <f>SF!F25</f>
        <v>42</v>
      </c>
      <c r="G935" s="27"/>
      <c r="H935" s="34"/>
      <c r="I935" s="195">
        <f>SF!I25</f>
        <v>14.858499999999999</v>
      </c>
      <c r="J935" s="195">
        <f>SF!J25</f>
        <v>0</v>
      </c>
      <c r="K935" s="376">
        <v>1</v>
      </c>
    </row>
    <row r="936" spans="1:11">
      <c r="A936" s="25" t="s">
        <v>986</v>
      </c>
      <c r="B936" s="163" t="s">
        <v>955</v>
      </c>
      <c r="C936" s="26"/>
      <c r="D936" s="26"/>
      <c r="E936" s="27"/>
      <c r="F936" s="34"/>
      <c r="G936" s="195">
        <f>SF!G40</f>
        <v>5.8532000000000011</v>
      </c>
      <c r="H936" s="34"/>
      <c r="I936" s="195">
        <f>SF!I40</f>
        <v>48.464496000000018</v>
      </c>
      <c r="J936" s="34"/>
      <c r="K936" s="376">
        <v>1</v>
      </c>
    </row>
    <row r="937" spans="1:11">
      <c r="A937" s="686" t="s">
        <v>1128</v>
      </c>
      <c r="B937" s="687"/>
      <c r="C937" s="688"/>
      <c r="D937" s="688"/>
      <c r="E937" s="689"/>
      <c r="F937" s="696">
        <f>SF!F43</f>
        <v>-103.56143333397094</v>
      </c>
      <c r="G937" s="689"/>
      <c r="H937" s="690"/>
      <c r="I937" s="690"/>
      <c r="J937" s="690"/>
      <c r="K937" s="376">
        <v>1</v>
      </c>
    </row>
    <row r="938" spans="1:11">
      <c r="A938" s="686" t="s">
        <v>1131</v>
      </c>
      <c r="B938" s="687"/>
      <c r="C938" s="688"/>
      <c r="D938" s="688"/>
      <c r="E938" s="689"/>
      <c r="F938" s="690"/>
      <c r="G938" s="696">
        <f>SF!G47</f>
        <v>3.2856246869242693</v>
      </c>
      <c r="H938" s="696">
        <f>SF!H47</f>
        <v>3.5397182492142409</v>
      </c>
      <c r="I938" s="696">
        <f>SF!I47</f>
        <v>7.0628515103002814</v>
      </c>
      <c r="J938" s="696">
        <f>SF!J47</f>
        <v>5.3297614737052639</v>
      </c>
      <c r="K938" s="376">
        <v>1</v>
      </c>
    </row>
    <row r="939" spans="1:11">
      <c r="A939" s="278" t="s">
        <v>1132</v>
      </c>
      <c r="B939" s="262"/>
      <c r="C939" s="262"/>
      <c r="D939" s="262"/>
      <c r="E939" s="263"/>
      <c r="F939" s="279"/>
      <c r="G939" s="280"/>
      <c r="H939" s="264"/>
      <c r="I939" s="279"/>
      <c r="J939" s="264"/>
      <c r="K939" s="650">
        <v>0.3</v>
      </c>
    </row>
    <row r="940" spans="1:11">
      <c r="A940" s="25" t="s">
        <v>991</v>
      </c>
      <c r="B940" s="26" t="s">
        <v>989</v>
      </c>
      <c r="C940" s="26"/>
      <c r="D940" s="26"/>
      <c r="E940" s="27"/>
      <c r="F940" s="197"/>
      <c r="G940" s="172">
        <f>SF!G52</f>
        <v>94.821839999999995</v>
      </c>
      <c r="H940" s="34"/>
      <c r="I940" s="172">
        <f>SF!I52</f>
        <v>785.12483520000001</v>
      </c>
      <c r="J940" s="89"/>
      <c r="K940" s="268">
        <v>0.3</v>
      </c>
    </row>
    <row r="941" spans="1:11">
      <c r="A941" s="25" t="s">
        <v>217</v>
      </c>
      <c r="B941" s="26" t="s">
        <v>211</v>
      </c>
      <c r="C941" s="26"/>
      <c r="D941" s="26"/>
      <c r="E941" s="27"/>
      <c r="F941" s="197"/>
      <c r="G941" s="196">
        <f>SF!G58</f>
        <v>26.798532263701709</v>
      </c>
      <c r="H941" s="199"/>
      <c r="I941" s="172">
        <f>SF!I58</f>
        <v>147.28381289471153</v>
      </c>
      <c r="J941" s="195"/>
      <c r="K941" s="376">
        <v>0.3</v>
      </c>
    </row>
    <row r="942" spans="1:11">
      <c r="A942" s="686" t="s">
        <v>1472</v>
      </c>
      <c r="B942" s="688" t="s">
        <v>1045</v>
      </c>
      <c r="C942" s="688"/>
      <c r="D942" s="688"/>
      <c r="E942" s="689"/>
      <c r="F942" s="620"/>
      <c r="G942" s="695">
        <f>SF!G61</f>
        <v>32.345729999999996</v>
      </c>
      <c r="H942" s="690"/>
      <c r="I942" s="695">
        <f>SF!I61</f>
        <v>29.111156999999999</v>
      </c>
      <c r="J942" s="269"/>
      <c r="K942" s="376">
        <v>0.3</v>
      </c>
    </row>
    <row r="943" spans="1:11">
      <c r="A943" s="686" t="s">
        <v>1139</v>
      </c>
      <c r="B943" s="688" t="s">
        <v>1140</v>
      </c>
      <c r="C943" s="688"/>
      <c r="D943" s="688"/>
      <c r="E943" s="689"/>
      <c r="F943" s="620"/>
      <c r="G943" s="695">
        <f>SF!G63</f>
        <v>19.373390077688924</v>
      </c>
      <c r="H943" s="690"/>
      <c r="I943" s="695">
        <f>SF!I63</f>
        <v>37.512792074379419</v>
      </c>
      <c r="J943" s="269"/>
      <c r="K943" s="376">
        <v>0.3</v>
      </c>
    </row>
    <row r="944" spans="1:11">
      <c r="A944" s="278" t="s">
        <v>1135</v>
      </c>
      <c r="B944" s="262"/>
      <c r="C944" s="262"/>
      <c r="D944" s="262"/>
      <c r="E944" s="263"/>
      <c r="F944" s="279"/>
      <c r="G944" s="280"/>
      <c r="H944" s="264"/>
      <c r="I944" s="279"/>
      <c r="J944" s="264"/>
      <c r="K944" s="708">
        <v>1</v>
      </c>
    </row>
    <row r="945" spans="1:11">
      <c r="A945" s="25" t="s">
        <v>997</v>
      </c>
      <c r="B945" s="26" t="s">
        <v>988</v>
      </c>
      <c r="C945" s="26"/>
      <c r="D945" s="26"/>
      <c r="E945" s="27"/>
      <c r="F945" s="197"/>
      <c r="G945" s="211"/>
      <c r="H945" s="254">
        <f>SF!H67</f>
        <v>47.410919999999997</v>
      </c>
      <c r="I945" s="197"/>
      <c r="J945" s="254">
        <f>SF!J67</f>
        <v>433.10062959257624</v>
      </c>
      <c r="K945" s="268">
        <v>1</v>
      </c>
    </row>
    <row r="946" spans="1:11">
      <c r="A946" s="25" t="s">
        <v>998</v>
      </c>
      <c r="B946" s="26" t="s">
        <v>989</v>
      </c>
      <c r="C946" s="26"/>
      <c r="D946" s="26"/>
      <c r="E946" s="27"/>
      <c r="F946" s="197"/>
      <c r="G946" s="211"/>
      <c r="H946" s="254">
        <f>SF!H68</f>
        <v>47.410919999999997</v>
      </c>
      <c r="I946" s="197"/>
      <c r="J946" s="254">
        <f>SF!J68</f>
        <v>433.10062959257624</v>
      </c>
      <c r="K946" s="376">
        <v>1</v>
      </c>
    </row>
    <row r="947" spans="1:11">
      <c r="A947" s="25" t="s">
        <v>1006</v>
      </c>
      <c r="B947" s="26" t="s">
        <v>211</v>
      </c>
      <c r="C947" s="26"/>
      <c r="D947" s="26"/>
      <c r="E947" s="27"/>
      <c r="F947" s="197"/>
      <c r="G947" s="195"/>
      <c r="H947" s="254">
        <f>SF!H78</f>
        <v>26.798532263701709</v>
      </c>
      <c r="I947" s="195"/>
      <c r="J947" s="254">
        <f>SF!J78</f>
        <v>147.28381289471153</v>
      </c>
      <c r="K947" s="376">
        <v>1</v>
      </c>
    </row>
    <row r="948" spans="1:11">
      <c r="A948" s="686" t="s">
        <v>1138</v>
      </c>
      <c r="B948" s="688" t="s">
        <v>1045</v>
      </c>
      <c r="C948" s="688"/>
      <c r="D948" s="688"/>
      <c r="E948" s="689"/>
      <c r="F948" s="620"/>
      <c r="G948" s="711"/>
      <c r="H948" s="989">
        <f>SF!H81</f>
        <v>32.345729999999996</v>
      </c>
      <c r="I948" s="696"/>
      <c r="J948" s="989">
        <f>SF!J81</f>
        <v>29.111156999999999</v>
      </c>
      <c r="K948" s="376">
        <v>1</v>
      </c>
    </row>
    <row r="949" spans="1:11">
      <c r="A949" s="686" t="s">
        <v>1138</v>
      </c>
      <c r="B949" s="688" t="s">
        <v>1141</v>
      </c>
      <c r="C949" s="26"/>
      <c r="D949" s="26"/>
      <c r="E949" s="27"/>
      <c r="F949" s="34"/>
      <c r="G949" s="27"/>
      <c r="H949" s="989">
        <f>SF!H83</f>
        <v>19.373390077688924</v>
      </c>
      <c r="I949" s="696"/>
      <c r="J949" s="989">
        <f>SF!J83</f>
        <v>37.512792074379419</v>
      </c>
      <c r="K949" s="376">
        <v>1</v>
      </c>
    </row>
    <row r="950" spans="1:11">
      <c r="A950" s="290" t="s">
        <v>1137</v>
      </c>
      <c r="B950" s="11"/>
      <c r="C950" s="11"/>
      <c r="D950" s="11"/>
      <c r="E950" s="191"/>
      <c r="F950" s="197"/>
      <c r="G950" s="211"/>
      <c r="H950" s="89"/>
      <c r="I950" s="197"/>
      <c r="J950" s="89"/>
      <c r="K950" s="994">
        <v>0.3</v>
      </c>
    </row>
    <row r="951" spans="1:11">
      <c r="A951" s="25" t="s">
        <v>1007</v>
      </c>
      <c r="B951" s="26" t="s">
        <v>988</v>
      </c>
      <c r="C951" s="26"/>
      <c r="D951" s="26"/>
      <c r="E951" s="27"/>
      <c r="F951" s="196">
        <f>SF!F87</f>
        <v>31.607279999999999</v>
      </c>
      <c r="G951" s="211"/>
      <c r="H951" s="34"/>
      <c r="I951" s="196">
        <f>SF!I87</f>
        <v>-15.140358000000003</v>
      </c>
      <c r="J951" s="196">
        <f>SF!J87</f>
        <v>0</v>
      </c>
      <c r="K951" s="376">
        <v>-0.3</v>
      </c>
    </row>
    <row r="952" spans="1:11">
      <c r="A952" s="25" t="s">
        <v>1008</v>
      </c>
      <c r="B952" s="26" t="s">
        <v>989</v>
      </c>
      <c r="C952" s="26"/>
      <c r="D952" s="26"/>
      <c r="E952" s="27"/>
      <c r="F952" s="196">
        <f>SF!F88</f>
        <v>31.607279999999999</v>
      </c>
      <c r="G952" s="211"/>
      <c r="H952" s="34"/>
      <c r="I952" s="196">
        <f>SF!I88</f>
        <v>15.140358000000003</v>
      </c>
      <c r="J952" s="196">
        <f>SF!J88</f>
        <v>0</v>
      </c>
      <c r="K952" s="268">
        <v>-0.3</v>
      </c>
    </row>
    <row r="953" spans="1:11">
      <c r="A953" s="25" t="s">
        <v>1011</v>
      </c>
      <c r="B953" s="26" t="s">
        <v>211</v>
      </c>
      <c r="C953" s="26"/>
      <c r="D953" s="26"/>
      <c r="E953" s="27"/>
      <c r="F953" s="196">
        <f>SF!F98</f>
        <v>17.865688175801139</v>
      </c>
      <c r="G953" s="211"/>
      <c r="H953" s="197"/>
      <c r="I953" s="196">
        <f>SF!I98</f>
        <v>0</v>
      </c>
      <c r="J953" s="196">
        <f>SF!J98</f>
        <v>0</v>
      </c>
      <c r="K953" s="268">
        <v>-0.3</v>
      </c>
    </row>
    <row r="954" spans="1:11">
      <c r="A954" s="686" t="s">
        <v>1473</v>
      </c>
      <c r="B954" s="688" t="s">
        <v>1045</v>
      </c>
      <c r="C954" s="688"/>
      <c r="D954" s="688"/>
      <c r="E954" s="689"/>
      <c r="F954" s="695">
        <f>SF!F101</f>
        <v>21.56382</v>
      </c>
      <c r="G954" s="621"/>
      <c r="H954" s="620"/>
      <c r="I954" s="695">
        <f>SF!I101</f>
        <v>0</v>
      </c>
      <c r="J954" s="695">
        <f>SF!J101</f>
        <v>0</v>
      </c>
      <c r="K954" s="268">
        <v>-0.3</v>
      </c>
    </row>
    <row r="955" spans="1:11">
      <c r="A955" s="253"/>
      <c r="B955" s="15"/>
      <c r="C955" s="15"/>
      <c r="D955" s="15"/>
      <c r="E955" s="22"/>
      <c r="F955" s="212"/>
      <c r="G955" s="213"/>
      <c r="H955" s="198"/>
      <c r="I955" s="198"/>
      <c r="J955" s="58"/>
      <c r="K955" s="379"/>
    </row>
    <row r="956" spans="1:11">
      <c r="A956" s="46"/>
      <c r="B956" s="46"/>
      <c r="C956" s="46"/>
      <c r="D956" s="46"/>
      <c r="E956" s="46"/>
      <c r="F956" s="46"/>
      <c r="G956" s="46"/>
      <c r="H956" s="46"/>
      <c r="I956" s="46"/>
      <c r="J956" s="46"/>
      <c r="K956" s="87"/>
    </row>
    <row r="957" spans="1:11">
      <c r="A957" s="220" t="s">
        <v>73</v>
      </c>
      <c r="B957" s="220" t="s">
        <v>74</v>
      </c>
      <c r="C957" s="200"/>
      <c r="D957" s="200"/>
      <c r="E957" s="217"/>
      <c r="F957" s="1636" t="s">
        <v>72</v>
      </c>
      <c r="G957" s="1637"/>
      <c r="H957" s="1637"/>
      <c r="I957" s="1637"/>
      <c r="J957" s="1638"/>
      <c r="K957" s="87"/>
    </row>
    <row r="958" spans="1:11" ht="18">
      <c r="A958" s="221"/>
      <c r="B958" s="221"/>
      <c r="C958" s="201"/>
      <c r="D958" s="201"/>
      <c r="E958" s="219"/>
      <c r="F958" s="223" t="s">
        <v>23</v>
      </c>
      <c r="G958" s="223" t="s">
        <v>87</v>
      </c>
      <c r="H958" s="223" t="s">
        <v>212</v>
      </c>
      <c r="I958" s="223" t="s">
        <v>80</v>
      </c>
      <c r="J958" s="223" t="s">
        <v>81</v>
      </c>
      <c r="K958" s="87"/>
    </row>
    <row r="959" spans="1:11">
      <c r="A959" s="222"/>
      <c r="B959" s="222"/>
      <c r="C959" s="203"/>
      <c r="D959" s="203"/>
      <c r="E959" s="218"/>
      <c r="F959" s="204" t="s">
        <v>34</v>
      </c>
      <c r="G959" s="204" t="s">
        <v>34</v>
      </c>
      <c r="H959" s="203" t="s">
        <v>34</v>
      </c>
      <c r="I959" s="204" t="s">
        <v>77</v>
      </c>
      <c r="J959" s="204" t="s">
        <v>77</v>
      </c>
      <c r="K959" s="87"/>
    </row>
    <row r="960" spans="1:11">
      <c r="A960" s="202"/>
      <c r="B960" s="200"/>
      <c r="C960" s="200"/>
      <c r="D960" s="200"/>
      <c r="E960" s="217"/>
      <c r="F960" s="205"/>
      <c r="G960" s="205"/>
      <c r="H960" s="201"/>
      <c r="I960" s="205"/>
      <c r="J960" s="205"/>
      <c r="K960" s="87"/>
    </row>
    <row r="961" spans="1:11">
      <c r="A961" s="205" t="str">
        <f>A925</f>
        <v>LC-30</v>
      </c>
      <c r="B961" s="201" t="str">
        <f>B925</f>
        <v>LC-22 + Seismic Sx=0.3,Sz=1,Sy=-0.3</v>
      </c>
      <c r="C961" s="201"/>
      <c r="D961" s="201"/>
      <c r="E961" s="219"/>
      <c r="F961" s="205">
        <f>SUMPRODUCT(F928:F954,$K$928:$K$954)</f>
        <v>852.69241152282154</v>
      </c>
      <c r="G961" s="1080">
        <f>SUMPRODUCT(G928:G954,$K$928:$K$954)</f>
        <v>61.140672389341454</v>
      </c>
      <c r="H961" s="1080">
        <f>SUMPRODUCT(H928:H954,$K$928:$K$954)</f>
        <v>176.87921059060486</v>
      </c>
      <c r="I961" s="1080">
        <f>SUMPRODUCT(I928:I954,$K$928:$K$954)</f>
        <v>355.23712666102756</v>
      </c>
      <c r="J961" s="1080">
        <f>SUMPRODUCT(J928:J954,$K$928:$K$954)</f>
        <v>1085.4387826279487</v>
      </c>
      <c r="K961" s="87"/>
    </row>
    <row r="962" spans="1:11">
      <c r="A962" s="204"/>
      <c r="B962" s="203"/>
      <c r="C962" s="203"/>
      <c r="D962" s="203"/>
      <c r="E962" s="218"/>
      <c r="F962" s="204"/>
      <c r="G962" s="204"/>
      <c r="H962" s="203"/>
      <c r="I962" s="204"/>
      <c r="J962" s="204"/>
      <c r="K962" s="87"/>
    </row>
    <row r="965" spans="1:11">
      <c r="A965" s="1318" t="str">
        <f>K965</f>
        <v>LC-31</v>
      </c>
      <c r="B965" s="24" t="str">
        <f>VLOOKUP(A965,LC_DEF_2!A3:B42,2,FALSE)</f>
        <v>LC-22 + Seismic Sx=1,Sz=0.3,Sy=0.3</v>
      </c>
      <c r="C965" s="24"/>
      <c r="D965" s="24"/>
      <c r="E965" s="21"/>
      <c r="F965" s="1635" t="s">
        <v>742</v>
      </c>
      <c r="G965" s="1635"/>
      <c r="H965" s="1635"/>
      <c r="I965" s="1635"/>
      <c r="J965" s="1600"/>
      <c r="K965" s="413" t="s">
        <v>1168</v>
      </c>
    </row>
    <row r="966" spans="1:11" ht="18">
      <c r="A966" s="25" t="s">
        <v>73</v>
      </c>
      <c r="B966" s="26" t="s">
        <v>74</v>
      </c>
      <c r="C966" s="26"/>
      <c r="D966" s="26"/>
      <c r="E966" s="27"/>
      <c r="F966" s="32" t="s">
        <v>23</v>
      </c>
      <c r="G966" s="33" t="s">
        <v>87</v>
      </c>
      <c r="H966" s="33" t="s">
        <v>212</v>
      </c>
      <c r="I966" s="33" t="s">
        <v>80</v>
      </c>
      <c r="J966" s="33" t="s">
        <v>81</v>
      </c>
      <c r="K966" s="376"/>
    </row>
    <row r="967" spans="1:11">
      <c r="A967" s="28"/>
      <c r="B967" s="15"/>
      <c r="C967" s="15"/>
      <c r="D967" s="15"/>
      <c r="E967" s="22"/>
      <c r="F967" s="21" t="s">
        <v>34</v>
      </c>
      <c r="G967" s="36" t="s">
        <v>34</v>
      </c>
      <c r="H967" s="36" t="s">
        <v>34</v>
      </c>
      <c r="I967" s="36" t="s">
        <v>77</v>
      </c>
      <c r="J967" s="36" t="s">
        <v>77</v>
      </c>
      <c r="K967" s="376"/>
    </row>
    <row r="968" spans="1:11">
      <c r="A968" s="25" t="s">
        <v>88</v>
      </c>
      <c r="B968" s="26" t="s">
        <v>75</v>
      </c>
      <c r="C968" s="26"/>
      <c r="D968" s="26"/>
      <c r="E968" s="27"/>
      <c r="F968" s="195">
        <f>SF!F14</f>
        <v>365.08803866482532</v>
      </c>
      <c r="G968" s="210"/>
      <c r="H968" s="34"/>
      <c r="I968" s="195">
        <f>SF!I14</f>
        <v>0</v>
      </c>
      <c r="J968" s="195">
        <f>SF!J14</f>
        <v>0</v>
      </c>
      <c r="K968" s="268">
        <v>1</v>
      </c>
    </row>
    <row r="969" spans="1:11">
      <c r="A969" s="25" t="s">
        <v>90</v>
      </c>
      <c r="B969" s="26" t="s">
        <v>249</v>
      </c>
      <c r="C969" s="26"/>
      <c r="D969" s="26"/>
      <c r="E969" s="27"/>
      <c r="F969" s="195">
        <f>SF!F16</f>
        <v>36.639026644707663</v>
      </c>
      <c r="G969" s="210"/>
      <c r="H969" s="34"/>
      <c r="I969" s="195">
        <f>SF!I16</f>
        <v>0</v>
      </c>
      <c r="J969" s="195">
        <f>SF!J16</f>
        <v>0</v>
      </c>
      <c r="K969" s="268">
        <v>1</v>
      </c>
    </row>
    <row r="970" spans="1:11">
      <c r="A970" s="25" t="s">
        <v>250</v>
      </c>
      <c r="B970" s="26" t="s">
        <v>967</v>
      </c>
      <c r="C970" s="26"/>
      <c r="D970" s="26"/>
      <c r="E970" s="27"/>
      <c r="F970" s="195">
        <f>SF!F19</f>
        <v>230</v>
      </c>
      <c r="G970" s="27"/>
      <c r="H970" s="34"/>
      <c r="I970" s="195">
        <f>SF!I19</f>
        <v>-115</v>
      </c>
      <c r="J970" s="195">
        <f>SF!J19</f>
        <v>0</v>
      </c>
      <c r="K970" s="376">
        <v>1</v>
      </c>
    </row>
    <row r="971" spans="1:11">
      <c r="A971" s="25" t="s">
        <v>251</v>
      </c>
      <c r="B971" s="26" t="s">
        <v>968</v>
      </c>
      <c r="C971" s="26"/>
      <c r="D971" s="26"/>
      <c r="E971" s="27"/>
      <c r="F971" s="195">
        <f>SF!F20</f>
        <v>20.660000000000004</v>
      </c>
      <c r="G971" s="27"/>
      <c r="H971" s="34"/>
      <c r="I971" s="195">
        <f>SF!I20</f>
        <v>-10.330000000000002</v>
      </c>
      <c r="J971" s="195">
        <f>SF!J20</f>
        <v>0</v>
      </c>
      <c r="K971" s="376">
        <v>1</v>
      </c>
    </row>
    <row r="972" spans="1:11">
      <c r="A972" s="25" t="s">
        <v>97</v>
      </c>
      <c r="B972" s="26" t="s">
        <v>969</v>
      </c>
      <c r="C972" s="26"/>
      <c r="D972" s="26"/>
      <c r="E972" s="27"/>
      <c r="F972" s="195">
        <f>SF!F21</f>
        <v>42</v>
      </c>
      <c r="G972" s="27"/>
      <c r="H972" s="34"/>
      <c r="I972" s="195">
        <f>SF!I21</f>
        <v>-14.858499999999999</v>
      </c>
      <c r="J972" s="195">
        <f>SF!J21</f>
        <v>0</v>
      </c>
      <c r="K972" s="376">
        <v>1</v>
      </c>
    </row>
    <row r="973" spans="1:11">
      <c r="A973" s="25" t="s">
        <v>250</v>
      </c>
      <c r="B973" s="26" t="s">
        <v>970</v>
      </c>
      <c r="C973" s="26"/>
      <c r="D973" s="26"/>
      <c r="E973" s="27"/>
      <c r="F973" s="195">
        <f>SF!F23</f>
        <v>230</v>
      </c>
      <c r="G973" s="27"/>
      <c r="H973" s="34"/>
      <c r="I973" s="195">
        <f>SF!I23</f>
        <v>115</v>
      </c>
      <c r="J973" s="195">
        <f>SF!J23</f>
        <v>0</v>
      </c>
      <c r="K973" s="376">
        <v>1</v>
      </c>
    </row>
    <row r="974" spans="1:11">
      <c r="A974" s="25" t="s">
        <v>251</v>
      </c>
      <c r="B974" s="26" t="s">
        <v>971</v>
      </c>
      <c r="C974" s="26"/>
      <c r="D974" s="26"/>
      <c r="E974" s="27"/>
      <c r="F974" s="195">
        <f>SF!F24</f>
        <v>20.660000000000004</v>
      </c>
      <c r="G974" s="27"/>
      <c r="H974" s="34"/>
      <c r="I974" s="195">
        <f>SF!I24</f>
        <v>10.330000000000002</v>
      </c>
      <c r="J974" s="195">
        <f>SF!J24</f>
        <v>0</v>
      </c>
      <c r="K974" s="268">
        <v>1</v>
      </c>
    </row>
    <row r="975" spans="1:11">
      <c r="A975" s="25" t="s">
        <v>97</v>
      </c>
      <c r="B975" s="26" t="s">
        <v>972</v>
      </c>
      <c r="C975" s="26"/>
      <c r="D975" s="26"/>
      <c r="E975" s="27"/>
      <c r="F975" s="195">
        <f>SF!F25</f>
        <v>42</v>
      </c>
      <c r="G975" s="27"/>
      <c r="H975" s="34"/>
      <c r="I975" s="195">
        <f>SF!I25</f>
        <v>14.858499999999999</v>
      </c>
      <c r="J975" s="195">
        <f>SF!J25</f>
        <v>0</v>
      </c>
      <c r="K975" s="376">
        <v>1</v>
      </c>
    </row>
    <row r="976" spans="1:11">
      <c r="A976" s="25" t="s">
        <v>986</v>
      </c>
      <c r="B976" s="163" t="s">
        <v>955</v>
      </c>
      <c r="C976" s="26"/>
      <c r="D976" s="26"/>
      <c r="E976" s="27"/>
      <c r="F976" s="34"/>
      <c r="G976" s="195">
        <f>SF!G40</f>
        <v>5.8532000000000011</v>
      </c>
      <c r="H976" s="34"/>
      <c r="I976" s="195">
        <f>SF!I40</f>
        <v>48.464496000000018</v>
      </c>
      <c r="J976" s="34"/>
      <c r="K976" s="376">
        <v>1</v>
      </c>
    </row>
    <row r="977" spans="1:11">
      <c r="A977" s="686" t="s">
        <v>1128</v>
      </c>
      <c r="B977" s="687"/>
      <c r="C977" s="688"/>
      <c r="D977" s="688"/>
      <c r="E977" s="689"/>
      <c r="F977" s="696">
        <f>SF!F43</f>
        <v>-103.56143333397094</v>
      </c>
      <c r="G977" s="689"/>
      <c r="H977" s="690"/>
      <c r="I977" s="690"/>
      <c r="J977" s="690"/>
      <c r="K977" s="376">
        <v>1</v>
      </c>
    </row>
    <row r="978" spans="1:11">
      <c r="A978" s="686" t="s">
        <v>1131</v>
      </c>
      <c r="B978" s="687"/>
      <c r="C978" s="688"/>
      <c r="D978" s="688"/>
      <c r="E978" s="689"/>
      <c r="F978" s="690"/>
      <c r="G978" s="696">
        <f>SF!G47</f>
        <v>3.2856246869242693</v>
      </c>
      <c r="H978" s="696">
        <f>SF!H47</f>
        <v>3.5397182492142409</v>
      </c>
      <c r="I978" s="696">
        <f>SF!I47</f>
        <v>7.0628515103002814</v>
      </c>
      <c r="J978" s="696">
        <f>SF!J47</f>
        <v>5.3297614737052639</v>
      </c>
      <c r="K978" s="376">
        <v>1</v>
      </c>
    </row>
    <row r="979" spans="1:11">
      <c r="A979" s="278" t="s">
        <v>1132</v>
      </c>
      <c r="B979" s="262"/>
      <c r="C979" s="262"/>
      <c r="D979" s="262"/>
      <c r="E979" s="263"/>
      <c r="F979" s="279"/>
      <c r="G979" s="280"/>
      <c r="H979" s="264"/>
      <c r="I979" s="279"/>
      <c r="J979" s="264"/>
      <c r="K979" s="650">
        <v>1</v>
      </c>
    </row>
    <row r="980" spans="1:11">
      <c r="A980" s="25" t="s">
        <v>991</v>
      </c>
      <c r="B980" s="26" t="s">
        <v>989</v>
      </c>
      <c r="C980" s="26"/>
      <c r="D980" s="26"/>
      <c r="E980" s="27"/>
      <c r="F980" s="197"/>
      <c r="G980" s="172">
        <f>SF!G52</f>
        <v>94.821839999999995</v>
      </c>
      <c r="H980" s="34"/>
      <c r="I980" s="172">
        <f>SF!I52</f>
        <v>785.12483520000001</v>
      </c>
      <c r="J980" s="89"/>
      <c r="K980" s="268">
        <v>1</v>
      </c>
    </row>
    <row r="981" spans="1:11">
      <c r="A981" s="25" t="s">
        <v>217</v>
      </c>
      <c r="B981" s="26" t="s">
        <v>211</v>
      </c>
      <c r="C981" s="26"/>
      <c r="D981" s="26"/>
      <c r="E981" s="27"/>
      <c r="F981" s="197"/>
      <c r="G981" s="196">
        <f>SF!G58</f>
        <v>26.798532263701709</v>
      </c>
      <c r="H981" s="199"/>
      <c r="I981" s="172">
        <f>SF!I58</f>
        <v>147.28381289471153</v>
      </c>
      <c r="J981" s="195"/>
      <c r="K981" s="376">
        <v>1</v>
      </c>
    </row>
    <row r="982" spans="1:11">
      <c r="A982" s="686" t="s">
        <v>1472</v>
      </c>
      <c r="B982" s="688" t="s">
        <v>1045</v>
      </c>
      <c r="C982" s="688"/>
      <c r="D982" s="688"/>
      <c r="E982" s="689"/>
      <c r="F982" s="620"/>
      <c r="G982" s="695">
        <f>SF!G61</f>
        <v>32.345729999999996</v>
      </c>
      <c r="H982" s="690"/>
      <c r="I982" s="695">
        <f>SF!I61</f>
        <v>29.111156999999999</v>
      </c>
      <c r="J982" s="269"/>
      <c r="K982" s="376">
        <v>1</v>
      </c>
    </row>
    <row r="983" spans="1:11">
      <c r="A983" s="686" t="s">
        <v>1139</v>
      </c>
      <c r="B983" s="688" t="s">
        <v>1140</v>
      </c>
      <c r="C983" s="688"/>
      <c r="D983" s="688"/>
      <c r="E983" s="689"/>
      <c r="F983" s="620"/>
      <c r="G983" s="695">
        <f>SF!G63</f>
        <v>19.373390077688924</v>
      </c>
      <c r="H983" s="690"/>
      <c r="I983" s="695">
        <f>SF!I63</f>
        <v>37.512792074379419</v>
      </c>
      <c r="J983" s="269"/>
      <c r="K983" s="376">
        <v>1</v>
      </c>
    </row>
    <row r="984" spans="1:11">
      <c r="A984" s="278" t="s">
        <v>1135</v>
      </c>
      <c r="B984" s="262"/>
      <c r="C984" s="262"/>
      <c r="D984" s="262"/>
      <c r="E984" s="263"/>
      <c r="F984" s="279"/>
      <c r="G984" s="280"/>
      <c r="H984" s="264"/>
      <c r="I984" s="279"/>
      <c r="J984" s="264"/>
      <c r="K984" s="708">
        <v>0.3</v>
      </c>
    </row>
    <row r="985" spans="1:11">
      <c r="A985" s="25" t="s">
        <v>997</v>
      </c>
      <c r="B985" s="26" t="s">
        <v>988</v>
      </c>
      <c r="C985" s="26"/>
      <c r="D985" s="26"/>
      <c r="E985" s="27"/>
      <c r="F985" s="197"/>
      <c r="G985" s="211"/>
      <c r="H985" s="254">
        <f>SF!H67</f>
        <v>47.410919999999997</v>
      </c>
      <c r="I985" s="197"/>
      <c r="J985" s="254">
        <f>SF!J67</f>
        <v>433.10062959257624</v>
      </c>
      <c r="K985" s="268">
        <v>0.3</v>
      </c>
    </row>
    <row r="986" spans="1:11">
      <c r="A986" s="25" t="s">
        <v>998</v>
      </c>
      <c r="B986" s="26" t="s">
        <v>989</v>
      </c>
      <c r="C986" s="26"/>
      <c r="D986" s="26"/>
      <c r="E986" s="27"/>
      <c r="F986" s="197"/>
      <c r="G986" s="211"/>
      <c r="H986" s="254">
        <f>SF!H68</f>
        <v>47.410919999999997</v>
      </c>
      <c r="I986" s="197"/>
      <c r="J986" s="254">
        <f>SF!J68</f>
        <v>433.10062959257624</v>
      </c>
      <c r="K986" s="376">
        <v>0.3</v>
      </c>
    </row>
    <row r="987" spans="1:11">
      <c r="A987" s="25" t="s">
        <v>1006</v>
      </c>
      <c r="B987" s="26" t="s">
        <v>211</v>
      </c>
      <c r="C987" s="26"/>
      <c r="D987" s="26"/>
      <c r="E987" s="27"/>
      <c r="F987" s="197"/>
      <c r="G987" s="195"/>
      <c r="H987" s="254">
        <f>SF!H78</f>
        <v>26.798532263701709</v>
      </c>
      <c r="I987" s="195"/>
      <c r="J987" s="254">
        <f>SF!J78</f>
        <v>147.28381289471153</v>
      </c>
      <c r="K987" s="376">
        <v>0.3</v>
      </c>
    </row>
    <row r="988" spans="1:11">
      <c r="A988" s="686" t="s">
        <v>1138</v>
      </c>
      <c r="B988" s="688" t="s">
        <v>1045</v>
      </c>
      <c r="C988" s="688"/>
      <c r="D988" s="688"/>
      <c r="E988" s="689"/>
      <c r="F988" s="620"/>
      <c r="G988" s="711"/>
      <c r="H988" s="989">
        <f>SF!H81</f>
        <v>32.345729999999996</v>
      </c>
      <c r="I988" s="696"/>
      <c r="J988" s="989">
        <f>SF!J81</f>
        <v>29.111156999999999</v>
      </c>
      <c r="K988" s="376">
        <v>0.3</v>
      </c>
    </row>
    <row r="989" spans="1:11">
      <c r="A989" s="686" t="s">
        <v>1138</v>
      </c>
      <c r="B989" s="688" t="s">
        <v>1141</v>
      </c>
      <c r="C989" s="26"/>
      <c r="D989" s="26"/>
      <c r="E989" s="27"/>
      <c r="F989" s="34"/>
      <c r="G989" s="27"/>
      <c r="H989" s="989">
        <f>SF!H83</f>
        <v>19.373390077688924</v>
      </c>
      <c r="I989" s="696"/>
      <c r="J989" s="989">
        <f>SF!J83</f>
        <v>37.512792074379419</v>
      </c>
      <c r="K989" s="376">
        <v>0.3</v>
      </c>
    </row>
    <row r="990" spans="1:11">
      <c r="A990" s="290" t="s">
        <v>1137</v>
      </c>
      <c r="B990" s="11"/>
      <c r="C990" s="11"/>
      <c r="D990" s="11"/>
      <c r="E990" s="191"/>
      <c r="F990" s="197"/>
      <c r="G990" s="211"/>
      <c r="H990" s="89"/>
      <c r="I990" s="197"/>
      <c r="J990" s="89"/>
      <c r="K990" s="994">
        <v>0.3</v>
      </c>
    </row>
    <row r="991" spans="1:11">
      <c r="A991" s="25" t="s">
        <v>1007</v>
      </c>
      <c r="B991" s="26" t="s">
        <v>988</v>
      </c>
      <c r="C991" s="26"/>
      <c r="D991" s="26"/>
      <c r="E991" s="27"/>
      <c r="F991" s="196">
        <f>SF!F87</f>
        <v>31.607279999999999</v>
      </c>
      <c r="G991" s="211"/>
      <c r="H991" s="34"/>
      <c r="I991" s="196">
        <f>SF!I87</f>
        <v>-15.140358000000003</v>
      </c>
      <c r="J991" s="196">
        <f>SF!J87</f>
        <v>0</v>
      </c>
      <c r="K991" s="376">
        <v>0.3</v>
      </c>
    </row>
    <row r="992" spans="1:11">
      <c r="A992" s="25" t="s">
        <v>1008</v>
      </c>
      <c r="B992" s="26" t="s">
        <v>989</v>
      </c>
      <c r="C992" s="26"/>
      <c r="D992" s="26"/>
      <c r="E992" s="27"/>
      <c r="F992" s="196">
        <f>SF!F88</f>
        <v>31.607279999999999</v>
      </c>
      <c r="G992" s="211"/>
      <c r="H992" s="34"/>
      <c r="I992" s="196">
        <f>SF!I88</f>
        <v>15.140358000000003</v>
      </c>
      <c r="J992" s="196">
        <f>SF!J88</f>
        <v>0</v>
      </c>
      <c r="K992" s="268">
        <v>0.3</v>
      </c>
    </row>
    <row r="993" spans="1:11">
      <c r="A993" s="25" t="s">
        <v>1011</v>
      </c>
      <c r="B993" s="26" t="s">
        <v>211</v>
      </c>
      <c r="C993" s="26"/>
      <c r="D993" s="26"/>
      <c r="E993" s="27"/>
      <c r="F993" s="196">
        <f>SF!F98</f>
        <v>17.865688175801139</v>
      </c>
      <c r="G993" s="211"/>
      <c r="H993" s="197"/>
      <c r="I993" s="196">
        <f>SF!I98</f>
        <v>0</v>
      </c>
      <c r="J993" s="196">
        <f>SF!J98</f>
        <v>0</v>
      </c>
      <c r="K993" s="268">
        <v>0.3</v>
      </c>
    </row>
    <row r="994" spans="1:11">
      <c r="A994" s="686" t="s">
        <v>1473</v>
      </c>
      <c r="B994" s="688" t="s">
        <v>1045</v>
      </c>
      <c r="C994" s="688"/>
      <c r="D994" s="688"/>
      <c r="E994" s="689"/>
      <c r="F994" s="695">
        <f>SF!F101</f>
        <v>21.56382</v>
      </c>
      <c r="G994" s="621"/>
      <c r="H994" s="620"/>
      <c r="I994" s="695">
        <f>SF!I101</f>
        <v>0</v>
      </c>
      <c r="J994" s="695">
        <f>SF!J101</f>
        <v>0</v>
      </c>
      <c r="K994" s="268">
        <v>0.3</v>
      </c>
    </row>
    <row r="995" spans="1:11">
      <c r="A995" s="253"/>
      <c r="B995" s="15"/>
      <c r="C995" s="15"/>
      <c r="D995" s="15"/>
      <c r="E995" s="22"/>
      <c r="F995" s="212"/>
      <c r="G995" s="213"/>
      <c r="H995" s="198"/>
      <c r="I995" s="198"/>
      <c r="J995" s="58"/>
      <c r="K995" s="379"/>
    </row>
    <row r="996" spans="1:11">
      <c r="A996" s="46"/>
      <c r="B996" s="46"/>
      <c r="C996" s="46"/>
      <c r="D996" s="46"/>
      <c r="E996" s="46"/>
      <c r="F996" s="46"/>
      <c r="G996" s="46"/>
      <c r="H996" s="46"/>
      <c r="I996" s="46"/>
      <c r="J996" s="46"/>
      <c r="K996" s="87"/>
    </row>
    <row r="997" spans="1:11">
      <c r="A997" s="220" t="s">
        <v>73</v>
      </c>
      <c r="B997" s="220" t="s">
        <v>74</v>
      </c>
      <c r="C997" s="200"/>
      <c r="D997" s="200"/>
      <c r="E997" s="217"/>
      <c r="F997" s="1636" t="s">
        <v>72</v>
      </c>
      <c r="G997" s="1637"/>
      <c r="H997" s="1637"/>
      <c r="I997" s="1637"/>
      <c r="J997" s="1638"/>
      <c r="K997" s="87"/>
    </row>
    <row r="998" spans="1:11" ht="18">
      <c r="A998" s="221"/>
      <c r="B998" s="221"/>
      <c r="C998" s="201"/>
      <c r="D998" s="201"/>
      <c r="E998" s="219"/>
      <c r="F998" s="223" t="s">
        <v>23</v>
      </c>
      <c r="G998" s="223" t="s">
        <v>87</v>
      </c>
      <c r="H998" s="223" t="s">
        <v>212</v>
      </c>
      <c r="I998" s="223" t="s">
        <v>80</v>
      </c>
      <c r="J998" s="223" t="s">
        <v>81</v>
      </c>
      <c r="K998" s="87"/>
    </row>
    <row r="999" spans="1:11">
      <c r="A999" s="222"/>
      <c r="B999" s="222"/>
      <c r="C999" s="203"/>
      <c r="D999" s="203"/>
      <c r="E999" s="218"/>
      <c r="F999" s="204" t="s">
        <v>34</v>
      </c>
      <c r="G999" s="204" t="s">
        <v>34</v>
      </c>
      <c r="H999" s="203" t="s">
        <v>34</v>
      </c>
      <c r="I999" s="204" t="s">
        <v>77</v>
      </c>
      <c r="J999" s="204" t="s">
        <v>77</v>
      </c>
      <c r="K999" s="87"/>
    </row>
    <row r="1000" spans="1:11">
      <c r="A1000" s="202"/>
      <c r="B1000" s="200"/>
      <c r="C1000" s="200"/>
      <c r="D1000" s="200"/>
      <c r="E1000" s="217"/>
      <c r="F1000" s="205"/>
      <c r="G1000" s="205"/>
      <c r="H1000" s="201"/>
      <c r="I1000" s="205"/>
      <c r="J1000" s="205"/>
      <c r="K1000" s="87"/>
    </row>
    <row r="1001" spans="1:11">
      <c r="A1001" s="205" t="str">
        <f>A965</f>
        <v>LC-31</v>
      </c>
      <c r="B1001" s="201" t="str">
        <f>B965</f>
        <v>LC-22 + Seismic Sx=1,Sz=0.3,Sy=0.3</v>
      </c>
      <c r="C1001" s="201"/>
      <c r="D1001" s="201"/>
      <c r="E1001" s="219"/>
      <c r="F1001" s="205">
        <f>SUMPRODUCT(F968:F994,$K$968:$K$994)</f>
        <v>914.27885242830223</v>
      </c>
      <c r="G1001" s="1080">
        <f>SUMPRODUCT(G968:G994,$K$968:$K$994)</f>
        <v>182.4783170283149</v>
      </c>
      <c r="H1001" s="1080">
        <f>SUMPRODUCT(H968:H994,$K$968:$K$994)</f>
        <v>55.541565951631426</v>
      </c>
      <c r="I1001" s="1080">
        <f>SUMPRODUCT(I968:I994,$K$968:$K$994)</f>
        <v>1054.5599446793913</v>
      </c>
      <c r="J1001" s="1080">
        <f>SUMPRODUCT(J968:J994,$K$968:$K$994)</f>
        <v>329.36246781997829</v>
      </c>
      <c r="K1001" s="87"/>
    </row>
    <row r="1002" spans="1:11">
      <c r="A1002" s="204"/>
      <c r="B1002" s="203"/>
      <c r="C1002" s="203"/>
      <c r="D1002" s="203"/>
      <c r="E1002" s="218"/>
      <c r="F1002" s="204"/>
      <c r="G1002" s="204"/>
      <c r="H1002" s="203"/>
      <c r="I1002" s="204"/>
      <c r="J1002" s="204"/>
      <c r="K1002" s="87"/>
    </row>
    <row r="1005" spans="1:11">
      <c r="A1005" s="1318" t="str">
        <f>K1005</f>
        <v>LC-32</v>
      </c>
      <c r="B1005" s="24" t="str">
        <f>VLOOKUP(A1005,LC_DEF_2!A3:B42,2,FALSE)</f>
        <v>LC-22 + Seismic Sx=0.3,Sz=1,Sy=0.3</v>
      </c>
      <c r="C1005" s="24"/>
      <c r="D1005" s="24"/>
      <c r="E1005" s="21"/>
      <c r="F1005" s="1635" t="s">
        <v>742</v>
      </c>
      <c r="G1005" s="1635"/>
      <c r="H1005" s="1635"/>
      <c r="I1005" s="1635"/>
      <c r="J1005" s="1600"/>
      <c r="K1005" s="413" t="s">
        <v>1169</v>
      </c>
    </row>
    <row r="1006" spans="1:11" ht="18">
      <c r="A1006" s="25" t="s">
        <v>73</v>
      </c>
      <c r="B1006" s="26" t="s">
        <v>74</v>
      </c>
      <c r="C1006" s="26"/>
      <c r="D1006" s="26"/>
      <c r="E1006" s="27"/>
      <c r="F1006" s="32" t="s">
        <v>23</v>
      </c>
      <c r="G1006" s="33" t="s">
        <v>87</v>
      </c>
      <c r="H1006" s="33" t="s">
        <v>212</v>
      </c>
      <c r="I1006" s="33" t="s">
        <v>80</v>
      </c>
      <c r="J1006" s="33" t="s">
        <v>81</v>
      </c>
      <c r="K1006" s="376"/>
    </row>
    <row r="1007" spans="1:11">
      <c r="A1007" s="28"/>
      <c r="B1007" s="15"/>
      <c r="C1007" s="15"/>
      <c r="D1007" s="15"/>
      <c r="E1007" s="22"/>
      <c r="F1007" s="21" t="s">
        <v>34</v>
      </c>
      <c r="G1007" s="36" t="s">
        <v>34</v>
      </c>
      <c r="H1007" s="36" t="s">
        <v>34</v>
      </c>
      <c r="I1007" s="36" t="s">
        <v>77</v>
      </c>
      <c r="J1007" s="36" t="s">
        <v>77</v>
      </c>
      <c r="K1007" s="376"/>
    </row>
    <row r="1008" spans="1:11">
      <c r="A1008" s="25" t="s">
        <v>88</v>
      </c>
      <c r="B1008" s="26" t="s">
        <v>75</v>
      </c>
      <c r="C1008" s="26"/>
      <c r="D1008" s="26"/>
      <c r="E1008" s="27"/>
      <c r="F1008" s="195">
        <f>SF!F14</f>
        <v>365.08803866482532</v>
      </c>
      <c r="G1008" s="210"/>
      <c r="H1008" s="34"/>
      <c r="I1008" s="195">
        <f>SF!I14</f>
        <v>0</v>
      </c>
      <c r="J1008" s="195">
        <f>SF!J14</f>
        <v>0</v>
      </c>
      <c r="K1008" s="268">
        <v>1</v>
      </c>
    </row>
    <row r="1009" spans="1:11">
      <c r="A1009" s="25" t="s">
        <v>90</v>
      </c>
      <c r="B1009" s="26" t="s">
        <v>249</v>
      </c>
      <c r="C1009" s="26"/>
      <c r="D1009" s="26"/>
      <c r="E1009" s="27"/>
      <c r="F1009" s="195">
        <f>SF!F16</f>
        <v>36.639026644707663</v>
      </c>
      <c r="G1009" s="210"/>
      <c r="H1009" s="34"/>
      <c r="I1009" s="195">
        <f>SF!I16</f>
        <v>0</v>
      </c>
      <c r="J1009" s="195">
        <f>SF!J16</f>
        <v>0</v>
      </c>
      <c r="K1009" s="268">
        <v>1</v>
      </c>
    </row>
    <row r="1010" spans="1:11">
      <c r="A1010" s="25" t="s">
        <v>250</v>
      </c>
      <c r="B1010" s="26" t="s">
        <v>967</v>
      </c>
      <c r="C1010" s="26"/>
      <c r="D1010" s="26"/>
      <c r="E1010" s="27"/>
      <c r="F1010" s="195">
        <f>SF!F19</f>
        <v>230</v>
      </c>
      <c r="G1010" s="27"/>
      <c r="H1010" s="34"/>
      <c r="I1010" s="195">
        <f>SF!I19</f>
        <v>-115</v>
      </c>
      <c r="J1010" s="195">
        <f>SF!J19</f>
        <v>0</v>
      </c>
      <c r="K1010" s="376">
        <v>1</v>
      </c>
    </row>
    <row r="1011" spans="1:11">
      <c r="A1011" s="25" t="s">
        <v>251</v>
      </c>
      <c r="B1011" s="26" t="s">
        <v>968</v>
      </c>
      <c r="C1011" s="26"/>
      <c r="D1011" s="26"/>
      <c r="E1011" s="27"/>
      <c r="F1011" s="195">
        <f>SF!F20</f>
        <v>20.660000000000004</v>
      </c>
      <c r="G1011" s="27"/>
      <c r="H1011" s="34"/>
      <c r="I1011" s="195">
        <f>SF!I20</f>
        <v>-10.330000000000002</v>
      </c>
      <c r="J1011" s="195">
        <f>SF!J20</f>
        <v>0</v>
      </c>
      <c r="K1011" s="376">
        <v>1</v>
      </c>
    </row>
    <row r="1012" spans="1:11">
      <c r="A1012" s="25" t="s">
        <v>97</v>
      </c>
      <c r="B1012" s="26" t="s">
        <v>969</v>
      </c>
      <c r="C1012" s="26"/>
      <c r="D1012" s="26"/>
      <c r="E1012" s="27"/>
      <c r="F1012" s="195">
        <f>SF!F21</f>
        <v>42</v>
      </c>
      <c r="G1012" s="27"/>
      <c r="H1012" s="34"/>
      <c r="I1012" s="195">
        <f>SF!I21</f>
        <v>-14.858499999999999</v>
      </c>
      <c r="J1012" s="195">
        <f>SF!J21</f>
        <v>0</v>
      </c>
      <c r="K1012" s="376">
        <v>1</v>
      </c>
    </row>
    <row r="1013" spans="1:11">
      <c r="A1013" s="25" t="s">
        <v>250</v>
      </c>
      <c r="B1013" s="26" t="s">
        <v>970</v>
      </c>
      <c r="C1013" s="26"/>
      <c r="D1013" s="26"/>
      <c r="E1013" s="27"/>
      <c r="F1013" s="195">
        <f>SF!F23</f>
        <v>230</v>
      </c>
      <c r="G1013" s="27"/>
      <c r="H1013" s="34"/>
      <c r="I1013" s="195">
        <f>SF!I23</f>
        <v>115</v>
      </c>
      <c r="J1013" s="195">
        <f>SF!J23</f>
        <v>0</v>
      </c>
      <c r="K1013" s="376">
        <v>1</v>
      </c>
    </row>
    <row r="1014" spans="1:11">
      <c r="A1014" s="25" t="s">
        <v>251</v>
      </c>
      <c r="B1014" s="26" t="s">
        <v>971</v>
      </c>
      <c r="C1014" s="26"/>
      <c r="D1014" s="26"/>
      <c r="E1014" s="27"/>
      <c r="F1014" s="195">
        <f>SF!F24</f>
        <v>20.660000000000004</v>
      </c>
      <c r="G1014" s="27"/>
      <c r="H1014" s="34"/>
      <c r="I1014" s="195">
        <f>SF!I24</f>
        <v>10.330000000000002</v>
      </c>
      <c r="J1014" s="195">
        <f>SF!J24</f>
        <v>0</v>
      </c>
      <c r="K1014" s="268">
        <v>1</v>
      </c>
    </row>
    <row r="1015" spans="1:11">
      <c r="A1015" s="25" t="s">
        <v>97</v>
      </c>
      <c r="B1015" s="26" t="s">
        <v>972</v>
      </c>
      <c r="C1015" s="26"/>
      <c r="D1015" s="26"/>
      <c r="E1015" s="27"/>
      <c r="F1015" s="195">
        <f>SF!F25</f>
        <v>42</v>
      </c>
      <c r="G1015" s="27"/>
      <c r="H1015" s="34"/>
      <c r="I1015" s="195">
        <f>SF!I25</f>
        <v>14.858499999999999</v>
      </c>
      <c r="J1015" s="195">
        <f>SF!J25</f>
        <v>0</v>
      </c>
      <c r="K1015" s="376">
        <v>1</v>
      </c>
    </row>
    <row r="1016" spans="1:11">
      <c r="A1016" s="25" t="s">
        <v>986</v>
      </c>
      <c r="B1016" s="163" t="s">
        <v>955</v>
      </c>
      <c r="C1016" s="26"/>
      <c r="D1016" s="26"/>
      <c r="E1016" s="27"/>
      <c r="F1016" s="34"/>
      <c r="G1016" s="195">
        <f>SF!G40</f>
        <v>5.8532000000000011</v>
      </c>
      <c r="H1016" s="34"/>
      <c r="I1016" s="195">
        <f>SF!I40</f>
        <v>48.464496000000018</v>
      </c>
      <c r="J1016" s="34"/>
      <c r="K1016" s="376">
        <v>1</v>
      </c>
    </row>
    <row r="1017" spans="1:11">
      <c r="A1017" s="686" t="s">
        <v>1128</v>
      </c>
      <c r="B1017" s="687"/>
      <c r="C1017" s="688"/>
      <c r="D1017" s="688"/>
      <c r="E1017" s="689"/>
      <c r="F1017" s="696">
        <f>SF!F43</f>
        <v>-103.56143333397094</v>
      </c>
      <c r="G1017" s="689"/>
      <c r="H1017" s="690"/>
      <c r="I1017" s="690"/>
      <c r="J1017" s="690"/>
      <c r="K1017" s="376">
        <v>1</v>
      </c>
    </row>
    <row r="1018" spans="1:11">
      <c r="A1018" s="686" t="s">
        <v>1131</v>
      </c>
      <c r="B1018" s="687"/>
      <c r="C1018" s="688"/>
      <c r="D1018" s="688"/>
      <c r="E1018" s="689"/>
      <c r="F1018" s="690"/>
      <c r="G1018" s="696">
        <f>SF!G47</f>
        <v>3.2856246869242693</v>
      </c>
      <c r="H1018" s="696">
        <f>SF!H47</f>
        <v>3.5397182492142409</v>
      </c>
      <c r="I1018" s="696">
        <f>SF!I47</f>
        <v>7.0628515103002814</v>
      </c>
      <c r="J1018" s="696">
        <f>SF!J47</f>
        <v>5.3297614737052639</v>
      </c>
      <c r="K1018" s="376">
        <v>1</v>
      </c>
    </row>
    <row r="1019" spans="1:11">
      <c r="A1019" s="278" t="s">
        <v>1132</v>
      </c>
      <c r="B1019" s="262"/>
      <c r="C1019" s="262"/>
      <c r="D1019" s="262"/>
      <c r="E1019" s="263"/>
      <c r="F1019" s="279"/>
      <c r="G1019" s="280"/>
      <c r="H1019" s="264"/>
      <c r="I1019" s="279"/>
      <c r="J1019" s="264"/>
      <c r="K1019" s="650">
        <v>0.3</v>
      </c>
    </row>
    <row r="1020" spans="1:11">
      <c r="A1020" s="25" t="s">
        <v>991</v>
      </c>
      <c r="B1020" s="26" t="s">
        <v>989</v>
      </c>
      <c r="C1020" s="26"/>
      <c r="D1020" s="26"/>
      <c r="E1020" s="27"/>
      <c r="F1020" s="197"/>
      <c r="G1020" s="172">
        <f>SF!G52</f>
        <v>94.821839999999995</v>
      </c>
      <c r="H1020" s="34"/>
      <c r="I1020" s="172">
        <f>SF!I52</f>
        <v>785.12483520000001</v>
      </c>
      <c r="J1020" s="89"/>
      <c r="K1020" s="268">
        <v>0.3</v>
      </c>
    </row>
    <row r="1021" spans="1:11">
      <c r="A1021" s="25" t="s">
        <v>217</v>
      </c>
      <c r="B1021" s="26" t="s">
        <v>211</v>
      </c>
      <c r="C1021" s="26"/>
      <c r="D1021" s="26"/>
      <c r="E1021" s="27"/>
      <c r="F1021" s="197"/>
      <c r="G1021" s="196">
        <f>SF!G58</f>
        <v>26.798532263701709</v>
      </c>
      <c r="H1021" s="199"/>
      <c r="I1021" s="172">
        <f>SF!I58</f>
        <v>147.28381289471153</v>
      </c>
      <c r="J1021" s="195"/>
      <c r="K1021" s="376">
        <v>0.3</v>
      </c>
    </row>
    <row r="1022" spans="1:11">
      <c r="A1022" s="686" t="s">
        <v>1472</v>
      </c>
      <c r="B1022" s="688" t="s">
        <v>1045</v>
      </c>
      <c r="C1022" s="688"/>
      <c r="D1022" s="688"/>
      <c r="E1022" s="689"/>
      <c r="F1022" s="620"/>
      <c r="G1022" s="695">
        <f>SF!G61</f>
        <v>32.345729999999996</v>
      </c>
      <c r="H1022" s="690"/>
      <c r="I1022" s="695">
        <f>SF!I61</f>
        <v>29.111156999999999</v>
      </c>
      <c r="J1022" s="269"/>
      <c r="K1022" s="376">
        <v>0.3</v>
      </c>
    </row>
    <row r="1023" spans="1:11">
      <c r="A1023" s="686" t="s">
        <v>1139</v>
      </c>
      <c r="B1023" s="688" t="s">
        <v>1140</v>
      </c>
      <c r="C1023" s="688"/>
      <c r="D1023" s="688"/>
      <c r="E1023" s="689"/>
      <c r="F1023" s="620"/>
      <c r="G1023" s="695">
        <f>SF!G63</f>
        <v>19.373390077688924</v>
      </c>
      <c r="H1023" s="690"/>
      <c r="I1023" s="695">
        <f>SF!I63</f>
        <v>37.512792074379419</v>
      </c>
      <c r="J1023" s="269"/>
      <c r="K1023" s="376">
        <v>0.3</v>
      </c>
    </row>
    <row r="1024" spans="1:11">
      <c r="A1024" s="278" t="s">
        <v>1135</v>
      </c>
      <c r="B1024" s="262"/>
      <c r="C1024" s="262"/>
      <c r="D1024" s="262"/>
      <c r="E1024" s="263"/>
      <c r="F1024" s="279"/>
      <c r="G1024" s="280"/>
      <c r="H1024" s="264"/>
      <c r="I1024" s="279"/>
      <c r="J1024" s="264"/>
      <c r="K1024" s="708">
        <v>1</v>
      </c>
    </row>
    <row r="1025" spans="1:11">
      <c r="A1025" s="25" t="s">
        <v>997</v>
      </c>
      <c r="B1025" s="26" t="s">
        <v>988</v>
      </c>
      <c r="C1025" s="26"/>
      <c r="D1025" s="26"/>
      <c r="E1025" s="27"/>
      <c r="F1025" s="197"/>
      <c r="G1025" s="211"/>
      <c r="H1025" s="254">
        <f>SF!H67</f>
        <v>47.410919999999997</v>
      </c>
      <c r="I1025" s="197"/>
      <c r="J1025" s="254">
        <f>SF!J67</f>
        <v>433.10062959257624</v>
      </c>
      <c r="K1025" s="268">
        <v>1</v>
      </c>
    </row>
    <row r="1026" spans="1:11">
      <c r="A1026" s="25" t="s">
        <v>998</v>
      </c>
      <c r="B1026" s="26" t="s">
        <v>989</v>
      </c>
      <c r="C1026" s="26"/>
      <c r="D1026" s="26"/>
      <c r="E1026" s="27"/>
      <c r="F1026" s="197"/>
      <c r="G1026" s="211"/>
      <c r="H1026" s="254">
        <f>SF!H68</f>
        <v>47.410919999999997</v>
      </c>
      <c r="I1026" s="197"/>
      <c r="J1026" s="254">
        <f>SF!J68</f>
        <v>433.10062959257624</v>
      </c>
      <c r="K1026" s="376">
        <v>1</v>
      </c>
    </row>
    <row r="1027" spans="1:11">
      <c r="A1027" s="25" t="s">
        <v>1006</v>
      </c>
      <c r="B1027" s="26" t="s">
        <v>211</v>
      </c>
      <c r="C1027" s="26"/>
      <c r="D1027" s="26"/>
      <c r="E1027" s="27"/>
      <c r="F1027" s="197"/>
      <c r="G1027" s="195"/>
      <c r="H1027" s="254">
        <f>SF!H78</f>
        <v>26.798532263701709</v>
      </c>
      <c r="I1027" s="195"/>
      <c r="J1027" s="254">
        <f>SF!J78</f>
        <v>147.28381289471153</v>
      </c>
      <c r="K1027" s="376">
        <v>1</v>
      </c>
    </row>
    <row r="1028" spans="1:11">
      <c r="A1028" s="686" t="s">
        <v>1138</v>
      </c>
      <c r="B1028" s="688" t="s">
        <v>1045</v>
      </c>
      <c r="C1028" s="688"/>
      <c r="D1028" s="688"/>
      <c r="E1028" s="689"/>
      <c r="F1028" s="620"/>
      <c r="G1028" s="711"/>
      <c r="H1028" s="989">
        <f>SF!H81</f>
        <v>32.345729999999996</v>
      </c>
      <c r="I1028" s="696"/>
      <c r="J1028" s="989">
        <f>SF!J81</f>
        <v>29.111156999999999</v>
      </c>
      <c r="K1028" s="376">
        <v>1</v>
      </c>
    </row>
    <row r="1029" spans="1:11">
      <c r="A1029" s="686" t="s">
        <v>1138</v>
      </c>
      <c r="B1029" s="688" t="s">
        <v>1141</v>
      </c>
      <c r="C1029" s="26"/>
      <c r="D1029" s="26"/>
      <c r="E1029" s="27"/>
      <c r="F1029" s="34"/>
      <c r="G1029" s="27"/>
      <c r="H1029" s="989">
        <f>SF!H83</f>
        <v>19.373390077688924</v>
      </c>
      <c r="I1029" s="696"/>
      <c r="J1029" s="989">
        <f>SF!J83</f>
        <v>37.512792074379419</v>
      </c>
      <c r="K1029" s="376">
        <v>1</v>
      </c>
    </row>
    <row r="1030" spans="1:11">
      <c r="A1030" s="290" t="s">
        <v>1137</v>
      </c>
      <c r="B1030" s="11"/>
      <c r="C1030" s="11"/>
      <c r="D1030" s="11"/>
      <c r="E1030" s="191"/>
      <c r="F1030" s="197"/>
      <c r="G1030" s="211"/>
      <c r="H1030" s="89"/>
      <c r="I1030" s="197"/>
      <c r="J1030" s="89"/>
      <c r="K1030" s="994">
        <v>0.3</v>
      </c>
    </row>
    <row r="1031" spans="1:11">
      <c r="A1031" s="25" t="s">
        <v>1007</v>
      </c>
      <c r="B1031" s="26" t="s">
        <v>988</v>
      </c>
      <c r="C1031" s="26"/>
      <c r="D1031" s="26"/>
      <c r="E1031" s="27"/>
      <c r="F1031" s="196">
        <f>SF!F87</f>
        <v>31.607279999999999</v>
      </c>
      <c r="G1031" s="211"/>
      <c r="H1031" s="34"/>
      <c r="I1031" s="196">
        <f>SF!I87</f>
        <v>-15.140358000000003</v>
      </c>
      <c r="J1031" s="196">
        <f>SF!J87</f>
        <v>0</v>
      </c>
      <c r="K1031" s="376">
        <v>0.3</v>
      </c>
    </row>
    <row r="1032" spans="1:11">
      <c r="A1032" s="25" t="s">
        <v>1008</v>
      </c>
      <c r="B1032" s="26" t="s">
        <v>989</v>
      </c>
      <c r="C1032" s="26"/>
      <c r="D1032" s="26"/>
      <c r="E1032" s="27"/>
      <c r="F1032" s="196">
        <f>SF!F88</f>
        <v>31.607279999999999</v>
      </c>
      <c r="G1032" s="211"/>
      <c r="H1032" s="34"/>
      <c r="I1032" s="196">
        <f>SF!I88</f>
        <v>15.140358000000003</v>
      </c>
      <c r="J1032" s="196">
        <f>SF!J88</f>
        <v>0</v>
      </c>
      <c r="K1032" s="268">
        <v>0.3</v>
      </c>
    </row>
    <row r="1033" spans="1:11">
      <c r="A1033" s="25" t="s">
        <v>1011</v>
      </c>
      <c r="B1033" s="26" t="s">
        <v>211</v>
      </c>
      <c r="C1033" s="26"/>
      <c r="D1033" s="26"/>
      <c r="E1033" s="27"/>
      <c r="F1033" s="196">
        <f>SF!F98</f>
        <v>17.865688175801139</v>
      </c>
      <c r="G1033" s="211"/>
      <c r="H1033" s="197"/>
      <c r="I1033" s="196">
        <f>SF!I98</f>
        <v>0</v>
      </c>
      <c r="J1033" s="196">
        <f>SF!J98</f>
        <v>0</v>
      </c>
      <c r="K1033" s="268">
        <v>0.3</v>
      </c>
    </row>
    <row r="1034" spans="1:11">
      <c r="A1034" s="686" t="s">
        <v>1473</v>
      </c>
      <c r="B1034" s="688" t="s">
        <v>1045</v>
      </c>
      <c r="C1034" s="688"/>
      <c r="D1034" s="688"/>
      <c r="E1034" s="689"/>
      <c r="F1034" s="695">
        <f>SF!F101</f>
        <v>21.56382</v>
      </c>
      <c r="G1034" s="621"/>
      <c r="H1034" s="620"/>
      <c r="I1034" s="695">
        <f>SF!I101</f>
        <v>0</v>
      </c>
      <c r="J1034" s="695">
        <f>SF!J101</f>
        <v>0</v>
      </c>
      <c r="K1034" s="268">
        <v>0.3</v>
      </c>
    </row>
    <row r="1035" spans="1:11">
      <c r="A1035" s="253"/>
      <c r="B1035" s="15"/>
      <c r="C1035" s="15"/>
      <c r="D1035" s="15"/>
      <c r="E1035" s="22"/>
      <c r="F1035" s="212"/>
      <c r="G1035" s="213"/>
      <c r="H1035" s="198"/>
      <c r="I1035" s="198"/>
      <c r="J1035" s="58"/>
      <c r="K1035" s="379"/>
    </row>
    <row r="1036" spans="1:11">
      <c r="A1036" s="46"/>
      <c r="B1036" s="46"/>
      <c r="C1036" s="46"/>
      <c r="D1036" s="46"/>
      <c r="E1036" s="46"/>
      <c r="F1036" s="46"/>
      <c r="G1036" s="46"/>
      <c r="H1036" s="46"/>
      <c r="I1036" s="46"/>
      <c r="J1036" s="46"/>
      <c r="K1036" s="87"/>
    </row>
    <row r="1037" spans="1:11">
      <c r="A1037" s="220" t="s">
        <v>73</v>
      </c>
      <c r="B1037" s="220" t="s">
        <v>74</v>
      </c>
      <c r="C1037" s="200"/>
      <c r="D1037" s="200"/>
      <c r="E1037" s="217"/>
      <c r="F1037" s="1636" t="s">
        <v>72</v>
      </c>
      <c r="G1037" s="1637"/>
      <c r="H1037" s="1637"/>
      <c r="I1037" s="1637"/>
      <c r="J1037" s="1638"/>
      <c r="K1037" s="87"/>
    </row>
    <row r="1038" spans="1:11" ht="18">
      <c r="A1038" s="221"/>
      <c r="B1038" s="221"/>
      <c r="C1038" s="201"/>
      <c r="D1038" s="201"/>
      <c r="E1038" s="219"/>
      <c r="F1038" s="223" t="s">
        <v>23</v>
      </c>
      <c r="G1038" s="223" t="s">
        <v>87</v>
      </c>
      <c r="H1038" s="223" t="s">
        <v>212</v>
      </c>
      <c r="I1038" s="223" t="s">
        <v>80</v>
      </c>
      <c r="J1038" s="223" t="s">
        <v>81</v>
      </c>
      <c r="K1038" s="87"/>
    </row>
    <row r="1039" spans="1:11">
      <c r="A1039" s="222"/>
      <c r="B1039" s="222"/>
      <c r="C1039" s="203"/>
      <c r="D1039" s="203"/>
      <c r="E1039" s="218"/>
      <c r="F1039" s="204" t="s">
        <v>34</v>
      </c>
      <c r="G1039" s="204" t="s">
        <v>34</v>
      </c>
      <c r="H1039" s="203" t="s">
        <v>34</v>
      </c>
      <c r="I1039" s="204" t="s">
        <v>77</v>
      </c>
      <c r="J1039" s="204" t="s">
        <v>77</v>
      </c>
      <c r="K1039" s="87"/>
    </row>
    <row r="1040" spans="1:11">
      <c r="A1040" s="202"/>
      <c r="B1040" s="200"/>
      <c r="C1040" s="200"/>
      <c r="D1040" s="200"/>
      <c r="E1040" s="217"/>
      <c r="F1040" s="205"/>
      <c r="G1040" s="205"/>
      <c r="H1040" s="201"/>
      <c r="I1040" s="205"/>
      <c r="J1040" s="205"/>
      <c r="K1040" s="87"/>
    </row>
    <row r="1041" spans="1:11">
      <c r="A1041" s="205" t="str">
        <f>A1005</f>
        <v>LC-32</v>
      </c>
      <c r="B1041" s="201" t="str">
        <f>B1005</f>
        <v>LC-22 + Seismic Sx=0.3,Sz=1,Sy=0.3</v>
      </c>
      <c r="C1041" s="201"/>
      <c r="D1041" s="201"/>
      <c r="E1041" s="219"/>
      <c r="F1041" s="205">
        <f>SUMPRODUCT(F1008:F1034,$K$1008:$K$1034)</f>
        <v>914.27885242830223</v>
      </c>
      <c r="G1041" s="1080">
        <f>SUMPRODUCT(G1008:G1034,$K$1008:$K$1034)</f>
        <v>61.140672389341454</v>
      </c>
      <c r="H1041" s="1080">
        <f>SUMPRODUCT(H1008:H1034,$K$1008:$K$1034)</f>
        <v>176.87921059060486</v>
      </c>
      <c r="I1041" s="1080">
        <f>SUMPRODUCT(I1008:I1034,$K$1008:$K$1034)</f>
        <v>355.23712666102756</v>
      </c>
      <c r="J1041" s="1080">
        <f>SUMPRODUCT(J1008:J1034,$K$1008:$K$1034)</f>
        <v>1085.4387826279487</v>
      </c>
      <c r="K1041" s="87"/>
    </row>
    <row r="1042" spans="1:11">
      <c r="A1042" s="204"/>
      <c r="B1042" s="203"/>
      <c r="C1042" s="203"/>
      <c r="D1042" s="203"/>
      <c r="E1042" s="218"/>
      <c r="F1042" s="204"/>
      <c r="G1042" s="204"/>
      <c r="H1042" s="203"/>
      <c r="I1042" s="204"/>
      <c r="J1042" s="204"/>
      <c r="K1042" s="87"/>
    </row>
    <row r="1045" spans="1:11">
      <c r="A1045" s="1318" t="str">
        <f>K1045</f>
        <v>LC-33</v>
      </c>
      <c r="B1045" s="24" t="str">
        <f>VLOOKUP(A1045,LC_DEF_2!A3:B42,2,FALSE)</f>
        <v>LC-23 + Seismic Sx=1,Sz=0.3,Sy=-0.3</v>
      </c>
      <c r="C1045" s="24"/>
      <c r="D1045" s="24"/>
      <c r="E1045" s="21"/>
      <c r="F1045" s="1635" t="s">
        <v>742</v>
      </c>
      <c r="G1045" s="1635"/>
      <c r="H1045" s="1635"/>
      <c r="I1045" s="1635"/>
      <c r="J1045" s="1600"/>
      <c r="K1045" s="413" t="s">
        <v>1170</v>
      </c>
    </row>
    <row r="1046" spans="1:11" ht="18">
      <c r="A1046" s="25" t="s">
        <v>73</v>
      </c>
      <c r="B1046" s="26" t="s">
        <v>74</v>
      </c>
      <c r="C1046" s="26"/>
      <c r="D1046" s="26"/>
      <c r="E1046" s="27"/>
      <c r="F1046" s="32" t="s">
        <v>23</v>
      </c>
      <c r="G1046" s="33" t="s">
        <v>87</v>
      </c>
      <c r="H1046" s="33" t="s">
        <v>212</v>
      </c>
      <c r="I1046" s="33" t="s">
        <v>80</v>
      </c>
      <c r="J1046" s="33" t="s">
        <v>81</v>
      </c>
      <c r="K1046" s="376"/>
    </row>
    <row r="1047" spans="1:11">
      <c r="A1047" s="28"/>
      <c r="B1047" s="15"/>
      <c r="C1047" s="15"/>
      <c r="D1047" s="15"/>
      <c r="E1047" s="22"/>
      <c r="F1047" s="21" t="s">
        <v>34</v>
      </c>
      <c r="G1047" s="36" t="s">
        <v>34</v>
      </c>
      <c r="H1047" s="36" t="s">
        <v>34</v>
      </c>
      <c r="I1047" s="36" t="s">
        <v>77</v>
      </c>
      <c r="J1047" s="36" t="s">
        <v>77</v>
      </c>
      <c r="K1047" s="376"/>
    </row>
    <row r="1048" spans="1:11">
      <c r="A1048" s="25" t="s">
        <v>88</v>
      </c>
      <c r="B1048" s="26" t="s">
        <v>75</v>
      </c>
      <c r="C1048" s="26"/>
      <c r="D1048" s="26"/>
      <c r="E1048" s="27"/>
      <c r="F1048" s="195">
        <f>SF!F14</f>
        <v>365.08803866482532</v>
      </c>
      <c r="G1048" s="210"/>
      <c r="H1048" s="34"/>
      <c r="I1048" s="195">
        <f>SF!I14</f>
        <v>0</v>
      </c>
      <c r="J1048" s="195">
        <f>SF!J14</f>
        <v>0</v>
      </c>
      <c r="K1048" s="268">
        <v>1</v>
      </c>
    </row>
    <row r="1049" spans="1:11">
      <c r="A1049" s="25" t="s">
        <v>90</v>
      </c>
      <c r="B1049" s="26" t="s">
        <v>249</v>
      </c>
      <c r="C1049" s="26"/>
      <c r="D1049" s="26"/>
      <c r="E1049" s="27"/>
      <c r="F1049" s="195">
        <f>SF!F16</f>
        <v>36.639026644707663</v>
      </c>
      <c r="G1049" s="210"/>
      <c r="H1049" s="34"/>
      <c r="I1049" s="195">
        <f>SF!I16</f>
        <v>0</v>
      </c>
      <c r="J1049" s="195">
        <f>SF!J16</f>
        <v>0</v>
      </c>
      <c r="K1049" s="268">
        <v>1</v>
      </c>
    </row>
    <row r="1050" spans="1:11">
      <c r="A1050" s="25" t="s">
        <v>250</v>
      </c>
      <c r="B1050" s="26" t="s">
        <v>967</v>
      </c>
      <c r="C1050" s="26"/>
      <c r="D1050" s="26"/>
      <c r="E1050" s="27"/>
      <c r="F1050" s="195">
        <f>SF!F19</f>
        <v>230</v>
      </c>
      <c r="G1050" s="27"/>
      <c r="H1050" s="34"/>
      <c r="I1050" s="195">
        <f>SF!I19</f>
        <v>-115</v>
      </c>
      <c r="J1050" s="195">
        <f>SF!J19</f>
        <v>0</v>
      </c>
      <c r="K1050" s="376">
        <v>1</v>
      </c>
    </row>
    <row r="1051" spans="1:11">
      <c r="A1051" s="25" t="s">
        <v>251</v>
      </c>
      <c r="B1051" s="26" t="s">
        <v>968</v>
      </c>
      <c r="C1051" s="26"/>
      <c r="D1051" s="26"/>
      <c r="E1051" s="27"/>
      <c r="F1051" s="195">
        <f>SF!F20</f>
        <v>20.660000000000004</v>
      </c>
      <c r="G1051" s="27"/>
      <c r="H1051" s="34"/>
      <c r="I1051" s="195">
        <f>SF!I20</f>
        <v>-10.330000000000002</v>
      </c>
      <c r="J1051" s="195">
        <f>SF!J20</f>
        <v>0</v>
      </c>
      <c r="K1051" s="376">
        <v>1</v>
      </c>
    </row>
    <row r="1052" spans="1:11">
      <c r="A1052" s="25" t="s">
        <v>97</v>
      </c>
      <c r="B1052" s="26" t="s">
        <v>969</v>
      </c>
      <c r="C1052" s="26"/>
      <c r="D1052" s="26"/>
      <c r="E1052" s="27"/>
      <c r="F1052" s="195">
        <f>SF!F21</f>
        <v>42</v>
      </c>
      <c r="G1052" s="27"/>
      <c r="H1052" s="34"/>
      <c r="I1052" s="195">
        <f>SF!I21</f>
        <v>-14.858499999999999</v>
      </c>
      <c r="J1052" s="195">
        <f>SF!J21</f>
        <v>0</v>
      </c>
      <c r="K1052" s="376">
        <v>1</v>
      </c>
    </row>
    <row r="1053" spans="1:11">
      <c r="A1053" s="25" t="s">
        <v>250</v>
      </c>
      <c r="B1053" s="26" t="s">
        <v>970</v>
      </c>
      <c r="C1053" s="26"/>
      <c r="D1053" s="26"/>
      <c r="E1053" s="27"/>
      <c r="F1053" s="195">
        <f>SF!F23</f>
        <v>230</v>
      </c>
      <c r="G1053" s="27"/>
      <c r="H1053" s="34"/>
      <c r="I1053" s="195">
        <f>SF!I23</f>
        <v>115</v>
      </c>
      <c r="J1053" s="195">
        <f>SF!J23</f>
        <v>0</v>
      </c>
      <c r="K1053" s="376">
        <v>1</v>
      </c>
    </row>
    <row r="1054" spans="1:11">
      <c r="A1054" s="25" t="s">
        <v>251</v>
      </c>
      <c r="B1054" s="26" t="s">
        <v>971</v>
      </c>
      <c r="C1054" s="26"/>
      <c r="D1054" s="26"/>
      <c r="E1054" s="27"/>
      <c r="F1054" s="195">
        <f>SF!F24</f>
        <v>20.660000000000004</v>
      </c>
      <c r="G1054" s="27"/>
      <c r="H1054" s="34"/>
      <c r="I1054" s="195">
        <f>SF!I24</f>
        <v>10.330000000000002</v>
      </c>
      <c r="J1054" s="195">
        <f>SF!J24</f>
        <v>0</v>
      </c>
      <c r="K1054" s="268">
        <v>1</v>
      </c>
    </row>
    <row r="1055" spans="1:11">
      <c r="A1055" s="25" t="s">
        <v>97</v>
      </c>
      <c r="B1055" s="26" t="s">
        <v>972</v>
      </c>
      <c r="C1055" s="26"/>
      <c r="D1055" s="26"/>
      <c r="E1055" s="27"/>
      <c r="F1055" s="195">
        <f>SF!F25</f>
        <v>42</v>
      </c>
      <c r="G1055" s="27"/>
      <c r="H1055" s="34"/>
      <c r="I1055" s="195">
        <f>SF!I25</f>
        <v>14.858499999999999</v>
      </c>
      <c r="J1055" s="195">
        <f>SF!J25</f>
        <v>0</v>
      </c>
      <c r="K1055" s="376">
        <v>1</v>
      </c>
    </row>
    <row r="1056" spans="1:11">
      <c r="A1056" s="25" t="s">
        <v>976</v>
      </c>
      <c r="B1056" s="26" t="s">
        <v>978</v>
      </c>
      <c r="C1056" s="26"/>
      <c r="D1056" s="26"/>
      <c r="E1056" s="27"/>
      <c r="F1056" s="195">
        <f>SF!F29</f>
        <v>65.160399999999996</v>
      </c>
      <c r="G1056" s="27"/>
      <c r="H1056" s="34"/>
      <c r="I1056" s="195">
        <f>SF!I29</f>
        <v>-32.580199999999998</v>
      </c>
      <c r="J1056" s="195">
        <f>SF!J29</f>
        <v>-10.105732306306301</v>
      </c>
      <c r="K1056" s="268">
        <v>0.2</v>
      </c>
    </row>
    <row r="1057" spans="1:11">
      <c r="A1057" s="25" t="s">
        <v>977</v>
      </c>
      <c r="B1057" s="26" t="s">
        <v>979</v>
      </c>
      <c r="C1057" s="26"/>
      <c r="D1057" s="26"/>
      <c r="E1057" s="27"/>
      <c r="F1057" s="195">
        <f>SF!F30</f>
        <v>75.185314285714313</v>
      </c>
      <c r="G1057" s="27"/>
      <c r="H1057" s="34"/>
      <c r="I1057" s="195">
        <f>SF!I30</f>
        <v>37.592657142857156</v>
      </c>
      <c r="J1057" s="195">
        <f>SF!J30</f>
        <v>-11.660497166023164</v>
      </c>
      <c r="K1057" s="268">
        <v>0.2</v>
      </c>
    </row>
    <row r="1058" spans="1:11">
      <c r="A1058" s="686" t="s">
        <v>1128</v>
      </c>
      <c r="B1058" s="687"/>
      <c r="C1058" s="688"/>
      <c r="D1058" s="688"/>
      <c r="E1058" s="689"/>
      <c r="F1058" s="696">
        <f>SF!F43</f>
        <v>-103.56143333397094</v>
      </c>
      <c r="G1058" s="689"/>
      <c r="H1058" s="690"/>
      <c r="I1058" s="690"/>
      <c r="J1058" s="690"/>
      <c r="K1058" s="376">
        <v>1</v>
      </c>
    </row>
    <row r="1059" spans="1:11">
      <c r="A1059" s="686" t="s">
        <v>1131</v>
      </c>
      <c r="B1059" s="687"/>
      <c r="C1059" s="688"/>
      <c r="D1059" s="688"/>
      <c r="E1059" s="689"/>
      <c r="F1059" s="690"/>
      <c r="G1059" s="696">
        <f>SF!G47</f>
        <v>3.2856246869242693</v>
      </c>
      <c r="H1059" s="696">
        <f>SF!H47</f>
        <v>3.5397182492142409</v>
      </c>
      <c r="I1059" s="696">
        <f>SF!I47</f>
        <v>7.0628515103002814</v>
      </c>
      <c r="J1059" s="696">
        <f>SF!J47</f>
        <v>5.3297614737052639</v>
      </c>
      <c r="K1059" s="376">
        <v>1</v>
      </c>
    </row>
    <row r="1060" spans="1:11">
      <c r="A1060" s="278" t="s">
        <v>1132</v>
      </c>
      <c r="B1060" s="262"/>
      <c r="C1060" s="262"/>
      <c r="D1060" s="262"/>
      <c r="E1060" s="263"/>
      <c r="F1060" s="279"/>
      <c r="G1060" s="280"/>
      <c r="H1060" s="264"/>
      <c r="I1060" s="279"/>
      <c r="J1060" s="264"/>
      <c r="K1060" s="650">
        <v>1</v>
      </c>
    </row>
    <row r="1061" spans="1:11">
      <c r="A1061" s="25" t="s">
        <v>991</v>
      </c>
      <c r="B1061" s="26" t="s">
        <v>989</v>
      </c>
      <c r="C1061" s="26"/>
      <c r="D1061" s="26"/>
      <c r="E1061" s="27"/>
      <c r="F1061" s="197"/>
      <c r="G1061" s="172">
        <f>SF!G52</f>
        <v>94.821839999999995</v>
      </c>
      <c r="H1061" s="34"/>
      <c r="I1061" s="172">
        <f>SF!I52</f>
        <v>785.12483520000001</v>
      </c>
      <c r="J1061" s="89"/>
      <c r="K1061" s="268">
        <v>1</v>
      </c>
    </row>
    <row r="1062" spans="1:11">
      <c r="A1062" s="25" t="s">
        <v>994</v>
      </c>
      <c r="B1062" s="26" t="s">
        <v>996</v>
      </c>
      <c r="C1062" s="26"/>
      <c r="D1062" s="26"/>
      <c r="E1062" s="27"/>
      <c r="F1062" s="197"/>
      <c r="G1062" s="172">
        <f>SF!G56</f>
        <v>4.5540000000000003</v>
      </c>
      <c r="H1062" s="34"/>
      <c r="I1062" s="172">
        <f>SF!I56</f>
        <v>37.70712000000001</v>
      </c>
      <c r="J1062" s="89"/>
      <c r="K1062" s="376">
        <v>1</v>
      </c>
    </row>
    <row r="1063" spans="1:11">
      <c r="A1063" s="25" t="s">
        <v>217</v>
      </c>
      <c r="B1063" s="26" t="s">
        <v>211</v>
      </c>
      <c r="C1063" s="26"/>
      <c r="D1063" s="26"/>
      <c r="E1063" s="27"/>
      <c r="F1063" s="197"/>
      <c r="G1063" s="196">
        <f>SF!G58</f>
        <v>26.798532263701709</v>
      </c>
      <c r="H1063" s="199"/>
      <c r="I1063" s="172">
        <f>SF!I58</f>
        <v>147.28381289471153</v>
      </c>
      <c r="J1063" s="195"/>
      <c r="K1063" s="376">
        <v>1</v>
      </c>
    </row>
    <row r="1064" spans="1:11">
      <c r="A1064" s="686" t="s">
        <v>1472</v>
      </c>
      <c r="B1064" s="688" t="s">
        <v>1045</v>
      </c>
      <c r="C1064" s="688"/>
      <c r="D1064" s="688"/>
      <c r="E1064" s="689"/>
      <c r="F1064" s="620"/>
      <c r="G1064" s="695">
        <f>SF!G61</f>
        <v>32.345729999999996</v>
      </c>
      <c r="H1064" s="690"/>
      <c r="I1064" s="695">
        <f>SF!I61</f>
        <v>29.111156999999999</v>
      </c>
      <c r="J1064" s="269"/>
      <c r="K1064" s="376">
        <v>1</v>
      </c>
    </row>
    <row r="1065" spans="1:11">
      <c r="A1065" s="686" t="s">
        <v>1139</v>
      </c>
      <c r="B1065" s="688" t="s">
        <v>1140</v>
      </c>
      <c r="C1065" s="688"/>
      <c r="D1065" s="688"/>
      <c r="E1065" s="689"/>
      <c r="F1065" s="620"/>
      <c r="G1065" s="695">
        <f>SF!G63</f>
        <v>19.373390077688924</v>
      </c>
      <c r="H1065" s="690"/>
      <c r="I1065" s="695">
        <f>SF!I63</f>
        <v>37.512792074379419</v>
      </c>
      <c r="J1065" s="269"/>
      <c r="K1065" s="376">
        <v>1</v>
      </c>
    </row>
    <row r="1066" spans="1:11">
      <c r="A1066" s="278" t="s">
        <v>1135</v>
      </c>
      <c r="B1066" s="262"/>
      <c r="C1066" s="262"/>
      <c r="D1066" s="262"/>
      <c r="E1066" s="263"/>
      <c r="F1066" s="279"/>
      <c r="G1066" s="280"/>
      <c r="H1066" s="264"/>
      <c r="I1066" s="279"/>
      <c r="J1066" s="264"/>
      <c r="K1066" s="708">
        <v>0.3</v>
      </c>
    </row>
    <row r="1067" spans="1:11">
      <c r="A1067" s="25" t="s">
        <v>997</v>
      </c>
      <c r="B1067" s="26" t="s">
        <v>988</v>
      </c>
      <c r="C1067" s="26"/>
      <c r="D1067" s="26"/>
      <c r="E1067" s="27"/>
      <c r="F1067" s="197"/>
      <c r="G1067" s="211"/>
      <c r="H1067" s="254">
        <f>SF!H67</f>
        <v>47.410919999999997</v>
      </c>
      <c r="I1067" s="197"/>
      <c r="J1067" s="254">
        <f>SF!J67</f>
        <v>433.10062959257624</v>
      </c>
      <c r="K1067" s="268">
        <v>0.3</v>
      </c>
    </row>
    <row r="1068" spans="1:11">
      <c r="A1068" s="25" t="s">
        <v>998</v>
      </c>
      <c r="B1068" s="26" t="s">
        <v>989</v>
      </c>
      <c r="C1068" s="26"/>
      <c r="D1068" s="26"/>
      <c r="E1068" s="27"/>
      <c r="F1068" s="197"/>
      <c r="G1068" s="211"/>
      <c r="H1068" s="254">
        <f>SF!H68</f>
        <v>47.410919999999997</v>
      </c>
      <c r="I1068" s="197"/>
      <c r="J1068" s="254">
        <f>SF!J68</f>
        <v>433.10062959257624</v>
      </c>
      <c r="K1068" s="376">
        <v>0.3</v>
      </c>
    </row>
    <row r="1069" spans="1:11">
      <c r="A1069" s="25" t="s">
        <v>1004</v>
      </c>
      <c r="B1069" s="26" t="s">
        <v>1000</v>
      </c>
      <c r="C1069" s="26"/>
      <c r="D1069" s="26"/>
      <c r="E1069" s="27"/>
      <c r="F1069" s="197"/>
      <c r="G1069" s="211"/>
      <c r="H1069" s="254">
        <f>SF!H72</f>
        <v>10.555984799999999</v>
      </c>
      <c r="I1069" s="197"/>
      <c r="J1069" s="254">
        <f>SF!J72</f>
        <v>115.74637333199999</v>
      </c>
      <c r="K1069" s="376">
        <v>0.06</v>
      </c>
    </row>
    <row r="1070" spans="1:11">
      <c r="A1070" s="25" t="s">
        <v>1005</v>
      </c>
      <c r="B1070" s="26" t="s">
        <v>1001</v>
      </c>
      <c r="C1070" s="26"/>
      <c r="D1070" s="26"/>
      <c r="E1070" s="27"/>
      <c r="F1070" s="197"/>
      <c r="G1070" s="211"/>
      <c r="H1070" s="254">
        <f>SF!H73</f>
        <v>12.18002091428572</v>
      </c>
      <c r="I1070" s="197"/>
      <c r="J1070" s="254">
        <f>SF!J73</f>
        <v>133.55392932514292</v>
      </c>
      <c r="K1070" s="376">
        <v>0.06</v>
      </c>
    </row>
    <row r="1071" spans="1:11">
      <c r="A1071" s="25" t="s">
        <v>1006</v>
      </c>
      <c r="B1071" s="26" t="s">
        <v>211</v>
      </c>
      <c r="C1071" s="26"/>
      <c r="D1071" s="26"/>
      <c r="E1071" s="27"/>
      <c r="F1071" s="197"/>
      <c r="G1071" s="195"/>
      <c r="H1071" s="254">
        <f>SF!H78</f>
        <v>26.798532263701709</v>
      </c>
      <c r="I1071" s="195"/>
      <c r="J1071" s="254">
        <f>SF!J78</f>
        <v>147.28381289471153</v>
      </c>
      <c r="K1071" s="376">
        <v>0.3</v>
      </c>
    </row>
    <row r="1072" spans="1:11">
      <c r="A1072" s="686" t="s">
        <v>1138</v>
      </c>
      <c r="B1072" s="688" t="s">
        <v>1045</v>
      </c>
      <c r="C1072" s="688"/>
      <c r="D1072" s="688"/>
      <c r="E1072" s="689"/>
      <c r="F1072" s="620"/>
      <c r="G1072" s="711"/>
      <c r="H1072" s="989">
        <f>SF!H81</f>
        <v>32.345729999999996</v>
      </c>
      <c r="I1072" s="696"/>
      <c r="J1072" s="989">
        <f>SF!J81</f>
        <v>29.111156999999999</v>
      </c>
      <c r="K1072" s="376">
        <v>0.3</v>
      </c>
    </row>
    <row r="1073" spans="1:11">
      <c r="A1073" s="686" t="s">
        <v>1138</v>
      </c>
      <c r="B1073" s="688" t="s">
        <v>1141</v>
      </c>
      <c r="C1073" s="26"/>
      <c r="D1073" s="26"/>
      <c r="E1073" s="27"/>
      <c r="F1073" s="34"/>
      <c r="G1073" s="27"/>
      <c r="H1073" s="989">
        <f>SF!H83</f>
        <v>19.373390077688924</v>
      </c>
      <c r="I1073" s="696"/>
      <c r="J1073" s="989">
        <f>SF!J83</f>
        <v>37.512792074379419</v>
      </c>
      <c r="K1073" s="376">
        <v>0.3</v>
      </c>
    </row>
    <row r="1074" spans="1:11">
      <c r="A1074" s="290" t="s">
        <v>1137</v>
      </c>
      <c r="B1074" s="11"/>
      <c r="C1074" s="11"/>
      <c r="D1074" s="11"/>
      <c r="E1074" s="191"/>
      <c r="F1074" s="197"/>
      <c r="G1074" s="211"/>
      <c r="H1074" s="89"/>
      <c r="I1074" s="197"/>
      <c r="J1074" s="89"/>
      <c r="K1074" s="994">
        <v>0.3</v>
      </c>
    </row>
    <row r="1075" spans="1:11">
      <c r="A1075" s="25" t="s">
        <v>1007</v>
      </c>
      <c r="B1075" s="26" t="s">
        <v>988</v>
      </c>
      <c r="C1075" s="26"/>
      <c r="D1075" s="26"/>
      <c r="E1075" s="27"/>
      <c r="F1075" s="196">
        <f>SF!F87</f>
        <v>31.607279999999999</v>
      </c>
      <c r="G1075" s="211"/>
      <c r="H1075" s="34"/>
      <c r="I1075" s="196">
        <f>SF!I87</f>
        <v>-15.140358000000003</v>
      </c>
      <c r="J1075" s="196">
        <f>SF!J87</f>
        <v>0</v>
      </c>
      <c r="K1075" s="376">
        <v>-0.3</v>
      </c>
    </row>
    <row r="1076" spans="1:11">
      <c r="A1076" s="25" t="s">
        <v>1008</v>
      </c>
      <c r="B1076" s="26" t="s">
        <v>989</v>
      </c>
      <c r="C1076" s="26"/>
      <c r="D1076" s="26"/>
      <c r="E1076" s="27"/>
      <c r="F1076" s="196">
        <f>SF!F88</f>
        <v>31.607279999999999</v>
      </c>
      <c r="G1076" s="211"/>
      <c r="H1076" s="34"/>
      <c r="I1076" s="196">
        <f>SF!I88</f>
        <v>15.140358000000003</v>
      </c>
      <c r="J1076" s="196">
        <f>SF!J88</f>
        <v>0</v>
      </c>
      <c r="K1076" s="268">
        <v>-0.3</v>
      </c>
    </row>
    <row r="1077" spans="1:11">
      <c r="A1077" s="25" t="s">
        <v>1009</v>
      </c>
      <c r="B1077" s="26" t="s">
        <v>1000</v>
      </c>
      <c r="C1077" s="26"/>
      <c r="D1077" s="26"/>
      <c r="E1077" s="27"/>
      <c r="F1077" s="196">
        <f>SF!F92</f>
        <v>7.0373232000000003</v>
      </c>
      <c r="G1077" s="211"/>
      <c r="H1077" s="34"/>
      <c r="I1077" s="196">
        <f>SF!I92</f>
        <v>-3.5186616000000002</v>
      </c>
      <c r="J1077" s="196">
        <f>SF!J92</f>
        <v>-1.0914190890810807</v>
      </c>
      <c r="K1077" s="268">
        <v>-0.06</v>
      </c>
    </row>
    <row r="1078" spans="1:11">
      <c r="A1078" s="25" t="s">
        <v>1010</v>
      </c>
      <c r="B1078" s="26" t="s">
        <v>1001</v>
      </c>
      <c r="C1078" s="26"/>
      <c r="D1078" s="26"/>
      <c r="E1078" s="27"/>
      <c r="F1078" s="196">
        <f>SF!F93</f>
        <v>8.1200139428571472</v>
      </c>
      <c r="G1078" s="211"/>
      <c r="H1078" s="34"/>
      <c r="I1078" s="196">
        <f>SF!I93</f>
        <v>4.0600069714285736</v>
      </c>
      <c r="J1078" s="196">
        <f>SF!J93</f>
        <v>-1.259333693930502</v>
      </c>
      <c r="K1078" s="268">
        <v>-0.06</v>
      </c>
    </row>
    <row r="1079" spans="1:11">
      <c r="A1079" s="25" t="s">
        <v>1011</v>
      </c>
      <c r="B1079" s="26" t="s">
        <v>211</v>
      </c>
      <c r="C1079" s="26"/>
      <c r="D1079" s="26"/>
      <c r="E1079" s="27"/>
      <c r="F1079" s="196">
        <f>SF!F98</f>
        <v>17.865688175801139</v>
      </c>
      <c r="G1079" s="211"/>
      <c r="H1079" s="197"/>
      <c r="I1079" s="196">
        <f>SF!I98</f>
        <v>0</v>
      </c>
      <c r="J1079" s="196">
        <f>SF!J98</f>
        <v>0</v>
      </c>
      <c r="K1079" s="268">
        <v>-0.3</v>
      </c>
    </row>
    <row r="1080" spans="1:11">
      <c r="A1080" s="686" t="s">
        <v>1473</v>
      </c>
      <c r="B1080" s="688" t="s">
        <v>1045</v>
      </c>
      <c r="C1080" s="688"/>
      <c r="D1080" s="688"/>
      <c r="E1080" s="689"/>
      <c r="F1080" s="695">
        <f>SF!F101</f>
        <v>21.56382</v>
      </c>
      <c r="G1080" s="621"/>
      <c r="H1080" s="620"/>
      <c r="I1080" s="695">
        <f>SF!I101</f>
        <v>0</v>
      </c>
      <c r="J1080" s="695">
        <f>SF!J101</f>
        <v>0</v>
      </c>
      <c r="K1080" s="268">
        <v>-0.3</v>
      </c>
    </row>
    <row r="1081" spans="1:11">
      <c r="A1081" s="253"/>
      <c r="B1081" s="15"/>
      <c r="C1081" s="15"/>
      <c r="D1081" s="15"/>
      <c r="E1081" s="22"/>
      <c r="F1081" s="212"/>
      <c r="G1081" s="213"/>
      <c r="H1081" s="198"/>
      <c r="I1081" s="198"/>
      <c r="J1081" s="58"/>
      <c r="K1081" s="379"/>
    </row>
    <row r="1082" spans="1:11">
      <c r="A1082" s="46"/>
      <c r="B1082" s="46"/>
      <c r="C1082" s="46"/>
      <c r="D1082" s="46"/>
      <c r="E1082" s="46"/>
      <c r="F1082" s="46"/>
      <c r="G1082" s="46"/>
      <c r="H1082" s="46"/>
      <c r="I1082" s="46"/>
      <c r="J1082" s="46"/>
      <c r="K1082" s="87"/>
    </row>
    <row r="1083" spans="1:11">
      <c r="A1083" s="220" t="s">
        <v>73</v>
      </c>
      <c r="B1083" s="220" t="s">
        <v>74</v>
      </c>
      <c r="C1083" s="200"/>
      <c r="D1083" s="200"/>
      <c r="E1083" s="217"/>
      <c r="F1083" s="1636" t="s">
        <v>72</v>
      </c>
      <c r="G1083" s="1637"/>
      <c r="H1083" s="1637"/>
      <c r="I1083" s="1637"/>
      <c r="J1083" s="1638"/>
      <c r="K1083" s="87"/>
    </row>
    <row r="1084" spans="1:11" ht="18">
      <c r="A1084" s="221"/>
      <c r="B1084" s="221"/>
      <c r="C1084" s="201"/>
      <c r="D1084" s="201"/>
      <c r="E1084" s="219"/>
      <c r="F1084" s="223" t="s">
        <v>23</v>
      </c>
      <c r="G1084" s="223" t="s">
        <v>87</v>
      </c>
      <c r="H1084" s="223" t="s">
        <v>212</v>
      </c>
      <c r="I1084" s="223" t="s">
        <v>80</v>
      </c>
      <c r="J1084" s="223" t="s">
        <v>81</v>
      </c>
      <c r="K1084" s="87"/>
    </row>
    <row r="1085" spans="1:11">
      <c r="A1085" s="222"/>
      <c r="B1085" s="222"/>
      <c r="C1085" s="203"/>
      <c r="D1085" s="203"/>
      <c r="E1085" s="218"/>
      <c r="F1085" s="204" t="s">
        <v>34</v>
      </c>
      <c r="G1085" s="204" t="s">
        <v>34</v>
      </c>
      <c r="H1085" s="203" t="s">
        <v>34</v>
      </c>
      <c r="I1085" s="204" t="s">
        <v>77</v>
      </c>
      <c r="J1085" s="204" t="s">
        <v>77</v>
      </c>
      <c r="K1085" s="87"/>
    </row>
    <row r="1086" spans="1:11">
      <c r="A1086" s="202"/>
      <c r="B1086" s="200"/>
      <c r="C1086" s="200"/>
      <c r="D1086" s="200"/>
      <c r="E1086" s="217"/>
      <c r="F1086" s="205"/>
      <c r="G1086" s="205"/>
      <c r="H1086" s="201"/>
      <c r="I1086" s="205"/>
      <c r="J1086" s="205"/>
      <c r="K1086" s="87"/>
    </row>
    <row r="1087" spans="1:11">
      <c r="A1087" s="205" t="str">
        <f>A1045</f>
        <v>LC-33</v>
      </c>
      <c r="B1087" s="201" t="str">
        <f>B1045</f>
        <v>LC-23 + Seismic Sx=1,Sz=0.3,Sy=-0.3</v>
      </c>
      <c r="C1087" s="201"/>
      <c r="D1087" s="201"/>
      <c r="E1087" s="219"/>
      <c r="F1087" s="205">
        <f>SUMPRODUCT(F1048:F1080,$K$1048:$K$1080)</f>
        <v>879.85211415139281</v>
      </c>
      <c r="G1087" s="1080">
        <f>SUMPRODUCT(G1048:G1080,$K$1048:$K$1080)</f>
        <v>181.17911702831489</v>
      </c>
      <c r="H1087" s="1080">
        <f>SUMPRODUCT(H1048:H1080,$K$1048:$K$1080)</f>
        <v>56.905726294488566</v>
      </c>
      <c r="I1087" s="1080">
        <f>SUMPRODUCT(I1048:I1080,$K$1048:$K$1080)</f>
        <v>1044.7725793856771</v>
      </c>
      <c r="J1087" s="1080">
        <f>SUMPRODUCT(J1048:J1080,$K$1048:$K$1080)</f>
        <v>340.10828525192164</v>
      </c>
      <c r="K1087" s="87"/>
    </row>
    <row r="1088" spans="1:11">
      <c r="A1088" s="204"/>
      <c r="B1088" s="203"/>
      <c r="C1088" s="203"/>
      <c r="D1088" s="203"/>
      <c r="E1088" s="218"/>
      <c r="F1088" s="204"/>
      <c r="G1088" s="204"/>
      <c r="H1088" s="203"/>
      <c r="I1088" s="204"/>
      <c r="J1088" s="204"/>
      <c r="K1088" s="87"/>
    </row>
    <row r="1091" spans="1:11">
      <c r="A1091" s="1318" t="str">
        <f>K1091</f>
        <v>LC-34</v>
      </c>
      <c r="B1091" s="24" t="str">
        <f>VLOOKUP(A1091,LC_DEF_2!A3:B42,2,FALSE)</f>
        <v>LC-23 + Seismic Sx=0.3,Sz=1,Sy=-0.3</v>
      </c>
      <c r="C1091" s="24"/>
      <c r="D1091" s="24"/>
      <c r="E1091" s="21"/>
      <c r="F1091" s="1635" t="s">
        <v>742</v>
      </c>
      <c r="G1091" s="1635"/>
      <c r="H1091" s="1635"/>
      <c r="I1091" s="1635"/>
      <c r="J1091" s="1600"/>
      <c r="K1091" s="413" t="s">
        <v>1171</v>
      </c>
    </row>
    <row r="1092" spans="1:11" ht="18">
      <c r="A1092" s="25" t="s">
        <v>73</v>
      </c>
      <c r="B1092" s="26" t="s">
        <v>74</v>
      </c>
      <c r="C1092" s="26"/>
      <c r="D1092" s="26"/>
      <c r="E1092" s="27"/>
      <c r="F1092" s="32" t="s">
        <v>23</v>
      </c>
      <c r="G1092" s="33" t="s">
        <v>87</v>
      </c>
      <c r="H1092" s="33" t="s">
        <v>212</v>
      </c>
      <c r="I1092" s="33" t="s">
        <v>80</v>
      </c>
      <c r="J1092" s="33" t="s">
        <v>81</v>
      </c>
      <c r="K1092" s="376"/>
    </row>
    <row r="1093" spans="1:11">
      <c r="A1093" s="28"/>
      <c r="B1093" s="15"/>
      <c r="C1093" s="15"/>
      <c r="D1093" s="15"/>
      <c r="E1093" s="22"/>
      <c r="F1093" s="21" t="s">
        <v>34</v>
      </c>
      <c r="G1093" s="36" t="s">
        <v>34</v>
      </c>
      <c r="H1093" s="36" t="s">
        <v>34</v>
      </c>
      <c r="I1093" s="36" t="s">
        <v>77</v>
      </c>
      <c r="J1093" s="36" t="s">
        <v>77</v>
      </c>
      <c r="K1093" s="376"/>
    </row>
    <row r="1094" spans="1:11">
      <c r="A1094" s="25" t="s">
        <v>88</v>
      </c>
      <c r="B1094" s="26" t="s">
        <v>75</v>
      </c>
      <c r="C1094" s="26"/>
      <c r="D1094" s="26"/>
      <c r="E1094" s="27"/>
      <c r="F1094" s="195">
        <f>SF!F14</f>
        <v>365.08803866482532</v>
      </c>
      <c r="G1094" s="210"/>
      <c r="H1094" s="34"/>
      <c r="I1094" s="195">
        <f>SF!I14</f>
        <v>0</v>
      </c>
      <c r="J1094" s="195">
        <f>SF!J14</f>
        <v>0</v>
      </c>
      <c r="K1094" s="268">
        <v>1</v>
      </c>
    </row>
    <row r="1095" spans="1:11">
      <c r="A1095" s="25" t="s">
        <v>90</v>
      </c>
      <c r="B1095" s="26" t="s">
        <v>249</v>
      </c>
      <c r="C1095" s="26"/>
      <c r="D1095" s="26"/>
      <c r="E1095" s="27"/>
      <c r="F1095" s="195">
        <f>SF!F16</f>
        <v>36.639026644707663</v>
      </c>
      <c r="G1095" s="210"/>
      <c r="H1095" s="34"/>
      <c r="I1095" s="195">
        <f>SF!I16</f>
        <v>0</v>
      </c>
      <c r="J1095" s="195">
        <f>SF!J16</f>
        <v>0</v>
      </c>
      <c r="K1095" s="268">
        <v>1</v>
      </c>
    </row>
    <row r="1096" spans="1:11">
      <c r="A1096" s="25" t="s">
        <v>250</v>
      </c>
      <c r="B1096" s="26" t="s">
        <v>967</v>
      </c>
      <c r="C1096" s="26"/>
      <c r="D1096" s="26"/>
      <c r="E1096" s="27"/>
      <c r="F1096" s="195">
        <f>SF!F19</f>
        <v>230</v>
      </c>
      <c r="G1096" s="27"/>
      <c r="H1096" s="34"/>
      <c r="I1096" s="195">
        <f>SF!I19</f>
        <v>-115</v>
      </c>
      <c r="J1096" s="195">
        <f>SF!J19</f>
        <v>0</v>
      </c>
      <c r="K1096" s="376">
        <v>1</v>
      </c>
    </row>
    <row r="1097" spans="1:11">
      <c r="A1097" s="25" t="s">
        <v>251</v>
      </c>
      <c r="B1097" s="26" t="s">
        <v>968</v>
      </c>
      <c r="C1097" s="26"/>
      <c r="D1097" s="26"/>
      <c r="E1097" s="27"/>
      <c r="F1097" s="195">
        <f>SF!F20</f>
        <v>20.660000000000004</v>
      </c>
      <c r="G1097" s="27"/>
      <c r="H1097" s="34"/>
      <c r="I1097" s="195">
        <f>SF!I20</f>
        <v>-10.330000000000002</v>
      </c>
      <c r="J1097" s="195">
        <f>SF!J20</f>
        <v>0</v>
      </c>
      <c r="K1097" s="376">
        <v>1</v>
      </c>
    </row>
    <row r="1098" spans="1:11">
      <c r="A1098" s="25" t="s">
        <v>97</v>
      </c>
      <c r="B1098" s="26" t="s">
        <v>969</v>
      </c>
      <c r="C1098" s="26"/>
      <c r="D1098" s="26"/>
      <c r="E1098" s="27"/>
      <c r="F1098" s="195">
        <f>SF!F21</f>
        <v>42</v>
      </c>
      <c r="G1098" s="27"/>
      <c r="H1098" s="34"/>
      <c r="I1098" s="195">
        <f>SF!I21</f>
        <v>-14.858499999999999</v>
      </c>
      <c r="J1098" s="195">
        <f>SF!J21</f>
        <v>0</v>
      </c>
      <c r="K1098" s="376">
        <v>1</v>
      </c>
    </row>
    <row r="1099" spans="1:11">
      <c r="A1099" s="25" t="s">
        <v>250</v>
      </c>
      <c r="B1099" s="26" t="s">
        <v>970</v>
      </c>
      <c r="C1099" s="26"/>
      <c r="D1099" s="26"/>
      <c r="E1099" s="27"/>
      <c r="F1099" s="195">
        <f>SF!F23</f>
        <v>230</v>
      </c>
      <c r="G1099" s="27"/>
      <c r="H1099" s="34"/>
      <c r="I1099" s="195">
        <f>SF!I23</f>
        <v>115</v>
      </c>
      <c r="J1099" s="195">
        <f>SF!J23</f>
        <v>0</v>
      </c>
      <c r="K1099" s="376">
        <v>1</v>
      </c>
    </row>
    <row r="1100" spans="1:11">
      <c r="A1100" s="25" t="s">
        <v>251</v>
      </c>
      <c r="B1100" s="26" t="s">
        <v>971</v>
      </c>
      <c r="C1100" s="26"/>
      <c r="D1100" s="26"/>
      <c r="E1100" s="27"/>
      <c r="F1100" s="195">
        <f>SF!F24</f>
        <v>20.660000000000004</v>
      </c>
      <c r="G1100" s="27"/>
      <c r="H1100" s="34"/>
      <c r="I1100" s="195">
        <f>SF!I24</f>
        <v>10.330000000000002</v>
      </c>
      <c r="J1100" s="195">
        <f>SF!J24</f>
        <v>0</v>
      </c>
      <c r="K1100" s="268">
        <v>1</v>
      </c>
    </row>
    <row r="1101" spans="1:11">
      <c r="A1101" s="25" t="s">
        <v>97</v>
      </c>
      <c r="B1101" s="26" t="s">
        <v>972</v>
      </c>
      <c r="C1101" s="26"/>
      <c r="D1101" s="26"/>
      <c r="E1101" s="27"/>
      <c r="F1101" s="195">
        <f>SF!F25</f>
        <v>42</v>
      </c>
      <c r="G1101" s="27"/>
      <c r="H1101" s="34"/>
      <c r="I1101" s="195">
        <f>SF!I25</f>
        <v>14.858499999999999</v>
      </c>
      <c r="J1101" s="195">
        <f>SF!J25</f>
        <v>0</v>
      </c>
      <c r="K1101" s="376">
        <v>1</v>
      </c>
    </row>
    <row r="1102" spans="1:11">
      <c r="A1102" s="25" t="s">
        <v>976</v>
      </c>
      <c r="B1102" s="26" t="s">
        <v>978</v>
      </c>
      <c r="C1102" s="26"/>
      <c r="D1102" s="26"/>
      <c r="E1102" s="27"/>
      <c r="F1102" s="195">
        <f>SF!F29</f>
        <v>65.160399999999996</v>
      </c>
      <c r="G1102" s="27"/>
      <c r="H1102" s="34"/>
      <c r="I1102" s="195">
        <f>SF!I29</f>
        <v>-32.580199999999998</v>
      </c>
      <c r="J1102" s="195">
        <f>SF!J29</f>
        <v>-10.105732306306301</v>
      </c>
      <c r="K1102" s="268">
        <v>0.2</v>
      </c>
    </row>
    <row r="1103" spans="1:11">
      <c r="A1103" s="25" t="s">
        <v>977</v>
      </c>
      <c r="B1103" s="26" t="s">
        <v>979</v>
      </c>
      <c r="C1103" s="26"/>
      <c r="D1103" s="26"/>
      <c r="E1103" s="27"/>
      <c r="F1103" s="195">
        <f>SF!F30</f>
        <v>75.185314285714313</v>
      </c>
      <c r="G1103" s="27"/>
      <c r="H1103" s="34"/>
      <c r="I1103" s="195">
        <f>SF!I30</f>
        <v>37.592657142857156</v>
      </c>
      <c r="J1103" s="195">
        <f>SF!J30</f>
        <v>-11.660497166023164</v>
      </c>
      <c r="K1103" s="268">
        <v>0.2</v>
      </c>
    </row>
    <row r="1104" spans="1:11">
      <c r="A1104" s="686" t="s">
        <v>1128</v>
      </c>
      <c r="B1104" s="687"/>
      <c r="C1104" s="688"/>
      <c r="D1104" s="688"/>
      <c r="E1104" s="689"/>
      <c r="F1104" s="696">
        <f>SF!F43</f>
        <v>-103.56143333397094</v>
      </c>
      <c r="G1104" s="689"/>
      <c r="H1104" s="690"/>
      <c r="I1104" s="690"/>
      <c r="J1104" s="690"/>
      <c r="K1104" s="376">
        <v>1</v>
      </c>
    </row>
    <row r="1105" spans="1:11">
      <c r="A1105" s="686" t="s">
        <v>1131</v>
      </c>
      <c r="B1105" s="687"/>
      <c r="C1105" s="688"/>
      <c r="D1105" s="688"/>
      <c r="E1105" s="689"/>
      <c r="F1105" s="690"/>
      <c r="G1105" s="696">
        <f>SF!G47</f>
        <v>3.2856246869242693</v>
      </c>
      <c r="H1105" s="696">
        <f>SF!H47</f>
        <v>3.5397182492142409</v>
      </c>
      <c r="I1105" s="696">
        <f>SF!I47</f>
        <v>7.0628515103002814</v>
      </c>
      <c r="J1105" s="696">
        <f>SF!J47</f>
        <v>5.3297614737052639</v>
      </c>
      <c r="K1105" s="376">
        <v>1</v>
      </c>
    </row>
    <row r="1106" spans="1:11">
      <c r="A1106" s="278" t="s">
        <v>1132</v>
      </c>
      <c r="B1106" s="262"/>
      <c r="C1106" s="262"/>
      <c r="D1106" s="262"/>
      <c r="E1106" s="263"/>
      <c r="F1106" s="279"/>
      <c r="G1106" s="280"/>
      <c r="H1106" s="264"/>
      <c r="I1106" s="279"/>
      <c r="J1106" s="264"/>
      <c r="K1106" s="650">
        <v>1</v>
      </c>
    </row>
    <row r="1107" spans="1:11">
      <c r="A1107" s="25" t="s">
        <v>991</v>
      </c>
      <c r="B1107" s="26" t="s">
        <v>989</v>
      </c>
      <c r="C1107" s="26"/>
      <c r="D1107" s="26"/>
      <c r="E1107" s="27"/>
      <c r="F1107" s="197"/>
      <c r="G1107" s="172">
        <f>SF!G52</f>
        <v>94.821839999999995</v>
      </c>
      <c r="H1107" s="34"/>
      <c r="I1107" s="172">
        <f>SF!I52</f>
        <v>785.12483520000001</v>
      </c>
      <c r="J1107" s="89"/>
      <c r="K1107" s="268">
        <v>0.3</v>
      </c>
    </row>
    <row r="1108" spans="1:11">
      <c r="A1108" s="25" t="s">
        <v>994</v>
      </c>
      <c r="B1108" s="26" t="s">
        <v>996</v>
      </c>
      <c r="C1108" s="26"/>
      <c r="D1108" s="26"/>
      <c r="E1108" s="27"/>
      <c r="F1108" s="197"/>
      <c r="G1108" s="172">
        <f>SF!G56</f>
        <v>4.5540000000000003</v>
      </c>
      <c r="H1108" s="34"/>
      <c r="I1108" s="172">
        <f>SF!I56</f>
        <v>37.70712000000001</v>
      </c>
      <c r="J1108" s="89"/>
      <c r="K1108" s="376">
        <v>1</v>
      </c>
    </row>
    <row r="1109" spans="1:11">
      <c r="A1109" s="25" t="s">
        <v>217</v>
      </c>
      <c r="B1109" s="26" t="s">
        <v>211</v>
      </c>
      <c r="C1109" s="26"/>
      <c r="D1109" s="26"/>
      <c r="E1109" s="27"/>
      <c r="F1109" s="197"/>
      <c r="G1109" s="196">
        <f>SF!G58</f>
        <v>26.798532263701709</v>
      </c>
      <c r="H1109" s="199"/>
      <c r="I1109" s="172">
        <f>SF!I58</f>
        <v>147.28381289471153</v>
      </c>
      <c r="J1109" s="195"/>
      <c r="K1109" s="376">
        <v>0.3</v>
      </c>
    </row>
    <row r="1110" spans="1:11">
      <c r="A1110" s="686" t="s">
        <v>1472</v>
      </c>
      <c r="B1110" s="688" t="s">
        <v>1045</v>
      </c>
      <c r="C1110" s="688"/>
      <c r="D1110" s="688"/>
      <c r="E1110" s="689"/>
      <c r="F1110" s="620"/>
      <c r="G1110" s="695">
        <f>SF!G61</f>
        <v>32.345729999999996</v>
      </c>
      <c r="H1110" s="690"/>
      <c r="I1110" s="695">
        <f>SF!I61</f>
        <v>29.111156999999999</v>
      </c>
      <c r="J1110" s="269"/>
      <c r="K1110" s="376">
        <v>0.3</v>
      </c>
    </row>
    <row r="1111" spans="1:11">
      <c r="A1111" s="686" t="s">
        <v>1139</v>
      </c>
      <c r="B1111" s="688" t="s">
        <v>1140</v>
      </c>
      <c r="C1111" s="688"/>
      <c r="D1111" s="688"/>
      <c r="E1111" s="689"/>
      <c r="F1111" s="620"/>
      <c r="G1111" s="695">
        <f>SF!G63</f>
        <v>19.373390077688924</v>
      </c>
      <c r="H1111" s="690"/>
      <c r="I1111" s="695">
        <f>SF!I63</f>
        <v>37.512792074379419</v>
      </c>
      <c r="J1111" s="269"/>
      <c r="K1111" s="376">
        <v>0.3</v>
      </c>
    </row>
    <row r="1112" spans="1:11">
      <c r="A1112" s="278" t="s">
        <v>1135</v>
      </c>
      <c r="B1112" s="262"/>
      <c r="C1112" s="262"/>
      <c r="D1112" s="262"/>
      <c r="E1112" s="263"/>
      <c r="F1112" s="279"/>
      <c r="G1112" s="280"/>
      <c r="H1112" s="264"/>
      <c r="I1112" s="279"/>
      <c r="J1112" s="264"/>
      <c r="K1112" s="708">
        <v>1</v>
      </c>
    </row>
    <row r="1113" spans="1:11">
      <c r="A1113" s="25" t="s">
        <v>997</v>
      </c>
      <c r="B1113" s="26" t="s">
        <v>988</v>
      </c>
      <c r="C1113" s="26"/>
      <c r="D1113" s="26"/>
      <c r="E1113" s="27"/>
      <c r="F1113" s="197"/>
      <c r="G1113" s="211"/>
      <c r="H1113" s="254">
        <f>SF!H67</f>
        <v>47.410919999999997</v>
      </c>
      <c r="I1113" s="197"/>
      <c r="J1113" s="254">
        <f>SF!J67</f>
        <v>433.10062959257624</v>
      </c>
      <c r="K1113" s="268">
        <v>1</v>
      </c>
    </row>
    <row r="1114" spans="1:11">
      <c r="A1114" s="25" t="s">
        <v>998</v>
      </c>
      <c r="B1114" s="26" t="s">
        <v>989</v>
      </c>
      <c r="C1114" s="26"/>
      <c r="D1114" s="26"/>
      <c r="E1114" s="27"/>
      <c r="F1114" s="197"/>
      <c r="G1114" s="211"/>
      <c r="H1114" s="254">
        <f>SF!H68</f>
        <v>47.410919999999997</v>
      </c>
      <c r="I1114" s="197"/>
      <c r="J1114" s="254">
        <f>SF!J68</f>
        <v>433.10062959257624</v>
      </c>
      <c r="K1114" s="376">
        <v>1</v>
      </c>
    </row>
    <row r="1115" spans="1:11">
      <c r="A1115" s="25" t="s">
        <v>1004</v>
      </c>
      <c r="B1115" s="26" t="s">
        <v>1000</v>
      </c>
      <c r="C1115" s="26"/>
      <c r="D1115" s="26"/>
      <c r="E1115" s="27"/>
      <c r="F1115" s="197"/>
      <c r="G1115" s="211"/>
      <c r="H1115" s="254">
        <f>SF!H72</f>
        <v>10.555984799999999</v>
      </c>
      <c r="I1115" s="197"/>
      <c r="J1115" s="254">
        <f>SF!J72</f>
        <v>115.74637333199999</v>
      </c>
      <c r="K1115" s="376">
        <v>0.2</v>
      </c>
    </row>
    <row r="1116" spans="1:11">
      <c r="A1116" s="25" t="s">
        <v>1005</v>
      </c>
      <c r="B1116" s="26" t="s">
        <v>1001</v>
      </c>
      <c r="C1116" s="26"/>
      <c r="D1116" s="26"/>
      <c r="E1116" s="27"/>
      <c r="F1116" s="197"/>
      <c r="G1116" s="211"/>
      <c r="H1116" s="254">
        <f>SF!H73</f>
        <v>12.18002091428572</v>
      </c>
      <c r="I1116" s="197"/>
      <c r="J1116" s="254">
        <f>SF!J73</f>
        <v>133.55392932514292</v>
      </c>
      <c r="K1116" s="376">
        <v>0.2</v>
      </c>
    </row>
    <row r="1117" spans="1:11">
      <c r="A1117" s="25" t="s">
        <v>1006</v>
      </c>
      <c r="B1117" s="26" t="s">
        <v>211</v>
      </c>
      <c r="C1117" s="26"/>
      <c r="D1117" s="26"/>
      <c r="E1117" s="27"/>
      <c r="F1117" s="197"/>
      <c r="G1117" s="195"/>
      <c r="H1117" s="254">
        <f>SF!H78</f>
        <v>26.798532263701709</v>
      </c>
      <c r="I1117" s="195"/>
      <c r="J1117" s="254">
        <f>SF!J78</f>
        <v>147.28381289471153</v>
      </c>
      <c r="K1117" s="376">
        <v>1</v>
      </c>
    </row>
    <row r="1118" spans="1:11">
      <c r="A1118" s="686" t="s">
        <v>1138</v>
      </c>
      <c r="B1118" s="688" t="s">
        <v>1045</v>
      </c>
      <c r="C1118" s="688"/>
      <c r="D1118" s="688"/>
      <c r="E1118" s="689"/>
      <c r="F1118" s="620"/>
      <c r="G1118" s="711"/>
      <c r="H1118" s="989">
        <f>SF!H81</f>
        <v>32.345729999999996</v>
      </c>
      <c r="I1118" s="696"/>
      <c r="J1118" s="989">
        <f>SF!J81</f>
        <v>29.111156999999999</v>
      </c>
      <c r="K1118" s="376">
        <v>1</v>
      </c>
    </row>
    <row r="1119" spans="1:11">
      <c r="A1119" s="686" t="s">
        <v>1138</v>
      </c>
      <c r="B1119" s="688" t="s">
        <v>1141</v>
      </c>
      <c r="C1119" s="26"/>
      <c r="D1119" s="26"/>
      <c r="E1119" s="27"/>
      <c r="F1119" s="34"/>
      <c r="G1119" s="27"/>
      <c r="H1119" s="989">
        <f>SF!H83</f>
        <v>19.373390077688924</v>
      </c>
      <c r="I1119" s="696"/>
      <c r="J1119" s="989">
        <f>SF!J83</f>
        <v>37.512792074379419</v>
      </c>
      <c r="K1119" s="376">
        <v>1</v>
      </c>
    </row>
    <row r="1120" spans="1:11">
      <c r="A1120" s="290" t="s">
        <v>1137</v>
      </c>
      <c r="B1120" s="11"/>
      <c r="C1120" s="11"/>
      <c r="D1120" s="11"/>
      <c r="E1120" s="191"/>
      <c r="F1120" s="197"/>
      <c r="G1120" s="211"/>
      <c r="H1120" s="89"/>
      <c r="I1120" s="197"/>
      <c r="J1120" s="89"/>
      <c r="K1120" s="994">
        <v>0.3</v>
      </c>
    </row>
    <row r="1121" spans="1:11">
      <c r="A1121" s="25" t="s">
        <v>1007</v>
      </c>
      <c r="B1121" s="26" t="s">
        <v>988</v>
      </c>
      <c r="C1121" s="26"/>
      <c r="D1121" s="26"/>
      <c r="E1121" s="27"/>
      <c r="F1121" s="196">
        <f>SF!F87</f>
        <v>31.607279999999999</v>
      </c>
      <c r="G1121" s="211"/>
      <c r="H1121" s="34"/>
      <c r="I1121" s="196">
        <f>SF!I87</f>
        <v>-15.140358000000003</v>
      </c>
      <c r="J1121" s="196">
        <f>SF!J87</f>
        <v>0</v>
      </c>
      <c r="K1121" s="376">
        <v>-0.3</v>
      </c>
    </row>
    <row r="1122" spans="1:11">
      <c r="A1122" s="25" t="s">
        <v>1008</v>
      </c>
      <c r="B1122" s="26" t="s">
        <v>989</v>
      </c>
      <c r="C1122" s="26"/>
      <c r="D1122" s="26"/>
      <c r="E1122" s="27"/>
      <c r="F1122" s="196">
        <f>SF!F88</f>
        <v>31.607279999999999</v>
      </c>
      <c r="G1122" s="211"/>
      <c r="H1122" s="34"/>
      <c r="I1122" s="196">
        <f>SF!I88</f>
        <v>15.140358000000003</v>
      </c>
      <c r="J1122" s="196">
        <f>SF!J88</f>
        <v>0</v>
      </c>
      <c r="K1122" s="268">
        <v>-0.3</v>
      </c>
    </row>
    <row r="1123" spans="1:11">
      <c r="A1123" s="25" t="s">
        <v>1009</v>
      </c>
      <c r="B1123" s="26" t="s">
        <v>1000</v>
      </c>
      <c r="C1123" s="26"/>
      <c r="D1123" s="26"/>
      <c r="E1123" s="27"/>
      <c r="F1123" s="196">
        <f>SF!F92</f>
        <v>7.0373232000000003</v>
      </c>
      <c r="G1123" s="211"/>
      <c r="H1123" s="34"/>
      <c r="I1123" s="196">
        <f>SF!I92</f>
        <v>-3.5186616000000002</v>
      </c>
      <c r="J1123" s="196">
        <f>SF!J92</f>
        <v>-1.0914190890810807</v>
      </c>
      <c r="K1123" s="268">
        <v>-0.06</v>
      </c>
    </row>
    <row r="1124" spans="1:11">
      <c r="A1124" s="25" t="s">
        <v>1010</v>
      </c>
      <c r="B1124" s="26" t="s">
        <v>1001</v>
      </c>
      <c r="C1124" s="26"/>
      <c r="D1124" s="26"/>
      <c r="E1124" s="27"/>
      <c r="F1124" s="196">
        <f>SF!F93</f>
        <v>8.1200139428571472</v>
      </c>
      <c r="G1124" s="211"/>
      <c r="H1124" s="34"/>
      <c r="I1124" s="196">
        <f>SF!I93</f>
        <v>4.0600069714285736</v>
      </c>
      <c r="J1124" s="196">
        <f>SF!J93</f>
        <v>-1.259333693930502</v>
      </c>
      <c r="K1124" s="268">
        <v>-0.06</v>
      </c>
    </row>
    <row r="1125" spans="1:11">
      <c r="A1125" s="25" t="s">
        <v>1011</v>
      </c>
      <c r="B1125" s="26" t="s">
        <v>211</v>
      </c>
      <c r="C1125" s="26"/>
      <c r="D1125" s="26"/>
      <c r="E1125" s="27"/>
      <c r="F1125" s="196">
        <f>SF!F98</f>
        <v>17.865688175801139</v>
      </c>
      <c r="G1125" s="211"/>
      <c r="H1125" s="197"/>
      <c r="I1125" s="196">
        <f>SF!I98</f>
        <v>0</v>
      </c>
      <c r="J1125" s="196">
        <f>SF!J98</f>
        <v>0</v>
      </c>
      <c r="K1125" s="268">
        <v>-0.3</v>
      </c>
    </row>
    <row r="1126" spans="1:11">
      <c r="A1126" s="686" t="s">
        <v>1473</v>
      </c>
      <c r="B1126" s="688" t="s">
        <v>1045</v>
      </c>
      <c r="C1126" s="688"/>
      <c r="D1126" s="688"/>
      <c r="E1126" s="689"/>
      <c r="F1126" s="695">
        <f>SF!F101</f>
        <v>21.56382</v>
      </c>
      <c r="G1126" s="621"/>
      <c r="H1126" s="620"/>
      <c r="I1126" s="695">
        <f>SF!I101</f>
        <v>0</v>
      </c>
      <c r="J1126" s="695">
        <f>SF!J101</f>
        <v>0</v>
      </c>
      <c r="K1126" s="268">
        <v>-0.3</v>
      </c>
    </row>
    <row r="1127" spans="1:11">
      <c r="A1127" s="253"/>
      <c r="B1127" s="15"/>
      <c r="C1127" s="15"/>
      <c r="D1127" s="15"/>
      <c r="E1127" s="22"/>
      <c r="F1127" s="212"/>
      <c r="G1127" s="213"/>
      <c r="H1127" s="198"/>
      <c r="I1127" s="198"/>
      <c r="J1127" s="58"/>
      <c r="K1127" s="379"/>
    </row>
    <row r="1128" spans="1:11">
      <c r="A1128" s="46"/>
      <c r="B1128" s="46"/>
      <c r="C1128" s="46"/>
      <c r="D1128" s="46"/>
      <c r="E1128" s="46"/>
      <c r="F1128" s="46"/>
      <c r="G1128" s="46"/>
      <c r="H1128" s="46"/>
      <c r="I1128" s="46"/>
      <c r="J1128" s="46"/>
      <c r="K1128" s="87"/>
    </row>
    <row r="1129" spans="1:11">
      <c r="A1129" s="220" t="s">
        <v>73</v>
      </c>
      <c r="B1129" s="220" t="s">
        <v>74</v>
      </c>
      <c r="C1129" s="200"/>
      <c r="D1129" s="200"/>
      <c r="E1129" s="217"/>
      <c r="F1129" s="1636" t="s">
        <v>72</v>
      </c>
      <c r="G1129" s="1637"/>
      <c r="H1129" s="1637"/>
      <c r="I1129" s="1637"/>
      <c r="J1129" s="1638"/>
      <c r="K1129" s="87"/>
    </row>
    <row r="1130" spans="1:11" ht="18">
      <c r="A1130" s="221"/>
      <c r="B1130" s="221"/>
      <c r="C1130" s="201"/>
      <c r="D1130" s="201"/>
      <c r="E1130" s="219"/>
      <c r="F1130" s="223" t="s">
        <v>23</v>
      </c>
      <c r="G1130" s="223" t="s">
        <v>87</v>
      </c>
      <c r="H1130" s="223" t="s">
        <v>212</v>
      </c>
      <c r="I1130" s="223" t="s">
        <v>80</v>
      </c>
      <c r="J1130" s="223" t="s">
        <v>81</v>
      </c>
      <c r="K1130" s="87"/>
    </row>
    <row r="1131" spans="1:11">
      <c r="A1131" s="222"/>
      <c r="B1131" s="222"/>
      <c r="C1131" s="203"/>
      <c r="D1131" s="203"/>
      <c r="E1131" s="218"/>
      <c r="F1131" s="204" t="s">
        <v>34</v>
      </c>
      <c r="G1131" s="204" t="s">
        <v>34</v>
      </c>
      <c r="H1131" s="203" t="s">
        <v>34</v>
      </c>
      <c r="I1131" s="204" t="s">
        <v>77</v>
      </c>
      <c r="J1131" s="204" t="s">
        <v>77</v>
      </c>
      <c r="K1131" s="87"/>
    </row>
    <row r="1132" spans="1:11">
      <c r="A1132" s="202"/>
      <c r="B1132" s="200"/>
      <c r="C1132" s="200"/>
      <c r="D1132" s="200"/>
      <c r="E1132" s="217"/>
      <c r="F1132" s="205"/>
      <c r="G1132" s="205"/>
      <c r="H1132" s="201"/>
      <c r="I1132" s="205"/>
      <c r="J1132" s="205"/>
      <c r="K1132" s="87"/>
    </row>
    <row r="1133" spans="1:11">
      <c r="A1133" s="205" t="str">
        <f>A1091</f>
        <v>LC-34</v>
      </c>
      <c r="B1133" s="201" t="str">
        <f>B1091</f>
        <v>LC-23 + Seismic Sx=0.3,Sz=1,Sy=-0.3</v>
      </c>
      <c r="C1133" s="201"/>
      <c r="D1133" s="201"/>
      <c r="E1133" s="219"/>
      <c r="F1133" s="205">
        <f>SUMPRODUCT(F1094:F1126,$K$1094:$K$1126)</f>
        <v>879.85211415139281</v>
      </c>
      <c r="G1133" s="1080">
        <f>SUMPRODUCT(G1094:G1126,$K$1094:$K$1126)</f>
        <v>59.841472389341455</v>
      </c>
      <c r="H1133" s="1080">
        <f>SUMPRODUCT(H1094:H1126,$K$1094:$K$1126)</f>
        <v>181.426411733462</v>
      </c>
      <c r="I1133" s="1080">
        <f>SUMPRODUCT(I1094:I1126,$K$1094:$K$1126)</f>
        <v>345.44976136731327</v>
      </c>
      <c r="J1133" s="1080">
        <f>SUMPRODUCT(J1094:J1126,$K$1094:$K$1126)</f>
        <v>1131.086642431892</v>
      </c>
      <c r="K1133" s="87"/>
    </row>
    <row r="1134" spans="1:11">
      <c r="A1134" s="204"/>
      <c r="B1134" s="203"/>
      <c r="C1134" s="203"/>
      <c r="D1134" s="203"/>
      <c r="E1134" s="218"/>
      <c r="F1134" s="204"/>
      <c r="G1134" s="204"/>
      <c r="H1134" s="203"/>
      <c r="I1134" s="204"/>
      <c r="J1134" s="204"/>
      <c r="K1134" s="87"/>
    </row>
    <row r="1137" spans="1:11">
      <c r="A1137" s="1318" t="str">
        <f>K1137</f>
        <v>LC-35</v>
      </c>
      <c r="B1137" s="24" t="str">
        <f>VLOOKUP(A1137,LC_DEF_2!A3:B42,2,FALSE)</f>
        <v>LC-23 + Seismic Sx=1,Sz=0.3,Sy=0.3</v>
      </c>
      <c r="C1137" s="24"/>
      <c r="D1137" s="24"/>
      <c r="E1137" s="21"/>
      <c r="F1137" s="1635" t="s">
        <v>742</v>
      </c>
      <c r="G1137" s="1635"/>
      <c r="H1137" s="1635"/>
      <c r="I1137" s="1635"/>
      <c r="J1137" s="1600"/>
      <c r="K1137" s="413" t="s">
        <v>1172</v>
      </c>
    </row>
    <row r="1138" spans="1:11" ht="18">
      <c r="A1138" s="25" t="s">
        <v>73</v>
      </c>
      <c r="B1138" s="26" t="s">
        <v>74</v>
      </c>
      <c r="C1138" s="26"/>
      <c r="D1138" s="26"/>
      <c r="E1138" s="27"/>
      <c r="F1138" s="32" t="s">
        <v>23</v>
      </c>
      <c r="G1138" s="33" t="s">
        <v>87</v>
      </c>
      <c r="H1138" s="33" t="s">
        <v>212</v>
      </c>
      <c r="I1138" s="33" t="s">
        <v>80</v>
      </c>
      <c r="J1138" s="33" t="s">
        <v>81</v>
      </c>
      <c r="K1138" s="376"/>
    </row>
    <row r="1139" spans="1:11">
      <c r="A1139" s="28"/>
      <c r="B1139" s="15"/>
      <c r="C1139" s="15"/>
      <c r="D1139" s="15"/>
      <c r="E1139" s="22"/>
      <c r="F1139" s="21" t="s">
        <v>34</v>
      </c>
      <c r="G1139" s="36" t="s">
        <v>34</v>
      </c>
      <c r="H1139" s="36" t="s">
        <v>34</v>
      </c>
      <c r="I1139" s="36" t="s">
        <v>77</v>
      </c>
      <c r="J1139" s="36" t="s">
        <v>77</v>
      </c>
      <c r="K1139" s="376"/>
    </row>
    <row r="1140" spans="1:11">
      <c r="A1140" s="25" t="s">
        <v>88</v>
      </c>
      <c r="B1140" s="26" t="s">
        <v>75</v>
      </c>
      <c r="C1140" s="26"/>
      <c r="D1140" s="26"/>
      <c r="E1140" s="27"/>
      <c r="F1140" s="195">
        <f>SF!F14</f>
        <v>365.08803866482532</v>
      </c>
      <c r="G1140" s="210"/>
      <c r="H1140" s="34"/>
      <c r="I1140" s="195">
        <f>SF!I14</f>
        <v>0</v>
      </c>
      <c r="J1140" s="195">
        <f>SF!J14</f>
        <v>0</v>
      </c>
      <c r="K1140" s="268">
        <v>1</v>
      </c>
    </row>
    <row r="1141" spans="1:11">
      <c r="A1141" s="25" t="s">
        <v>90</v>
      </c>
      <c r="B1141" s="26" t="s">
        <v>249</v>
      </c>
      <c r="C1141" s="26"/>
      <c r="D1141" s="26"/>
      <c r="E1141" s="27"/>
      <c r="F1141" s="195">
        <f>SF!F16</f>
        <v>36.639026644707663</v>
      </c>
      <c r="G1141" s="210"/>
      <c r="H1141" s="34"/>
      <c r="I1141" s="195">
        <f>SF!I16</f>
        <v>0</v>
      </c>
      <c r="J1141" s="195">
        <f>SF!J16</f>
        <v>0</v>
      </c>
      <c r="K1141" s="268">
        <v>1</v>
      </c>
    </row>
    <row r="1142" spans="1:11">
      <c r="A1142" s="25" t="s">
        <v>250</v>
      </c>
      <c r="B1142" s="26" t="s">
        <v>967</v>
      </c>
      <c r="C1142" s="26"/>
      <c r="D1142" s="26"/>
      <c r="E1142" s="27"/>
      <c r="F1142" s="195">
        <f>SF!F19</f>
        <v>230</v>
      </c>
      <c r="G1142" s="27"/>
      <c r="H1142" s="34"/>
      <c r="I1142" s="195">
        <f>SF!I19</f>
        <v>-115</v>
      </c>
      <c r="J1142" s="195">
        <f>SF!J19</f>
        <v>0</v>
      </c>
      <c r="K1142" s="376">
        <v>1</v>
      </c>
    </row>
    <row r="1143" spans="1:11">
      <c r="A1143" s="25" t="s">
        <v>251</v>
      </c>
      <c r="B1143" s="26" t="s">
        <v>968</v>
      </c>
      <c r="C1143" s="26"/>
      <c r="D1143" s="26"/>
      <c r="E1143" s="27"/>
      <c r="F1143" s="195">
        <f>SF!F20</f>
        <v>20.660000000000004</v>
      </c>
      <c r="G1143" s="27"/>
      <c r="H1143" s="34"/>
      <c r="I1143" s="195">
        <f>SF!I20</f>
        <v>-10.330000000000002</v>
      </c>
      <c r="J1143" s="195">
        <f>SF!J20</f>
        <v>0</v>
      </c>
      <c r="K1143" s="376">
        <v>1</v>
      </c>
    </row>
    <row r="1144" spans="1:11">
      <c r="A1144" s="25" t="s">
        <v>97</v>
      </c>
      <c r="B1144" s="26" t="s">
        <v>969</v>
      </c>
      <c r="C1144" s="26"/>
      <c r="D1144" s="26"/>
      <c r="E1144" s="27"/>
      <c r="F1144" s="195">
        <f>SF!F21</f>
        <v>42</v>
      </c>
      <c r="G1144" s="27"/>
      <c r="H1144" s="34"/>
      <c r="I1144" s="195">
        <f>SF!I21</f>
        <v>-14.858499999999999</v>
      </c>
      <c r="J1144" s="195">
        <f>SF!J21</f>
        <v>0</v>
      </c>
      <c r="K1144" s="376">
        <v>1</v>
      </c>
    </row>
    <row r="1145" spans="1:11">
      <c r="A1145" s="25" t="s">
        <v>250</v>
      </c>
      <c r="B1145" s="26" t="s">
        <v>970</v>
      </c>
      <c r="C1145" s="26"/>
      <c r="D1145" s="26"/>
      <c r="E1145" s="27"/>
      <c r="F1145" s="195">
        <f>SF!F23</f>
        <v>230</v>
      </c>
      <c r="G1145" s="27"/>
      <c r="H1145" s="34"/>
      <c r="I1145" s="195">
        <f>SF!I23</f>
        <v>115</v>
      </c>
      <c r="J1145" s="195">
        <f>SF!J23</f>
        <v>0</v>
      </c>
      <c r="K1145" s="376">
        <v>1</v>
      </c>
    </row>
    <row r="1146" spans="1:11">
      <c r="A1146" s="25" t="s">
        <v>251</v>
      </c>
      <c r="B1146" s="26" t="s">
        <v>971</v>
      </c>
      <c r="C1146" s="26"/>
      <c r="D1146" s="26"/>
      <c r="E1146" s="27"/>
      <c r="F1146" s="195">
        <f>SF!F24</f>
        <v>20.660000000000004</v>
      </c>
      <c r="G1146" s="27"/>
      <c r="H1146" s="34"/>
      <c r="I1146" s="195">
        <f>SF!I24</f>
        <v>10.330000000000002</v>
      </c>
      <c r="J1146" s="195">
        <f>SF!J24</f>
        <v>0</v>
      </c>
      <c r="K1146" s="268">
        <v>1</v>
      </c>
    </row>
    <row r="1147" spans="1:11">
      <c r="A1147" s="25" t="s">
        <v>97</v>
      </c>
      <c r="B1147" s="26" t="s">
        <v>972</v>
      </c>
      <c r="C1147" s="26"/>
      <c r="D1147" s="26"/>
      <c r="E1147" s="27"/>
      <c r="F1147" s="195">
        <f>SF!F25</f>
        <v>42</v>
      </c>
      <c r="G1147" s="27"/>
      <c r="H1147" s="34"/>
      <c r="I1147" s="195">
        <f>SF!I25</f>
        <v>14.858499999999999</v>
      </c>
      <c r="J1147" s="195">
        <f>SF!J25</f>
        <v>0</v>
      </c>
      <c r="K1147" s="376">
        <v>1</v>
      </c>
    </row>
    <row r="1148" spans="1:11">
      <c r="A1148" s="25" t="s">
        <v>976</v>
      </c>
      <c r="B1148" s="26" t="s">
        <v>978</v>
      </c>
      <c r="C1148" s="26"/>
      <c r="D1148" s="26"/>
      <c r="E1148" s="27"/>
      <c r="F1148" s="195">
        <f>SF!F29</f>
        <v>65.160399999999996</v>
      </c>
      <c r="G1148" s="27"/>
      <c r="H1148" s="34"/>
      <c r="I1148" s="195">
        <f>SF!I29</f>
        <v>-32.580199999999998</v>
      </c>
      <c r="J1148" s="195">
        <f>SF!J29</f>
        <v>-10.105732306306301</v>
      </c>
      <c r="K1148" s="268">
        <v>0.2</v>
      </c>
    </row>
    <row r="1149" spans="1:11">
      <c r="A1149" s="25" t="s">
        <v>977</v>
      </c>
      <c r="B1149" s="26" t="s">
        <v>979</v>
      </c>
      <c r="C1149" s="26"/>
      <c r="D1149" s="26"/>
      <c r="E1149" s="27"/>
      <c r="F1149" s="195">
        <f>SF!F30</f>
        <v>75.185314285714313</v>
      </c>
      <c r="G1149" s="27"/>
      <c r="H1149" s="34"/>
      <c r="I1149" s="195">
        <f>SF!I30</f>
        <v>37.592657142857156</v>
      </c>
      <c r="J1149" s="195">
        <f>SF!J30</f>
        <v>-11.660497166023164</v>
      </c>
      <c r="K1149" s="268">
        <v>0.2</v>
      </c>
    </row>
    <row r="1150" spans="1:11">
      <c r="A1150" s="686" t="s">
        <v>1128</v>
      </c>
      <c r="B1150" s="687"/>
      <c r="C1150" s="688"/>
      <c r="D1150" s="688"/>
      <c r="E1150" s="689"/>
      <c r="F1150" s="696">
        <f>SF!F43</f>
        <v>-103.56143333397094</v>
      </c>
      <c r="G1150" s="689"/>
      <c r="H1150" s="690"/>
      <c r="I1150" s="690"/>
      <c r="J1150" s="690"/>
      <c r="K1150" s="376">
        <v>1</v>
      </c>
    </row>
    <row r="1151" spans="1:11">
      <c r="A1151" s="686" t="s">
        <v>1131</v>
      </c>
      <c r="B1151" s="687"/>
      <c r="C1151" s="688"/>
      <c r="D1151" s="688"/>
      <c r="E1151" s="689"/>
      <c r="F1151" s="690"/>
      <c r="G1151" s="696">
        <f>SF!G47</f>
        <v>3.2856246869242693</v>
      </c>
      <c r="H1151" s="696">
        <f>SF!H47</f>
        <v>3.5397182492142409</v>
      </c>
      <c r="I1151" s="696">
        <f>SF!I47</f>
        <v>7.0628515103002814</v>
      </c>
      <c r="J1151" s="696">
        <f>SF!J47</f>
        <v>5.3297614737052639</v>
      </c>
      <c r="K1151" s="376">
        <v>1</v>
      </c>
    </row>
    <row r="1152" spans="1:11">
      <c r="A1152" s="278" t="s">
        <v>1132</v>
      </c>
      <c r="B1152" s="262"/>
      <c r="C1152" s="262"/>
      <c r="D1152" s="262"/>
      <c r="E1152" s="263"/>
      <c r="F1152" s="279"/>
      <c r="G1152" s="280"/>
      <c r="H1152" s="264"/>
      <c r="I1152" s="279"/>
      <c r="J1152" s="264"/>
      <c r="K1152" s="650">
        <v>1</v>
      </c>
    </row>
    <row r="1153" spans="1:11">
      <c r="A1153" s="25" t="s">
        <v>991</v>
      </c>
      <c r="B1153" s="26" t="s">
        <v>989</v>
      </c>
      <c r="C1153" s="26"/>
      <c r="D1153" s="26"/>
      <c r="E1153" s="27"/>
      <c r="F1153" s="197"/>
      <c r="G1153" s="172">
        <f>SF!G52</f>
        <v>94.821839999999995</v>
      </c>
      <c r="H1153" s="34"/>
      <c r="I1153" s="172">
        <f>SF!I52</f>
        <v>785.12483520000001</v>
      </c>
      <c r="J1153" s="89"/>
      <c r="K1153" s="268">
        <v>1</v>
      </c>
    </row>
    <row r="1154" spans="1:11">
      <c r="A1154" s="25" t="s">
        <v>994</v>
      </c>
      <c r="B1154" s="26" t="s">
        <v>996</v>
      </c>
      <c r="C1154" s="26"/>
      <c r="D1154" s="26"/>
      <c r="E1154" s="27"/>
      <c r="F1154" s="197"/>
      <c r="G1154" s="172">
        <f>SF!G56</f>
        <v>4.5540000000000003</v>
      </c>
      <c r="H1154" s="34"/>
      <c r="I1154" s="172">
        <f>SF!I56</f>
        <v>37.70712000000001</v>
      </c>
      <c r="J1154" s="89"/>
      <c r="K1154" s="376">
        <v>1</v>
      </c>
    </row>
    <row r="1155" spans="1:11">
      <c r="A1155" s="25" t="s">
        <v>217</v>
      </c>
      <c r="B1155" s="26" t="s">
        <v>211</v>
      </c>
      <c r="C1155" s="26"/>
      <c r="D1155" s="26"/>
      <c r="E1155" s="27"/>
      <c r="F1155" s="197"/>
      <c r="G1155" s="196">
        <f>SF!G58</f>
        <v>26.798532263701709</v>
      </c>
      <c r="H1155" s="199"/>
      <c r="I1155" s="172">
        <f>SF!I58</f>
        <v>147.28381289471153</v>
      </c>
      <c r="J1155" s="195"/>
      <c r="K1155" s="376">
        <v>1</v>
      </c>
    </row>
    <row r="1156" spans="1:11">
      <c r="A1156" s="686" t="s">
        <v>1472</v>
      </c>
      <c r="B1156" s="688" t="s">
        <v>1045</v>
      </c>
      <c r="C1156" s="688"/>
      <c r="D1156" s="688"/>
      <c r="E1156" s="689"/>
      <c r="F1156" s="620"/>
      <c r="G1156" s="695">
        <f>SF!G61</f>
        <v>32.345729999999996</v>
      </c>
      <c r="H1156" s="690"/>
      <c r="I1156" s="695">
        <f>SF!I61</f>
        <v>29.111156999999999</v>
      </c>
      <c r="J1156" s="269"/>
      <c r="K1156" s="376">
        <v>1</v>
      </c>
    </row>
    <row r="1157" spans="1:11">
      <c r="A1157" s="686" t="s">
        <v>1139</v>
      </c>
      <c r="B1157" s="688" t="s">
        <v>1140</v>
      </c>
      <c r="C1157" s="688"/>
      <c r="D1157" s="688"/>
      <c r="E1157" s="689"/>
      <c r="F1157" s="620"/>
      <c r="G1157" s="695">
        <f>SF!G63</f>
        <v>19.373390077688924</v>
      </c>
      <c r="H1157" s="690"/>
      <c r="I1157" s="695">
        <f>SF!I63</f>
        <v>37.512792074379419</v>
      </c>
      <c r="J1157" s="269"/>
      <c r="K1157" s="376">
        <v>1</v>
      </c>
    </row>
    <row r="1158" spans="1:11">
      <c r="A1158" s="278" t="s">
        <v>1135</v>
      </c>
      <c r="B1158" s="262"/>
      <c r="C1158" s="262"/>
      <c r="D1158" s="262"/>
      <c r="E1158" s="263"/>
      <c r="F1158" s="279"/>
      <c r="G1158" s="280"/>
      <c r="H1158" s="264"/>
      <c r="I1158" s="279"/>
      <c r="J1158" s="264"/>
      <c r="K1158" s="708">
        <v>0.3</v>
      </c>
    </row>
    <row r="1159" spans="1:11">
      <c r="A1159" s="25" t="s">
        <v>997</v>
      </c>
      <c r="B1159" s="26" t="s">
        <v>988</v>
      </c>
      <c r="C1159" s="26"/>
      <c r="D1159" s="26"/>
      <c r="E1159" s="27"/>
      <c r="F1159" s="197"/>
      <c r="G1159" s="211"/>
      <c r="H1159" s="254">
        <f>SF!H67</f>
        <v>47.410919999999997</v>
      </c>
      <c r="I1159" s="197"/>
      <c r="J1159" s="254">
        <f>SF!J67</f>
        <v>433.10062959257624</v>
      </c>
      <c r="K1159" s="268">
        <v>0.3</v>
      </c>
    </row>
    <row r="1160" spans="1:11">
      <c r="A1160" s="25" t="s">
        <v>998</v>
      </c>
      <c r="B1160" s="26" t="s">
        <v>989</v>
      </c>
      <c r="C1160" s="26"/>
      <c r="D1160" s="26"/>
      <c r="E1160" s="27"/>
      <c r="F1160" s="197"/>
      <c r="G1160" s="211"/>
      <c r="H1160" s="254">
        <f>SF!H68</f>
        <v>47.410919999999997</v>
      </c>
      <c r="I1160" s="197"/>
      <c r="J1160" s="254">
        <f>SF!J68</f>
        <v>433.10062959257624</v>
      </c>
      <c r="K1160" s="376">
        <v>0.3</v>
      </c>
    </row>
    <row r="1161" spans="1:11">
      <c r="A1161" s="25" t="s">
        <v>1004</v>
      </c>
      <c r="B1161" s="26" t="s">
        <v>1000</v>
      </c>
      <c r="C1161" s="26"/>
      <c r="D1161" s="26"/>
      <c r="E1161" s="27"/>
      <c r="F1161" s="197"/>
      <c r="G1161" s="211"/>
      <c r="H1161" s="254">
        <f>SF!H72</f>
        <v>10.555984799999999</v>
      </c>
      <c r="I1161" s="197"/>
      <c r="J1161" s="254">
        <f>SF!J72</f>
        <v>115.74637333199999</v>
      </c>
      <c r="K1161" s="376">
        <v>0.06</v>
      </c>
    </row>
    <row r="1162" spans="1:11">
      <c r="A1162" s="25" t="s">
        <v>1005</v>
      </c>
      <c r="B1162" s="26" t="s">
        <v>1001</v>
      </c>
      <c r="C1162" s="26"/>
      <c r="D1162" s="26"/>
      <c r="E1162" s="27"/>
      <c r="F1162" s="197"/>
      <c r="G1162" s="211"/>
      <c r="H1162" s="254">
        <f>SF!H73</f>
        <v>12.18002091428572</v>
      </c>
      <c r="I1162" s="197"/>
      <c r="J1162" s="254">
        <f>SF!J73</f>
        <v>133.55392932514292</v>
      </c>
      <c r="K1162" s="376">
        <v>0.06</v>
      </c>
    </row>
    <row r="1163" spans="1:11">
      <c r="A1163" s="25" t="s">
        <v>1006</v>
      </c>
      <c r="B1163" s="26" t="s">
        <v>211</v>
      </c>
      <c r="C1163" s="26"/>
      <c r="D1163" s="26"/>
      <c r="E1163" s="27"/>
      <c r="F1163" s="197"/>
      <c r="G1163" s="195"/>
      <c r="H1163" s="254">
        <f>SF!H78</f>
        <v>26.798532263701709</v>
      </c>
      <c r="I1163" s="195"/>
      <c r="J1163" s="254">
        <f>SF!J78</f>
        <v>147.28381289471153</v>
      </c>
      <c r="K1163" s="376">
        <v>0.3</v>
      </c>
    </row>
    <row r="1164" spans="1:11">
      <c r="A1164" s="686" t="s">
        <v>1138</v>
      </c>
      <c r="B1164" s="688" t="s">
        <v>1045</v>
      </c>
      <c r="C1164" s="688"/>
      <c r="D1164" s="688"/>
      <c r="E1164" s="689"/>
      <c r="F1164" s="620"/>
      <c r="G1164" s="711"/>
      <c r="H1164" s="989">
        <f>SF!H81</f>
        <v>32.345729999999996</v>
      </c>
      <c r="I1164" s="696"/>
      <c r="J1164" s="989">
        <f>SF!J81</f>
        <v>29.111156999999999</v>
      </c>
      <c r="K1164" s="376">
        <v>0.3</v>
      </c>
    </row>
    <row r="1165" spans="1:11">
      <c r="A1165" s="686" t="s">
        <v>1138</v>
      </c>
      <c r="B1165" s="688" t="s">
        <v>1141</v>
      </c>
      <c r="C1165" s="26"/>
      <c r="D1165" s="26"/>
      <c r="E1165" s="27"/>
      <c r="F1165" s="34"/>
      <c r="G1165" s="27"/>
      <c r="H1165" s="989">
        <f>SF!H83</f>
        <v>19.373390077688924</v>
      </c>
      <c r="I1165" s="696"/>
      <c r="J1165" s="989">
        <f>SF!J83</f>
        <v>37.512792074379419</v>
      </c>
      <c r="K1165" s="376">
        <v>0.3</v>
      </c>
    </row>
    <row r="1166" spans="1:11">
      <c r="A1166" s="290" t="s">
        <v>1137</v>
      </c>
      <c r="B1166" s="11"/>
      <c r="C1166" s="11"/>
      <c r="D1166" s="11"/>
      <c r="E1166" s="191"/>
      <c r="F1166" s="197"/>
      <c r="G1166" s="211"/>
      <c r="H1166" s="89"/>
      <c r="I1166" s="197"/>
      <c r="J1166" s="89"/>
      <c r="K1166" s="994">
        <v>0.3</v>
      </c>
    </row>
    <row r="1167" spans="1:11">
      <c r="A1167" s="25" t="s">
        <v>1007</v>
      </c>
      <c r="B1167" s="26" t="s">
        <v>988</v>
      </c>
      <c r="C1167" s="26"/>
      <c r="D1167" s="26"/>
      <c r="E1167" s="27"/>
      <c r="F1167" s="196">
        <f>SF!F87</f>
        <v>31.607279999999999</v>
      </c>
      <c r="G1167" s="211"/>
      <c r="H1167" s="34"/>
      <c r="I1167" s="196">
        <f>SF!I87</f>
        <v>-15.140358000000003</v>
      </c>
      <c r="J1167" s="196">
        <f>SF!J87</f>
        <v>0</v>
      </c>
      <c r="K1167" s="376">
        <v>0.3</v>
      </c>
    </row>
    <row r="1168" spans="1:11">
      <c r="A1168" s="25" t="s">
        <v>1008</v>
      </c>
      <c r="B1168" s="26" t="s">
        <v>989</v>
      </c>
      <c r="C1168" s="26"/>
      <c r="D1168" s="26"/>
      <c r="E1168" s="27"/>
      <c r="F1168" s="196">
        <f>SF!F88</f>
        <v>31.607279999999999</v>
      </c>
      <c r="G1168" s="211"/>
      <c r="H1168" s="34"/>
      <c r="I1168" s="196">
        <f>SF!I88</f>
        <v>15.140358000000003</v>
      </c>
      <c r="J1168" s="196">
        <f>SF!J88</f>
        <v>0</v>
      </c>
      <c r="K1168" s="268">
        <v>0.3</v>
      </c>
    </row>
    <row r="1169" spans="1:11">
      <c r="A1169" s="25" t="s">
        <v>1009</v>
      </c>
      <c r="B1169" s="26" t="s">
        <v>1000</v>
      </c>
      <c r="C1169" s="26"/>
      <c r="D1169" s="26"/>
      <c r="E1169" s="27"/>
      <c r="F1169" s="196">
        <f>SF!F92</f>
        <v>7.0373232000000003</v>
      </c>
      <c r="G1169" s="211"/>
      <c r="H1169" s="34"/>
      <c r="I1169" s="196">
        <f>SF!I92</f>
        <v>-3.5186616000000002</v>
      </c>
      <c r="J1169" s="196">
        <f>SF!J92</f>
        <v>-1.0914190890810807</v>
      </c>
      <c r="K1169" s="268">
        <v>0.06</v>
      </c>
    </row>
    <row r="1170" spans="1:11">
      <c r="A1170" s="25" t="s">
        <v>1010</v>
      </c>
      <c r="B1170" s="26" t="s">
        <v>1001</v>
      </c>
      <c r="C1170" s="26"/>
      <c r="D1170" s="26"/>
      <c r="E1170" s="27"/>
      <c r="F1170" s="196">
        <f>SF!F93</f>
        <v>8.1200139428571472</v>
      </c>
      <c r="G1170" s="211"/>
      <c r="H1170" s="34"/>
      <c r="I1170" s="196">
        <f>SF!I93</f>
        <v>4.0600069714285736</v>
      </c>
      <c r="J1170" s="196">
        <f>SF!J93</f>
        <v>-1.259333693930502</v>
      </c>
      <c r="K1170" s="268">
        <v>0.06</v>
      </c>
    </row>
    <row r="1171" spans="1:11">
      <c r="A1171" s="25" t="s">
        <v>1011</v>
      </c>
      <c r="B1171" s="26" t="s">
        <v>211</v>
      </c>
      <c r="C1171" s="26"/>
      <c r="D1171" s="26"/>
      <c r="E1171" s="27"/>
      <c r="F1171" s="196">
        <f>SF!F98</f>
        <v>17.865688175801139</v>
      </c>
      <c r="G1171" s="211"/>
      <c r="H1171" s="197"/>
      <c r="I1171" s="196">
        <f>SF!I98</f>
        <v>0</v>
      </c>
      <c r="J1171" s="196">
        <f>SF!J98</f>
        <v>0</v>
      </c>
      <c r="K1171" s="268">
        <v>0.3</v>
      </c>
    </row>
    <row r="1172" spans="1:11">
      <c r="A1172" s="686" t="s">
        <v>1473</v>
      </c>
      <c r="B1172" s="688" t="s">
        <v>1045</v>
      </c>
      <c r="C1172" s="688"/>
      <c r="D1172" s="688"/>
      <c r="E1172" s="689"/>
      <c r="F1172" s="695">
        <f>SF!F101</f>
        <v>21.56382</v>
      </c>
      <c r="G1172" s="621"/>
      <c r="H1172" s="620"/>
      <c r="I1172" s="695">
        <f>SF!I101</f>
        <v>0</v>
      </c>
      <c r="J1172" s="695">
        <f>SF!J101</f>
        <v>0</v>
      </c>
      <c r="K1172" s="268">
        <v>0.3</v>
      </c>
    </row>
    <row r="1173" spans="1:11">
      <c r="A1173" s="253"/>
      <c r="B1173" s="15"/>
      <c r="C1173" s="15"/>
      <c r="D1173" s="15"/>
      <c r="E1173" s="22"/>
      <c r="F1173" s="212"/>
      <c r="G1173" s="213"/>
      <c r="H1173" s="198"/>
      <c r="I1173" s="198"/>
      <c r="J1173" s="58"/>
      <c r="K1173" s="379"/>
    </row>
    <row r="1174" spans="1:11">
      <c r="A1174" s="46"/>
      <c r="B1174" s="46"/>
      <c r="C1174" s="46"/>
      <c r="D1174" s="46"/>
      <c r="E1174" s="46"/>
      <c r="F1174" s="46"/>
      <c r="G1174" s="46"/>
      <c r="H1174" s="46"/>
      <c r="I1174" s="46"/>
      <c r="J1174" s="46"/>
      <c r="K1174" s="87"/>
    </row>
    <row r="1175" spans="1:11">
      <c r="A1175" s="220" t="s">
        <v>73</v>
      </c>
      <c r="B1175" s="220" t="s">
        <v>74</v>
      </c>
      <c r="C1175" s="200"/>
      <c r="D1175" s="200"/>
      <c r="E1175" s="217"/>
      <c r="F1175" s="1636" t="s">
        <v>72</v>
      </c>
      <c r="G1175" s="1637"/>
      <c r="H1175" s="1637"/>
      <c r="I1175" s="1637"/>
      <c r="J1175" s="1638"/>
      <c r="K1175" s="87"/>
    </row>
    <row r="1176" spans="1:11" ht="18">
      <c r="A1176" s="221"/>
      <c r="B1176" s="221"/>
      <c r="C1176" s="201"/>
      <c r="D1176" s="201"/>
      <c r="E1176" s="219"/>
      <c r="F1176" s="223" t="s">
        <v>23</v>
      </c>
      <c r="G1176" s="223" t="s">
        <v>87</v>
      </c>
      <c r="H1176" s="223" t="s">
        <v>212</v>
      </c>
      <c r="I1176" s="223" t="s">
        <v>80</v>
      </c>
      <c r="J1176" s="223" t="s">
        <v>81</v>
      </c>
      <c r="K1176" s="87"/>
    </row>
    <row r="1177" spans="1:11">
      <c r="A1177" s="222"/>
      <c r="B1177" s="222"/>
      <c r="C1177" s="203"/>
      <c r="D1177" s="203"/>
      <c r="E1177" s="218"/>
      <c r="F1177" s="204" t="s">
        <v>34</v>
      </c>
      <c r="G1177" s="204" t="s">
        <v>34</v>
      </c>
      <c r="H1177" s="203" t="s">
        <v>34</v>
      </c>
      <c r="I1177" s="204" t="s">
        <v>77</v>
      </c>
      <c r="J1177" s="204" t="s">
        <v>77</v>
      </c>
      <c r="K1177" s="87"/>
    </row>
    <row r="1178" spans="1:11">
      <c r="A1178" s="202"/>
      <c r="B1178" s="200"/>
      <c r="C1178" s="200"/>
      <c r="D1178" s="200"/>
      <c r="E1178" s="217"/>
      <c r="F1178" s="205"/>
      <c r="G1178" s="205"/>
      <c r="H1178" s="201"/>
      <c r="I1178" s="205"/>
      <c r="J1178" s="205"/>
      <c r="K1178" s="87"/>
    </row>
    <row r="1179" spans="1:11">
      <c r="A1179" s="205" t="str">
        <f>A1137</f>
        <v>LC-35</v>
      </c>
      <c r="B1179" s="201" t="str">
        <f>B1137</f>
        <v>LC-23 + Seismic Sx=1,Sz=0.3,Sy=0.3</v>
      </c>
      <c r="C1179" s="201"/>
      <c r="D1179" s="201"/>
      <c r="E1179" s="219"/>
      <c r="F1179" s="205">
        <f>SUMPRODUCT(F1140:F1172,$K$1140:$K$1172)</f>
        <v>943.25743551401649</v>
      </c>
      <c r="G1179" s="1080">
        <f>SUMPRODUCT(G1140:G1172,$K$1140:$K$1172)</f>
        <v>181.17911702831489</v>
      </c>
      <c r="H1179" s="1080">
        <f>SUMPRODUCT(H1140:H1172,$K$1140:$K$1172)</f>
        <v>56.905726294488566</v>
      </c>
      <c r="I1179" s="1080">
        <f>SUMPRODUCT(I1140:I1172,$K$1140:$K$1172)</f>
        <v>1044.8375408302486</v>
      </c>
      <c r="J1179" s="1080">
        <f>SUMPRODUCT(J1140:J1172,$K$1140:$K$1172)</f>
        <v>339.82619491796027</v>
      </c>
      <c r="K1179" s="87"/>
    </row>
    <row r="1180" spans="1:11">
      <c r="A1180" s="204"/>
      <c r="B1180" s="203"/>
      <c r="C1180" s="203"/>
      <c r="D1180" s="203"/>
      <c r="E1180" s="218"/>
      <c r="F1180" s="204"/>
      <c r="G1180" s="204"/>
      <c r="H1180" s="203"/>
      <c r="I1180" s="204"/>
      <c r="J1180" s="204"/>
      <c r="K1180" s="87"/>
    </row>
    <row r="1183" spans="1:11">
      <c r="A1183" s="1318" t="str">
        <f>K1183</f>
        <v>LC-36</v>
      </c>
      <c r="B1183" s="24" t="str">
        <f>VLOOKUP(A1183,LC_DEF_2!A3:B42,2,FALSE)</f>
        <v>LC-23 + Seismic Sx=0.3,Sz=1,Sy=0.3</v>
      </c>
      <c r="C1183" s="24"/>
      <c r="D1183" s="24"/>
      <c r="E1183" s="21"/>
      <c r="F1183" s="1635" t="s">
        <v>742</v>
      </c>
      <c r="G1183" s="1635"/>
      <c r="H1183" s="1635"/>
      <c r="I1183" s="1635"/>
      <c r="J1183" s="1600"/>
      <c r="K1183" s="413" t="s">
        <v>1173</v>
      </c>
    </row>
    <row r="1184" spans="1:11" ht="18">
      <c r="A1184" s="25" t="s">
        <v>73</v>
      </c>
      <c r="B1184" s="26" t="s">
        <v>74</v>
      </c>
      <c r="C1184" s="26"/>
      <c r="D1184" s="26"/>
      <c r="E1184" s="27"/>
      <c r="F1184" s="32" t="s">
        <v>23</v>
      </c>
      <c r="G1184" s="33" t="s">
        <v>87</v>
      </c>
      <c r="H1184" s="33" t="s">
        <v>212</v>
      </c>
      <c r="I1184" s="33" t="s">
        <v>80</v>
      </c>
      <c r="J1184" s="33" t="s">
        <v>81</v>
      </c>
      <c r="K1184" s="376"/>
    </row>
    <row r="1185" spans="1:11">
      <c r="A1185" s="28"/>
      <c r="B1185" s="15"/>
      <c r="C1185" s="15"/>
      <c r="D1185" s="15"/>
      <c r="E1185" s="22"/>
      <c r="F1185" s="21" t="s">
        <v>34</v>
      </c>
      <c r="G1185" s="36" t="s">
        <v>34</v>
      </c>
      <c r="H1185" s="36" t="s">
        <v>34</v>
      </c>
      <c r="I1185" s="36" t="s">
        <v>77</v>
      </c>
      <c r="J1185" s="36" t="s">
        <v>77</v>
      </c>
      <c r="K1185" s="376"/>
    </row>
    <row r="1186" spans="1:11">
      <c r="A1186" s="25" t="s">
        <v>88</v>
      </c>
      <c r="B1186" s="26" t="s">
        <v>75</v>
      </c>
      <c r="C1186" s="26"/>
      <c r="D1186" s="26"/>
      <c r="E1186" s="27"/>
      <c r="F1186" s="195">
        <f>SF!F14</f>
        <v>365.08803866482532</v>
      </c>
      <c r="G1186" s="210"/>
      <c r="H1186" s="34"/>
      <c r="I1186" s="195">
        <f>SF!I14</f>
        <v>0</v>
      </c>
      <c r="J1186" s="195">
        <f>SF!J14</f>
        <v>0</v>
      </c>
      <c r="K1186" s="268">
        <v>1</v>
      </c>
    </row>
    <row r="1187" spans="1:11">
      <c r="A1187" s="25" t="s">
        <v>90</v>
      </c>
      <c r="B1187" s="26" t="s">
        <v>249</v>
      </c>
      <c r="C1187" s="26"/>
      <c r="D1187" s="26"/>
      <c r="E1187" s="27"/>
      <c r="F1187" s="195">
        <f>SF!F16</f>
        <v>36.639026644707663</v>
      </c>
      <c r="G1187" s="210"/>
      <c r="H1187" s="34"/>
      <c r="I1187" s="195">
        <f>SF!I16</f>
        <v>0</v>
      </c>
      <c r="J1187" s="195">
        <f>SF!J16</f>
        <v>0</v>
      </c>
      <c r="K1187" s="268">
        <v>1</v>
      </c>
    </row>
    <row r="1188" spans="1:11">
      <c r="A1188" s="25" t="s">
        <v>250</v>
      </c>
      <c r="B1188" s="26" t="s">
        <v>967</v>
      </c>
      <c r="C1188" s="26"/>
      <c r="D1188" s="26"/>
      <c r="E1188" s="27"/>
      <c r="F1188" s="195">
        <f>SF!F19</f>
        <v>230</v>
      </c>
      <c r="G1188" s="27"/>
      <c r="H1188" s="34"/>
      <c r="I1188" s="195">
        <f>SF!I19</f>
        <v>-115</v>
      </c>
      <c r="J1188" s="195">
        <f>SF!J19</f>
        <v>0</v>
      </c>
      <c r="K1188" s="376">
        <v>1</v>
      </c>
    </row>
    <row r="1189" spans="1:11">
      <c r="A1189" s="25" t="s">
        <v>251</v>
      </c>
      <c r="B1189" s="26" t="s">
        <v>968</v>
      </c>
      <c r="C1189" s="26"/>
      <c r="D1189" s="26"/>
      <c r="E1189" s="27"/>
      <c r="F1189" s="195">
        <f>SF!F20</f>
        <v>20.660000000000004</v>
      </c>
      <c r="G1189" s="27"/>
      <c r="H1189" s="34"/>
      <c r="I1189" s="195">
        <f>SF!I20</f>
        <v>-10.330000000000002</v>
      </c>
      <c r="J1189" s="195">
        <f>SF!J20</f>
        <v>0</v>
      </c>
      <c r="K1189" s="376">
        <v>1</v>
      </c>
    </row>
    <row r="1190" spans="1:11">
      <c r="A1190" s="25" t="s">
        <v>97</v>
      </c>
      <c r="B1190" s="26" t="s">
        <v>969</v>
      </c>
      <c r="C1190" s="26"/>
      <c r="D1190" s="26"/>
      <c r="E1190" s="27"/>
      <c r="F1190" s="195">
        <f>SF!F21</f>
        <v>42</v>
      </c>
      <c r="G1190" s="27"/>
      <c r="H1190" s="34"/>
      <c r="I1190" s="195">
        <f>SF!I21</f>
        <v>-14.858499999999999</v>
      </c>
      <c r="J1190" s="195">
        <f>SF!J21</f>
        <v>0</v>
      </c>
      <c r="K1190" s="376">
        <v>1</v>
      </c>
    </row>
    <row r="1191" spans="1:11">
      <c r="A1191" s="25" t="s">
        <v>250</v>
      </c>
      <c r="B1191" s="26" t="s">
        <v>970</v>
      </c>
      <c r="C1191" s="26"/>
      <c r="D1191" s="26"/>
      <c r="E1191" s="27"/>
      <c r="F1191" s="195">
        <f>SF!F23</f>
        <v>230</v>
      </c>
      <c r="G1191" s="27"/>
      <c r="H1191" s="34"/>
      <c r="I1191" s="195">
        <f>SF!I23</f>
        <v>115</v>
      </c>
      <c r="J1191" s="195">
        <f>SF!J23</f>
        <v>0</v>
      </c>
      <c r="K1191" s="376">
        <v>1</v>
      </c>
    </row>
    <row r="1192" spans="1:11">
      <c r="A1192" s="25" t="s">
        <v>251</v>
      </c>
      <c r="B1192" s="26" t="s">
        <v>971</v>
      </c>
      <c r="C1192" s="26"/>
      <c r="D1192" s="26"/>
      <c r="E1192" s="27"/>
      <c r="F1192" s="195">
        <f>SF!F24</f>
        <v>20.660000000000004</v>
      </c>
      <c r="G1192" s="27"/>
      <c r="H1192" s="34"/>
      <c r="I1192" s="195">
        <f>SF!I24</f>
        <v>10.330000000000002</v>
      </c>
      <c r="J1192" s="195">
        <f>SF!J24</f>
        <v>0</v>
      </c>
      <c r="K1192" s="268">
        <v>1</v>
      </c>
    </row>
    <row r="1193" spans="1:11">
      <c r="A1193" s="25" t="s">
        <v>97</v>
      </c>
      <c r="B1193" s="26" t="s">
        <v>972</v>
      </c>
      <c r="C1193" s="26"/>
      <c r="D1193" s="26"/>
      <c r="E1193" s="27"/>
      <c r="F1193" s="195">
        <f>SF!F25</f>
        <v>42</v>
      </c>
      <c r="G1193" s="27"/>
      <c r="H1193" s="34"/>
      <c r="I1193" s="195">
        <f>SF!I25</f>
        <v>14.858499999999999</v>
      </c>
      <c r="J1193" s="195">
        <f>SF!J25</f>
        <v>0</v>
      </c>
      <c r="K1193" s="376">
        <v>1</v>
      </c>
    </row>
    <row r="1194" spans="1:11">
      <c r="A1194" s="25" t="s">
        <v>976</v>
      </c>
      <c r="B1194" s="26" t="s">
        <v>978</v>
      </c>
      <c r="C1194" s="26"/>
      <c r="D1194" s="26"/>
      <c r="E1194" s="27"/>
      <c r="F1194" s="195">
        <f>SF!F29</f>
        <v>65.160399999999996</v>
      </c>
      <c r="G1194" s="27"/>
      <c r="H1194" s="34"/>
      <c r="I1194" s="195">
        <f>SF!I29</f>
        <v>-32.580199999999998</v>
      </c>
      <c r="J1194" s="195">
        <f>SF!J29</f>
        <v>-10.105732306306301</v>
      </c>
      <c r="K1194" s="268">
        <v>0.2</v>
      </c>
    </row>
    <row r="1195" spans="1:11">
      <c r="A1195" s="25" t="s">
        <v>977</v>
      </c>
      <c r="B1195" s="26" t="s">
        <v>979</v>
      </c>
      <c r="C1195" s="26"/>
      <c r="D1195" s="26"/>
      <c r="E1195" s="27"/>
      <c r="F1195" s="195">
        <f>SF!F30</f>
        <v>75.185314285714313</v>
      </c>
      <c r="G1195" s="27"/>
      <c r="H1195" s="34"/>
      <c r="I1195" s="195">
        <f>SF!I30</f>
        <v>37.592657142857156</v>
      </c>
      <c r="J1195" s="195">
        <f>SF!J30</f>
        <v>-11.660497166023164</v>
      </c>
      <c r="K1195" s="268">
        <v>0.2</v>
      </c>
    </row>
    <row r="1196" spans="1:11">
      <c r="A1196" s="686" t="s">
        <v>1128</v>
      </c>
      <c r="B1196" s="687"/>
      <c r="C1196" s="688"/>
      <c r="D1196" s="688"/>
      <c r="E1196" s="689"/>
      <c r="F1196" s="696">
        <f>SF!F43</f>
        <v>-103.56143333397094</v>
      </c>
      <c r="G1196" s="689"/>
      <c r="H1196" s="690"/>
      <c r="I1196" s="690"/>
      <c r="J1196" s="690"/>
      <c r="K1196" s="376">
        <v>1</v>
      </c>
    </row>
    <row r="1197" spans="1:11">
      <c r="A1197" s="686" t="s">
        <v>1131</v>
      </c>
      <c r="B1197" s="687"/>
      <c r="C1197" s="688"/>
      <c r="D1197" s="688"/>
      <c r="E1197" s="689"/>
      <c r="F1197" s="690"/>
      <c r="G1197" s="696">
        <f>SF!G47</f>
        <v>3.2856246869242693</v>
      </c>
      <c r="H1197" s="696">
        <f>SF!H47</f>
        <v>3.5397182492142409</v>
      </c>
      <c r="I1197" s="696">
        <f>SF!I47</f>
        <v>7.0628515103002814</v>
      </c>
      <c r="J1197" s="696">
        <f>SF!J47</f>
        <v>5.3297614737052639</v>
      </c>
      <c r="K1197" s="376">
        <v>1</v>
      </c>
    </row>
    <row r="1198" spans="1:11">
      <c r="A1198" s="278" t="s">
        <v>1132</v>
      </c>
      <c r="B1198" s="262"/>
      <c r="C1198" s="262"/>
      <c r="D1198" s="262"/>
      <c r="E1198" s="263"/>
      <c r="F1198" s="279"/>
      <c r="G1198" s="280"/>
      <c r="H1198" s="264"/>
      <c r="I1198" s="279"/>
      <c r="J1198" s="264"/>
      <c r="K1198" s="650">
        <v>1</v>
      </c>
    </row>
    <row r="1199" spans="1:11">
      <c r="A1199" s="25" t="s">
        <v>991</v>
      </c>
      <c r="B1199" s="26" t="s">
        <v>989</v>
      </c>
      <c r="C1199" s="26"/>
      <c r="D1199" s="26"/>
      <c r="E1199" s="27"/>
      <c r="F1199" s="197"/>
      <c r="G1199" s="172">
        <f>SF!G52</f>
        <v>94.821839999999995</v>
      </c>
      <c r="H1199" s="34"/>
      <c r="I1199" s="172">
        <f>SF!I52</f>
        <v>785.12483520000001</v>
      </c>
      <c r="J1199" s="89"/>
      <c r="K1199" s="268">
        <v>0.3</v>
      </c>
    </row>
    <row r="1200" spans="1:11">
      <c r="A1200" s="25" t="s">
        <v>994</v>
      </c>
      <c r="B1200" s="26" t="s">
        <v>996</v>
      </c>
      <c r="C1200" s="26"/>
      <c r="D1200" s="26"/>
      <c r="E1200" s="27"/>
      <c r="F1200" s="197"/>
      <c r="G1200" s="172">
        <f>SF!G56</f>
        <v>4.5540000000000003</v>
      </c>
      <c r="H1200" s="34"/>
      <c r="I1200" s="172">
        <f>SF!I56</f>
        <v>37.70712000000001</v>
      </c>
      <c r="J1200" s="89"/>
      <c r="K1200" s="376">
        <v>1</v>
      </c>
    </row>
    <row r="1201" spans="1:11">
      <c r="A1201" s="25" t="s">
        <v>217</v>
      </c>
      <c r="B1201" s="26" t="s">
        <v>211</v>
      </c>
      <c r="C1201" s="26"/>
      <c r="D1201" s="26"/>
      <c r="E1201" s="27"/>
      <c r="F1201" s="197"/>
      <c r="G1201" s="196">
        <f>SF!G58</f>
        <v>26.798532263701709</v>
      </c>
      <c r="H1201" s="199"/>
      <c r="I1201" s="172">
        <f>SF!I58</f>
        <v>147.28381289471153</v>
      </c>
      <c r="J1201" s="195"/>
      <c r="K1201" s="376">
        <v>0.3</v>
      </c>
    </row>
    <row r="1202" spans="1:11">
      <c r="A1202" s="686" t="s">
        <v>1472</v>
      </c>
      <c r="B1202" s="688" t="s">
        <v>1045</v>
      </c>
      <c r="C1202" s="688"/>
      <c r="D1202" s="688"/>
      <c r="E1202" s="689"/>
      <c r="F1202" s="620"/>
      <c r="G1202" s="695">
        <f>SF!G61</f>
        <v>32.345729999999996</v>
      </c>
      <c r="H1202" s="690"/>
      <c r="I1202" s="695">
        <f>SF!I61</f>
        <v>29.111156999999999</v>
      </c>
      <c r="J1202" s="269"/>
      <c r="K1202" s="376">
        <v>0.3</v>
      </c>
    </row>
    <row r="1203" spans="1:11">
      <c r="A1203" s="686" t="s">
        <v>1139</v>
      </c>
      <c r="B1203" s="688" t="s">
        <v>1140</v>
      </c>
      <c r="C1203" s="688"/>
      <c r="D1203" s="688"/>
      <c r="E1203" s="689"/>
      <c r="F1203" s="620"/>
      <c r="G1203" s="695">
        <f>SF!G63</f>
        <v>19.373390077688924</v>
      </c>
      <c r="H1203" s="690"/>
      <c r="I1203" s="695">
        <f>SF!I63</f>
        <v>37.512792074379419</v>
      </c>
      <c r="J1203" s="269"/>
      <c r="K1203" s="376">
        <v>0.3</v>
      </c>
    </row>
    <row r="1204" spans="1:11">
      <c r="A1204" s="278" t="s">
        <v>1135</v>
      </c>
      <c r="B1204" s="262"/>
      <c r="C1204" s="262"/>
      <c r="D1204" s="262"/>
      <c r="E1204" s="263"/>
      <c r="F1204" s="279"/>
      <c r="G1204" s="280"/>
      <c r="H1204" s="264"/>
      <c r="I1204" s="279"/>
      <c r="J1204" s="264"/>
      <c r="K1204" s="708">
        <v>1</v>
      </c>
    </row>
    <row r="1205" spans="1:11">
      <c r="A1205" s="25" t="s">
        <v>997</v>
      </c>
      <c r="B1205" s="26" t="s">
        <v>988</v>
      </c>
      <c r="C1205" s="26"/>
      <c r="D1205" s="26"/>
      <c r="E1205" s="27"/>
      <c r="F1205" s="197"/>
      <c r="G1205" s="211"/>
      <c r="H1205" s="254">
        <f>SF!H67</f>
        <v>47.410919999999997</v>
      </c>
      <c r="I1205" s="197"/>
      <c r="J1205" s="254">
        <f>SF!J67</f>
        <v>433.10062959257624</v>
      </c>
      <c r="K1205" s="268">
        <v>1</v>
      </c>
    </row>
    <row r="1206" spans="1:11">
      <c r="A1206" s="25" t="s">
        <v>998</v>
      </c>
      <c r="B1206" s="26" t="s">
        <v>989</v>
      </c>
      <c r="C1206" s="26"/>
      <c r="D1206" s="26"/>
      <c r="E1206" s="27"/>
      <c r="F1206" s="197"/>
      <c r="G1206" s="211"/>
      <c r="H1206" s="254">
        <f>SF!H68</f>
        <v>47.410919999999997</v>
      </c>
      <c r="I1206" s="197"/>
      <c r="J1206" s="254">
        <f>SF!J68</f>
        <v>433.10062959257624</v>
      </c>
      <c r="K1206" s="376">
        <v>1</v>
      </c>
    </row>
    <row r="1207" spans="1:11">
      <c r="A1207" s="25" t="s">
        <v>1004</v>
      </c>
      <c r="B1207" s="26" t="s">
        <v>1000</v>
      </c>
      <c r="C1207" s="26"/>
      <c r="D1207" s="26"/>
      <c r="E1207" s="27"/>
      <c r="F1207" s="197"/>
      <c r="G1207" s="211"/>
      <c r="H1207" s="254">
        <f>SF!H72</f>
        <v>10.555984799999999</v>
      </c>
      <c r="I1207" s="197"/>
      <c r="J1207" s="254">
        <f>SF!J72</f>
        <v>115.74637333199999</v>
      </c>
      <c r="K1207" s="376">
        <v>0.2</v>
      </c>
    </row>
    <row r="1208" spans="1:11">
      <c r="A1208" s="25" t="s">
        <v>1005</v>
      </c>
      <c r="B1208" s="26" t="s">
        <v>1001</v>
      </c>
      <c r="C1208" s="26"/>
      <c r="D1208" s="26"/>
      <c r="E1208" s="27"/>
      <c r="F1208" s="197"/>
      <c r="G1208" s="211"/>
      <c r="H1208" s="254">
        <f>SF!H73</f>
        <v>12.18002091428572</v>
      </c>
      <c r="I1208" s="197"/>
      <c r="J1208" s="254">
        <f>SF!J73</f>
        <v>133.55392932514292</v>
      </c>
      <c r="K1208" s="376">
        <v>0.2</v>
      </c>
    </row>
    <row r="1209" spans="1:11">
      <c r="A1209" s="25" t="s">
        <v>1006</v>
      </c>
      <c r="B1209" s="26" t="s">
        <v>211</v>
      </c>
      <c r="C1209" s="26"/>
      <c r="D1209" s="26"/>
      <c r="E1209" s="27"/>
      <c r="F1209" s="197"/>
      <c r="G1209" s="195"/>
      <c r="H1209" s="254">
        <f>SF!H78</f>
        <v>26.798532263701709</v>
      </c>
      <c r="I1209" s="195"/>
      <c r="J1209" s="254">
        <f>SF!J78</f>
        <v>147.28381289471153</v>
      </c>
      <c r="K1209" s="376">
        <v>1</v>
      </c>
    </row>
    <row r="1210" spans="1:11">
      <c r="A1210" s="686" t="s">
        <v>1138</v>
      </c>
      <c r="B1210" s="688" t="s">
        <v>1045</v>
      </c>
      <c r="C1210" s="688"/>
      <c r="D1210" s="688"/>
      <c r="E1210" s="689"/>
      <c r="F1210" s="620"/>
      <c r="G1210" s="711"/>
      <c r="H1210" s="989">
        <f>SF!H81</f>
        <v>32.345729999999996</v>
      </c>
      <c r="I1210" s="696"/>
      <c r="J1210" s="989">
        <f>SF!J81</f>
        <v>29.111156999999999</v>
      </c>
      <c r="K1210" s="376">
        <v>1</v>
      </c>
    </row>
    <row r="1211" spans="1:11">
      <c r="A1211" s="686" t="s">
        <v>1138</v>
      </c>
      <c r="B1211" s="688" t="s">
        <v>1141</v>
      </c>
      <c r="C1211" s="26"/>
      <c r="D1211" s="26"/>
      <c r="E1211" s="27"/>
      <c r="F1211" s="34"/>
      <c r="G1211" s="27"/>
      <c r="H1211" s="989">
        <f>SF!H83</f>
        <v>19.373390077688924</v>
      </c>
      <c r="I1211" s="696"/>
      <c r="J1211" s="989">
        <f>SF!J83</f>
        <v>37.512792074379419</v>
      </c>
      <c r="K1211" s="376">
        <v>1</v>
      </c>
    </row>
    <row r="1212" spans="1:11">
      <c r="A1212" s="290" t="s">
        <v>1137</v>
      </c>
      <c r="B1212" s="11"/>
      <c r="C1212" s="11"/>
      <c r="D1212" s="11"/>
      <c r="E1212" s="191"/>
      <c r="F1212" s="197"/>
      <c r="G1212" s="211"/>
      <c r="H1212" s="89"/>
      <c r="I1212" s="197"/>
      <c r="J1212" s="89"/>
      <c r="K1212" s="994">
        <v>0.3</v>
      </c>
    </row>
    <row r="1213" spans="1:11">
      <c r="A1213" s="25" t="s">
        <v>1007</v>
      </c>
      <c r="B1213" s="26" t="s">
        <v>988</v>
      </c>
      <c r="C1213" s="26"/>
      <c r="D1213" s="26"/>
      <c r="E1213" s="27"/>
      <c r="F1213" s="196">
        <f>SF!F87</f>
        <v>31.607279999999999</v>
      </c>
      <c r="G1213" s="211"/>
      <c r="H1213" s="34"/>
      <c r="I1213" s="196">
        <f>SF!I87</f>
        <v>-15.140358000000003</v>
      </c>
      <c r="J1213" s="196">
        <f>SF!J87</f>
        <v>0</v>
      </c>
      <c r="K1213" s="376">
        <v>0.3</v>
      </c>
    </row>
    <row r="1214" spans="1:11">
      <c r="A1214" s="25" t="s">
        <v>1008</v>
      </c>
      <c r="B1214" s="26" t="s">
        <v>989</v>
      </c>
      <c r="C1214" s="26"/>
      <c r="D1214" s="26"/>
      <c r="E1214" s="27"/>
      <c r="F1214" s="196">
        <f>SF!F88</f>
        <v>31.607279999999999</v>
      </c>
      <c r="G1214" s="211"/>
      <c r="H1214" s="34"/>
      <c r="I1214" s="196">
        <f>SF!I88</f>
        <v>15.140358000000003</v>
      </c>
      <c r="J1214" s="196">
        <f>SF!J88</f>
        <v>0</v>
      </c>
      <c r="K1214" s="268">
        <v>0.3</v>
      </c>
    </row>
    <row r="1215" spans="1:11">
      <c r="A1215" s="25" t="s">
        <v>1009</v>
      </c>
      <c r="B1215" s="26" t="s">
        <v>1000</v>
      </c>
      <c r="C1215" s="26"/>
      <c r="D1215" s="26"/>
      <c r="E1215" s="27"/>
      <c r="F1215" s="196">
        <f>SF!F92</f>
        <v>7.0373232000000003</v>
      </c>
      <c r="G1215" s="211"/>
      <c r="H1215" s="34"/>
      <c r="I1215" s="196">
        <f>SF!I92</f>
        <v>-3.5186616000000002</v>
      </c>
      <c r="J1215" s="196">
        <f>SF!J92</f>
        <v>-1.0914190890810807</v>
      </c>
      <c r="K1215" s="268">
        <v>0.06</v>
      </c>
    </row>
    <row r="1216" spans="1:11">
      <c r="A1216" s="25" t="s">
        <v>1010</v>
      </c>
      <c r="B1216" s="26" t="s">
        <v>1001</v>
      </c>
      <c r="C1216" s="26"/>
      <c r="D1216" s="26"/>
      <c r="E1216" s="27"/>
      <c r="F1216" s="196">
        <f>SF!F93</f>
        <v>8.1200139428571472</v>
      </c>
      <c r="G1216" s="211"/>
      <c r="H1216" s="34"/>
      <c r="I1216" s="196">
        <f>SF!I93</f>
        <v>4.0600069714285736</v>
      </c>
      <c r="J1216" s="196">
        <f>SF!J93</f>
        <v>-1.259333693930502</v>
      </c>
      <c r="K1216" s="268">
        <v>0.06</v>
      </c>
    </row>
    <row r="1217" spans="1:11">
      <c r="A1217" s="25" t="s">
        <v>1011</v>
      </c>
      <c r="B1217" s="26" t="s">
        <v>211</v>
      </c>
      <c r="C1217" s="26"/>
      <c r="D1217" s="26"/>
      <c r="E1217" s="27"/>
      <c r="F1217" s="196">
        <f>SF!F98</f>
        <v>17.865688175801139</v>
      </c>
      <c r="G1217" s="211"/>
      <c r="H1217" s="197"/>
      <c r="I1217" s="196">
        <f>SF!I98</f>
        <v>0</v>
      </c>
      <c r="J1217" s="196">
        <f>SF!J98</f>
        <v>0</v>
      </c>
      <c r="K1217" s="268">
        <v>0.3</v>
      </c>
    </row>
    <row r="1218" spans="1:11">
      <c r="A1218" s="686" t="s">
        <v>1473</v>
      </c>
      <c r="B1218" s="688" t="s">
        <v>1045</v>
      </c>
      <c r="C1218" s="688"/>
      <c r="D1218" s="688"/>
      <c r="E1218" s="689"/>
      <c r="F1218" s="695">
        <f>SF!F101</f>
        <v>21.56382</v>
      </c>
      <c r="G1218" s="621"/>
      <c r="H1218" s="620"/>
      <c r="I1218" s="695">
        <f>SF!I101</f>
        <v>0</v>
      </c>
      <c r="J1218" s="695">
        <f>SF!J101</f>
        <v>0</v>
      </c>
      <c r="K1218" s="268">
        <v>0.3</v>
      </c>
    </row>
    <row r="1219" spans="1:11">
      <c r="A1219" s="253"/>
      <c r="B1219" s="15"/>
      <c r="C1219" s="15"/>
      <c r="D1219" s="15"/>
      <c r="E1219" s="22"/>
      <c r="F1219" s="212"/>
      <c r="G1219" s="213"/>
      <c r="H1219" s="198"/>
      <c r="I1219" s="198"/>
      <c r="J1219" s="58"/>
      <c r="K1219" s="379"/>
    </row>
    <row r="1220" spans="1:11">
      <c r="A1220" s="46"/>
      <c r="B1220" s="46"/>
      <c r="C1220" s="46"/>
      <c r="D1220" s="46"/>
      <c r="E1220" s="46"/>
      <c r="F1220" s="46"/>
      <c r="G1220" s="46"/>
      <c r="H1220" s="46"/>
      <c r="I1220" s="46"/>
      <c r="J1220" s="46"/>
      <c r="K1220" s="87"/>
    </row>
    <row r="1221" spans="1:11">
      <c r="A1221" s="220" t="s">
        <v>73</v>
      </c>
      <c r="B1221" s="220" t="s">
        <v>74</v>
      </c>
      <c r="C1221" s="200"/>
      <c r="D1221" s="200"/>
      <c r="E1221" s="217"/>
      <c r="F1221" s="1636" t="s">
        <v>72</v>
      </c>
      <c r="G1221" s="1637"/>
      <c r="H1221" s="1637"/>
      <c r="I1221" s="1637"/>
      <c r="J1221" s="1638"/>
      <c r="K1221" s="87"/>
    </row>
    <row r="1222" spans="1:11" ht="18">
      <c r="A1222" s="221"/>
      <c r="B1222" s="221"/>
      <c r="C1222" s="201"/>
      <c r="D1222" s="201"/>
      <c r="E1222" s="219"/>
      <c r="F1222" s="223" t="s">
        <v>23</v>
      </c>
      <c r="G1222" s="223" t="s">
        <v>87</v>
      </c>
      <c r="H1222" s="223" t="s">
        <v>212</v>
      </c>
      <c r="I1222" s="223" t="s">
        <v>80</v>
      </c>
      <c r="J1222" s="223" t="s">
        <v>81</v>
      </c>
      <c r="K1222" s="87"/>
    </row>
    <row r="1223" spans="1:11">
      <c r="A1223" s="222"/>
      <c r="B1223" s="222"/>
      <c r="C1223" s="203"/>
      <c r="D1223" s="203"/>
      <c r="E1223" s="218"/>
      <c r="F1223" s="204" t="s">
        <v>34</v>
      </c>
      <c r="G1223" s="204" t="s">
        <v>34</v>
      </c>
      <c r="H1223" s="203" t="s">
        <v>34</v>
      </c>
      <c r="I1223" s="204" t="s">
        <v>77</v>
      </c>
      <c r="J1223" s="204" t="s">
        <v>77</v>
      </c>
      <c r="K1223" s="87"/>
    </row>
    <row r="1224" spans="1:11">
      <c r="A1224" s="202"/>
      <c r="B1224" s="200"/>
      <c r="C1224" s="200"/>
      <c r="D1224" s="200"/>
      <c r="E1224" s="217"/>
      <c r="F1224" s="205"/>
      <c r="G1224" s="205"/>
      <c r="H1224" s="201"/>
      <c r="I1224" s="205"/>
      <c r="J1224" s="205"/>
      <c r="K1224" s="87"/>
    </row>
    <row r="1225" spans="1:11">
      <c r="A1225" s="205" t="str">
        <f>A1183</f>
        <v>LC-36</v>
      </c>
      <c r="B1225" s="201" t="str">
        <f>B1183</f>
        <v>LC-23 + Seismic Sx=0.3,Sz=1,Sy=0.3</v>
      </c>
      <c r="C1225" s="201"/>
      <c r="D1225" s="201"/>
      <c r="E1225" s="219"/>
      <c r="F1225" s="205">
        <f>SUMPRODUCT(F1186:F1218,$K$1186:$K$1218)</f>
        <v>943.25743551401649</v>
      </c>
      <c r="G1225" s="1080">
        <f>SUMPRODUCT(G1186:G1218,$K$1186:$K$1218)</f>
        <v>59.841472389341455</v>
      </c>
      <c r="H1225" s="1080">
        <f>SUMPRODUCT(H1186:H1218,$K$1186:$K$1218)</f>
        <v>181.426411733462</v>
      </c>
      <c r="I1225" s="1080">
        <f>SUMPRODUCT(I1186:I1218,$K$1186:$K$1218)</f>
        <v>345.51472281188467</v>
      </c>
      <c r="J1225" s="1080">
        <f>SUMPRODUCT(J1186:J1218,$K$1186:$K$1218)</f>
        <v>1130.8045520979308</v>
      </c>
      <c r="K1225" s="87"/>
    </row>
    <row r="1226" spans="1:11">
      <c r="A1226" s="204"/>
      <c r="B1226" s="203"/>
      <c r="C1226" s="203"/>
      <c r="D1226" s="203"/>
      <c r="E1226" s="218"/>
      <c r="F1226" s="204"/>
      <c r="G1226" s="204"/>
      <c r="H1226" s="203"/>
      <c r="I1226" s="204"/>
      <c r="J1226" s="204"/>
      <c r="K1226" s="87"/>
    </row>
    <row r="1229" spans="1:11">
      <c r="A1229" s="1318" t="str">
        <f>K1229</f>
        <v>LC-37</v>
      </c>
      <c r="B1229" s="24" t="str">
        <f>VLOOKUP(A1229,LC_DEF_2!A3:B42,2,FALSE)</f>
        <v>LC-24 + Seismic Sx=1,Sz=0.3,Sy=-0.3</v>
      </c>
      <c r="C1229" s="24"/>
      <c r="D1229" s="24"/>
      <c r="E1229" s="21"/>
      <c r="F1229" s="1635" t="s">
        <v>742</v>
      </c>
      <c r="G1229" s="1635"/>
      <c r="H1229" s="1635"/>
      <c r="I1229" s="1635"/>
      <c r="J1229" s="1600"/>
      <c r="K1229" s="413" t="s">
        <v>1174</v>
      </c>
    </row>
    <row r="1230" spans="1:11" ht="18">
      <c r="A1230" s="25" t="s">
        <v>73</v>
      </c>
      <c r="B1230" s="26" t="s">
        <v>74</v>
      </c>
      <c r="C1230" s="26"/>
      <c r="D1230" s="26"/>
      <c r="E1230" s="27"/>
      <c r="F1230" s="32" t="s">
        <v>23</v>
      </c>
      <c r="G1230" s="33" t="s">
        <v>87</v>
      </c>
      <c r="H1230" s="33" t="s">
        <v>212</v>
      </c>
      <c r="I1230" s="33" t="s">
        <v>80</v>
      </c>
      <c r="J1230" s="33" t="s">
        <v>81</v>
      </c>
      <c r="K1230" s="376"/>
    </row>
    <row r="1231" spans="1:11">
      <c r="A1231" s="28"/>
      <c r="B1231" s="15"/>
      <c r="C1231" s="15"/>
      <c r="D1231" s="15"/>
      <c r="E1231" s="22"/>
      <c r="F1231" s="21" t="s">
        <v>34</v>
      </c>
      <c r="G1231" s="36" t="s">
        <v>34</v>
      </c>
      <c r="H1231" s="36" t="s">
        <v>34</v>
      </c>
      <c r="I1231" s="36" t="s">
        <v>77</v>
      </c>
      <c r="J1231" s="36" t="s">
        <v>77</v>
      </c>
      <c r="K1231" s="376"/>
    </row>
    <row r="1232" spans="1:11">
      <c r="A1232" s="25" t="s">
        <v>88</v>
      </c>
      <c r="B1232" s="26" t="s">
        <v>75</v>
      </c>
      <c r="C1232" s="26"/>
      <c r="D1232" s="26"/>
      <c r="E1232" s="27"/>
      <c r="F1232" s="195">
        <f>SF!F14</f>
        <v>365.08803866482532</v>
      </c>
      <c r="G1232" s="210"/>
      <c r="H1232" s="34"/>
      <c r="I1232" s="195">
        <f>SF!I14</f>
        <v>0</v>
      </c>
      <c r="J1232" s="195">
        <f>SF!J14</f>
        <v>0</v>
      </c>
      <c r="K1232" s="268">
        <v>1</v>
      </c>
    </row>
    <row r="1233" spans="1:11">
      <c r="A1233" s="25" t="s">
        <v>90</v>
      </c>
      <c r="B1233" s="26" t="s">
        <v>249</v>
      </c>
      <c r="C1233" s="26"/>
      <c r="D1233" s="26"/>
      <c r="E1233" s="27"/>
      <c r="F1233" s="195">
        <f>SF!F16</f>
        <v>36.639026644707663</v>
      </c>
      <c r="G1233" s="210"/>
      <c r="H1233" s="34"/>
      <c r="I1233" s="195">
        <f>SF!I16</f>
        <v>0</v>
      </c>
      <c r="J1233" s="195">
        <f>SF!J16</f>
        <v>0</v>
      </c>
      <c r="K1233" s="268">
        <v>1</v>
      </c>
    </row>
    <row r="1234" spans="1:11">
      <c r="A1234" s="25" t="s">
        <v>250</v>
      </c>
      <c r="B1234" s="26" t="s">
        <v>967</v>
      </c>
      <c r="C1234" s="26"/>
      <c r="D1234" s="26"/>
      <c r="E1234" s="27"/>
      <c r="F1234" s="195">
        <f>SF!F19</f>
        <v>230</v>
      </c>
      <c r="G1234" s="27"/>
      <c r="H1234" s="34"/>
      <c r="I1234" s="195">
        <f>SF!I19</f>
        <v>-115</v>
      </c>
      <c r="J1234" s="195">
        <f>SF!J19</f>
        <v>0</v>
      </c>
      <c r="K1234" s="376">
        <v>1</v>
      </c>
    </row>
    <row r="1235" spans="1:11">
      <c r="A1235" s="25" t="s">
        <v>251</v>
      </c>
      <c r="B1235" s="26" t="s">
        <v>968</v>
      </c>
      <c r="C1235" s="26"/>
      <c r="D1235" s="26"/>
      <c r="E1235" s="27"/>
      <c r="F1235" s="195">
        <f>SF!F20</f>
        <v>20.660000000000004</v>
      </c>
      <c r="G1235" s="27"/>
      <c r="H1235" s="34"/>
      <c r="I1235" s="195">
        <f>SF!I20</f>
        <v>-10.330000000000002</v>
      </c>
      <c r="J1235" s="195">
        <f>SF!J20</f>
        <v>0</v>
      </c>
      <c r="K1235" s="376">
        <v>1</v>
      </c>
    </row>
    <row r="1236" spans="1:11">
      <c r="A1236" s="25" t="s">
        <v>97</v>
      </c>
      <c r="B1236" s="26" t="s">
        <v>969</v>
      </c>
      <c r="C1236" s="26"/>
      <c r="D1236" s="26"/>
      <c r="E1236" s="27"/>
      <c r="F1236" s="195">
        <f>SF!F21</f>
        <v>42</v>
      </c>
      <c r="G1236" s="27"/>
      <c r="H1236" s="34"/>
      <c r="I1236" s="195">
        <f>SF!I21</f>
        <v>-14.858499999999999</v>
      </c>
      <c r="J1236" s="195">
        <f>SF!J21</f>
        <v>0</v>
      </c>
      <c r="K1236" s="376">
        <v>1</v>
      </c>
    </row>
    <row r="1237" spans="1:11">
      <c r="A1237" s="25" t="s">
        <v>250</v>
      </c>
      <c r="B1237" s="26" t="s">
        <v>970</v>
      </c>
      <c r="C1237" s="26"/>
      <c r="D1237" s="26"/>
      <c r="E1237" s="27"/>
      <c r="F1237" s="195">
        <f>SF!F23</f>
        <v>230</v>
      </c>
      <c r="G1237" s="27"/>
      <c r="H1237" s="34"/>
      <c r="I1237" s="195">
        <f>SF!I23</f>
        <v>115</v>
      </c>
      <c r="J1237" s="195">
        <f>SF!J23</f>
        <v>0</v>
      </c>
      <c r="K1237" s="376">
        <v>1</v>
      </c>
    </row>
    <row r="1238" spans="1:11">
      <c r="A1238" s="25" t="s">
        <v>251</v>
      </c>
      <c r="B1238" s="26" t="s">
        <v>971</v>
      </c>
      <c r="C1238" s="26"/>
      <c r="D1238" s="26"/>
      <c r="E1238" s="27"/>
      <c r="F1238" s="195">
        <f>SF!F24</f>
        <v>20.660000000000004</v>
      </c>
      <c r="G1238" s="27"/>
      <c r="H1238" s="34"/>
      <c r="I1238" s="195">
        <f>SF!I24</f>
        <v>10.330000000000002</v>
      </c>
      <c r="J1238" s="195">
        <f>SF!J24</f>
        <v>0</v>
      </c>
      <c r="K1238" s="268">
        <v>1</v>
      </c>
    </row>
    <row r="1239" spans="1:11">
      <c r="A1239" s="25" t="s">
        <v>97</v>
      </c>
      <c r="B1239" s="26" t="s">
        <v>972</v>
      </c>
      <c r="C1239" s="26"/>
      <c r="D1239" s="26"/>
      <c r="E1239" s="27"/>
      <c r="F1239" s="195">
        <f>SF!F25</f>
        <v>42</v>
      </c>
      <c r="G1239" s="27"/>
      <c r="H1239" s="34"/>
      <c r="I1239" s="195">
        <f>SF!I25</f>
        <v>14.858499999999999</v>
      </c>
      <c r="J1239" s="195">
        <f>SF!J25</f>
        <v>0</v>
      </c>
      <c r="K1239" s="376">
        <v>1</v>
      </c>
    </row>
    <row r="1240" spans="1:11">
      <c r="A1240" s="25" t="s">
        <v>976</v>
      </c>
      <c r="B1240" s="26" t="s">
        <v>981</v>
      </c>
      <c r="C1240" s="26"/>
      <c r="D1240" s="26"/>
      <c r="E1240" s="27"/>
      <c r="F1240" s="195">
        <f>SF!F33</f>
        <v>0</v>
      </c>
      <c r="G1240" s="27"/>
      <c r="H1240" s="34"/>
      <c r="I1240" s="195">
        <f>SF!I33</f>
        <v>0</v>
      </c>
      <c r="J1240" s="195">
        <f>SF!J33</f>
        <v>0</v>
      </c>
      <c r="K1240" s="376">
        <v>0.2</v>
      </c>
    </row>
    <row r="1241" spans="1:11">
      <c r="A1241" s="25" t="s">
        <v>977</v>
      </c>
      <c r="B1241" s="26" t="s">
        <v>982</v>
      </c>
      <c r="C1241" s="26"/>
      <c r="D1241" s="26"/>
      <c r="E1241" s="27"/>
      <c r="F1241" s="195">
        <f>SF!F34</f>
        <v>127.89948571428575</v>
      </c>
      <c r="G1241" s="27"/>
      <c r="H1241" s="34"/>
      <c r="I1241" s="195">
        <f>SF!I34</f>
        <v>63.949742857142873</v>
      </c>
      <c r="J1241" s="195">
        <f>SF!J34</f>
        <v>-19.835942761904757</v>
      </c>
      <c r="K1241" s="376">
        <v>0.2</v>
      </c>
    </row>
    <row r="1242" spans="1:11">
      <c r="A1242" s="686" t="s">
        <v>1128</v>
      </c>
      <c r="B1242" s="687"/>
      <c r="C1242" s="688"/>
      <c r="D1242" s="688"/>
      <c r="E1242" s="689"/>
      <c r="F1242" s="696">
        <f>SF!F43</f>
        <v>-103.56143333397094</v>
      </c>
      <c r="G1242" s="689"/>
      <c r="H1242" s="690"/>
      <c r="I1242" s="690"/>
      <c r="J1242" s="690"/>
      <c r="K1242" s="376">
        <v>1</v>
      </c>
    </row>
    <row r="1243" spans="1:11">
      <c r="A1243" s="686" t="s">
        <v>1131</v>
      </c>
      <c r="B1243" s="687"/>
      <c r="C1243" s="688"/>
      <c r="D1243" s="688"/>
      <c r="E1243" s="689"/>
      <c r="F1243" s="690"/>
      <c r="G1243" s="696">
        <f>SF!G47</f>
        <v>3.2856246869242693</v>
      </c>
      <c r="H1243" s="696">
        <f>SF!H47</f>
        <v>3.5397182492142409</v>
      </c>
      <c r="I1243" s="696">
        <f>SF!I47</f>
        <v>7.0628515103002814</v>
      </c>
      <c r="J1243" s="696">
        <f>SF!J47</f>
        <v>5.3297614737052639</v>
      </c>
      <c r="K1243" s="376">
        <v>1</v>
      </c>
    </row>
    <row r="1244" spans="1:11">
      <c r="A1244" s="278" t="s">
        <v>1132</v>
      </c>
      <c r="B1244" s="262"/>
      <c r="C1244" s="262"/>
      <c r="D1244" s="262"/>
      <c r="E1244" s="263"/>
      <c r="F1244" s="279"/>
      <c r="G1244" s="280"/>
      <c r="H1244" s="264"/>
      <c r="I1244" s="279"/>
      <c r="J1244" s="264"/>
      <c r="K1244" s="650">
        <v>1</v>
      </c>
    </row>
    <row r="1245" spans="1:11">
      <c r="A1245" s="25" t="s">
        <v>991</v>
      </c>
      <c r="B1245" s="26" t="s">
        <v>989</v>
      </c>
      <c r="C1245" s="26"/>
      <c r="D1245" s="26"/>
      <c r="E1245" s="27"/>
      <c r="F1245" s="197"/>
      <c r="G1245" s="172">
        <f>SF!G52</f>
        <v>94.821839999999995</v>
      </c>
      <c r="H1245" s="34"/>
      <c r="I1245" s="172">
        <f>SF!I52</f>
        <v>785.12483520000001</v>
      </c>
      <c r="J1245" s="89"/>
      <c r="K1245" s="268">
        <v>1</v>
      </c>
    </row>
    <row r="1246" spans="1:11">
      <c r="A1246" s="25" t="s">
        <v>994</v>
      </c>
      <c r="B1246" s="26" t="s">
        <v>996</v>
      </c>
      <c r="C1246" s="26"/>
      <c r="D1246" s="26"/>
      <c r="E1246" s="27"/>
      <c r="F1246" s="197"/>
      <c r="G1246" s="172">
        <f>SF!G56</f>
        <v>4.5540000000000003</v>
      </c>
      <c r="H1246" s="34"/>
      <c r="I1246" s="172">
        <f>SF!I56</f>
        <v>37.70712000000001</v>
      </c>
      <c r="J1246" s="89"/>
      <c r="K1246" s="376">
        <v>1</v>
      </c>
    </row>
    <row r="1247" spans="1:11">
      <c r="A1247" s="25" t="s">
        <v>217</v>
      </c>
      <c r="B1247" s="26" t="s">
        <v>211</v>
      </c>
      <c r="C1247" s="26"/>
      <c r="D1247" s="26"/>
      <c r="E1247" s="27"/>
      <c r="F1247" s="197"/>
      <c r="G1247" s="196">
        <f>SF!G58</f>
        <v>26.798532263701709</v>
      </c>
      <c r="H1247" s="199"/>
      <c r="I1247" s="172">
        <f>SF!I58</f>
        <v>147.28381289471153</v>
      </c>
      <c r="J1247" s="195"/>
      <c r="K1247" s="376">
        <v>1</v>
      </c>
    </row>
    <row r="1248" spans="1:11">
      <c r="A1248" s="686" t="s">
        <v>1472</v>
      </c>
      <c r="B1248" s="688" t="s">
        <v>1045</v>
      </c>
      <c r="C1248" s="688"/>
      <c r="D1248" s="688"/>
      <c r="E1248" s="689"/>
      <c r="F1248" s="620"/>
      <c r="G1248" s="695">
        <f>SF!G61</f>
        <v>32.345729999999996</v>
      </c>
      <c r="H1248" s="690"/>
      <c r="I1248" s="695">
        <f>SF!I61</f>
        <v>29.111156999999999</v>
      </c>
      <c r="J1248" s="269"/>
      <c r="K1248" s="376">
        <v>1</v>
      </c>
    </row>
    <row r="1249" spans="1:11">
      <c r="A1249" s="686" t="s">
        <v>1139</v>
      </c>
      <c r="B1249" s="688" t="s">
        <v>1140</v>
      </c>
      <c r="C1249" s="688"/>
      <c r="D1249" s="688"/>
      <c r="E1249" s="689"/>
      <c r="F1249" s="620"/>
      <c r="G1249" s="695">
        <f>SF!G63</f>
        <v>19.373390077688924</v>
      </c>
      <c r="H1249" s="690"/>
      <c r="I1249" s="695">
        <f>SF!I63</f>
        <v>37.512792074379419</v>
      </c>
      <c r="J1249" s="269"/>
      <c r="K1249" s="376">
        <v>1</v>
      </c>
    </row>
    <row r="1250" spans="1:11">
      <c r="A1250" s="278" t="s">
        <v>1135</v>
      </c>
      <c r="B1250" s="262"/>
      <c r="C1250" s="262"/>
      <c r="D1250" s="262"/>
      <c r="E1250" s="263"/>
      <c r="F1250" s="279"/>
      <c r="G1250" s="280"/>
      <c r="H1250" s="264"/>
      <c r="I1250" s="279"/>
      <c r="J1250" s="264"/>
      <c r="K1250" s="708">
        <v>0.3</v>
      </c>
    </row>
    <row r="1251" spans="1:11">
      <c r="A1251" s="25" t="s">
        <v>997</v>
      </c>
      <c r="B1251" s="26" t="s">
        <v>988</v>
      </c>
      <c r="C1251" s="26"/>
      <c r="D1251" s="26"/>
      <c r="E1251" s="27"/>
      <c r="F1251" s="197"/>
      <c r="G1251" s="211"/>
      <c r="H1251" s="254">
        <f>SF!H67</f>
        <v>47.410919999999997</v>
      </c>
      <c r="I1251" s="197"/>
      <c r="J1251" s="254">
        <f>SF!J67</f>
        <v>433.10062959257624</v>
      </c>
      <c r="K1251" s="268">
        <v>0.3</v>
      </c>
    </row>
    <row r="1252" spans="1:11">
      <c r="A1252" s="25" t="s">
        <v>998</v>
      </c>
      <c r="B1252" s="26" t="s">
        <v>989</v>
      </c>
      <c r="C1252" s="26"/>
      <c r="D1252" s="26"/>
      <c r="E1252" s="27"/>
      <c r="F1252" s="197"/>
      <c r="G1252" s="211"/>
      <c r="H1252" s="254">
        <f>SF!H68</f>
        <v>47.410919999999997</v>
      </c>
      <c r="I1252" s="197"/>
      <c r="J1252" s="254">
        <f>SF!J68</f>
        <v>433.10062959257624</v>
      </c>
      <c r="K1252" s="376">
        <v>0.3</v>
      </c>
    </row>
    <row r="1253" spans="1:11">
      <c r="A1253" s="25" t="s">
        <v>1004</v>
      </c>
      <c r="B1253" s="26" t="s">
        <v>1000</v>
      </c>
      <c r="C1253" s="26"/>
      <c r="D1253" s="26"/>
      <c r="E1253" s="27"/>
      <c r="F1253" s="197"/>
      <c r="G1253" s="211"/>
      <c r="H1253" s="254">
        <f>SF!H75</f>
        <v>0</v>
      </c>
      <c r="I1253" s="197"/>
      <c r="J1253" s="254">
        <f>SF!J75</f>
        <v>0</v>
      </c>
      <c r="K1253" s="376">
        <v>0.06</v>
      </c>
    </row>
    <row r="1254" spans="1:11">
      <c r="A1254" s="25" t="s">
        <v>1005</v>
      </c>
      <c r="B1254" s="26" t="s">
        <v>1001</v>
      </c>
      <c r="C1254" s="26"/>
      <c r="D1254" s="26"/>
      <c r="E1254" s="27"/>
      <c r="F1254" s="197"/>
      <c r="G1254" s="211"/>
      <c r="H1254" s="254">
        <f>SF!H76</f>
        <v>20.719716685714292</v>
      </c>
      <c r="I1254" s="197"/>
      <c r="J1254" s="254">
        <f>SF!J76</f>
        <v>227.1916934588572</v>
      </c>
      <c r="K1254" s="376">
        <v>0.06</v>
      </c>
    </row>
    <row r="1255" spans="1:11">
      <c r="A1255" s="25" t="s">
        <v>1006</v>
      </c>
      <c r="B1255" s="26" t="s">
        <v>211</v>
      </c>
      <c r="C1255" s="26"/>
      <c r="D1255" s="26"/>
      <c r="E1255" s="27"/>
      <c r="F1255" s="197"/>
      <c r="G1255" s="195"/>
      <c r="H1255" s="254">
        <f>SF!H78</f>
        <v>26.798532263701709</v>
      </c>
      <c r="I1255" s="195"/>
      <c r="J1255" s="254">
        <f>SF!J78</f>
        <v>147.28381289471153</v>
      </c>
      <c r="K1255" s="376">
        <v>0.3</v>
      </c>
    </row>
    <row r="1256" spans="1:11">
      <c r="A1256" s="686" t="s">
        <v>1138</v>
      </c>
      <c r="B1256" s="688" t="s">
        <v>1045</v>
      </c>
      <c r="C1256" s="688"/>
      <c r="D1256" s="688"/>
      <c r="E1256" s="689"/>
      <c r="F1256" s="620"/>
      <c r="G1256" s="711"/>
      <c r="H1256" s="989">
        <f>SF!H81</f>
        <v>32.345729999999996</v>
      </c>
      <c r="I1256" s="696"/>
      <c r="J1256" s="989">
        <f>SF!J81</f>
        <v>29.111156999999999</v>
      </c>
      <c r="K1256" s="376">
        <v>0.3</v>
      </c>
    </row>
    <row r="1257" spans="1:11">
      <c r="A1257" s="290" t="s">
        <v>1137</v>
      </c>
      <c r="B1257" s="11"/>
      <c r="C1257" s="11"/>
      <c r="D1257" s="11"/>
      <c r="E1257" s="191"/>
      <c r="F1257" s="197"/>
      <c r="G1257" s="211"/>
      <c r="H1257" s="89"/>
      <c r="I1257" s="197"/>
      <c r="J1257" s="89"/>
      <c r="K1257" s="994">
        <v>0.3</v>
      </c>
    </row>
    <row r="1258" spans="1:11">
      <c r="A1258" s="25" t="s">
        <v>1007</v>
      </c>
      <c r="B1258" s="26" t="s">
        <v>988</v>
      </c>
      <c r="C1258" s="26"/>
      <c r="D1258" s="26"/>
      <c r="E1258" s="27"/>
      <c r="F1258" s="196">
        <f>SF!F87</f>
        <v>31.607279999999999</v>
      </c>
      <c r="G1258" s="211"/>
      <c r="H1258" s="34"/>
      <c r="I1258" s="196">
        <f>SF!I87</f>
        <v>-15.140358000000003</v>
      </c>
      <c r="J1258" s="196">
        <f>SF!J87</f>
        <v>0</v>
      </c>
      <c r="K1258" s="376">
        <v>-0.3</v>
      </c>
    </row>
    <row r="1259" spans="1:11">
      <c r="A1259" s="25" t="s">
        <v>1008</v>
      </c>
      <c r="B1259" s="26" t="s">
        <v>989</v>
      </c>
      <c r="C1259" s="26"/>
      <c r="D1259" s="26"/>
      <c r="E1259" s="27"/>
      <c r="F1259" s="196">
        <f>SF!F88</f>
        <v>31.607279999999999</v>
      </c>
      <c r="G1259" s="211"/>
      <c r="H1259" s="34"/>
      <c r="I1259" s="196">
        <f>SF!I88</f>
        <v>15.140358000000003</v>
      </c>
      <c r="J1259" s="196">
        <f>SF!J88</f>
        <v>0</v>
      </c>
      <c r="K1259" s="268">
        <v>-0.3</v>
      </c>
    </row>
    <row r="1260" spans="1:11">
      <c r="A1260" s="25" t="s">
        <v>1009</v>
      </c>
      <c r="B1260" s="26" t="s">
        <v>1000</v>
      </c>
      <c r="C1260" s="26"/>
      <c r="D1260" s="26"/>
      <c r="E1260" s="27"/>
      <c r="F1260" s="196">
        <f>SF!F95</f>
        <v>0</v>
      </c>
      <c r="G1260" s="211"/>
      <c r="H1260" s="34"/>
      <c r="I1260" s="196">
        <f>SF!I95</f>
        <v>0</v>
      </c>
      <c r="J1260" s="196">
        <f>SF!J95</f>
        <v>0</v>
      </c>
      <c r="K1260" s="268">
        <v>-0.06</v>
      </c>
    </row>
    <row r="1261" spans="1:11">
      <c r="A1261" s="25" t="s">
        <v>1010</v>
      </c>
      <c r="B1261" s="26" t="s">
        <v>1001</v>
      </c>
      <c r="C1261" s="26"/>
      <c r="D1261" s="26"/>
      <c r="E1261" s="27"/>
      <c r="F1261" s="196">
        <f>SF!F96</f>
        <v>13.813144457142862</v>
      </c>
      <c r="G1261" s="211"/>
      <c r="H1261" s="34"/>
      <c r="I1261" s="196">
        <f>SF!I96</f>
        <v>6.9065722285714308</v>
      </c>
      <c r="J1261" s="196">
        <f>SF!J96</f>
        <v>-2.142281818285714</v>
      </c>
      <c r="K1261" s="268">
        <v>-0.06</v>
      </c>
    </row>
    <row r="1262" spans="1:11">
      <c r="A1262" s="25" t="s">
        <v>1011</v>
      </c>
      <c r="B1262" s="26" t="s">
        <v>211</v>
      </c>
      <c r="C1262" s="26"/>
      <c r="D1262" s="26"/>
      <c r="E1262" s="27"/>
      <c r="F1262" s="196">
        <f>SF!F98</f>
        <v>17.865688175801139</v>
      </c>
      <c r="G1262" s="211"/>
      <c r="H1262" s="197"/>
      <c r="I1262" s="196">
        <f>SF!I98</f>
        <v>0</v>
      </c>
      <c r="J1262" s="196">
        <f>SF!J98</f>
        <v>0</v>
      </c>
      <c r="K1262" s="268">
        <v>-0.3</v>
      </c>
    </row>
    <row r="1263" spans="1:11">
      <c r="A1263" s="686" t="s">
        <v>1473</v>
      </c>
      <c r="B1263" s="688" t="s">
        <v>1045</v>
      </c>
      <c r="C1263" s="688"/>
      <c r="D1263" s="688"/>
      <c r="E1263" s="689"/>
      <c r="F1263" s="695">
        <f>SF!F101</f>
        <v>21.56382</v>
      </c>
      <c r="G1263" s="621"/>
      <c r="H1263" s="620"/>
      <c r="I1263" s="695">
        <f>SF!I101</f>
        <v>0</v>
      </c>
      <c r="J1263" s="695">
        <f>SF!J101</f>
        <v>0</v>
      </c>
      <c r="K1263" s="268">
        <v>-0.3</v>
      </c>
    </row>
    <row r="1264" spans="1:11">
      <c r="A1264" s="253"/>
      <c r="B1264" s="15"/>
      <c r="C1264" s="15"/>
      <c r="D1264" s="15"/>
      <c r="E1264" s="22"/>
      <c r="F1264" s="212"/>
      <c r="G1264" s="213"/>
      <c r="H1264" s="198"/>
      <c r="I1264" s="198"/>
      <c r="J1264" s="58"/>
      <c r="K1264" s="379"/>
    </row>
    <row r="1265" spans="1:11">
      <c r="A1265" s="46"/>
      <c r="B1265" s="46"/>
      <c r="C1265" s="46"/>
      <c r="D1265" s="46"/>
      <c r="E1265" s="46"/>
      <c r="F1265" s="46"/>
      <c r="G1265" s="46"/>
      <c r="H1265" s="46"/>
      <c r="I1265" s="46"/>
      <c r="J1265" s="46"/>
      <c r="K1265" s="87"/>
    </row>
    <row r="1266" spans="1:11">
      <c r="A1266" s="220" t="s">
        <v>73</v>
      </c>
      <c r="B1266" s="220" t="s">
        <v>74</v>
      </c>
      <c r="C1266" s="200"/>
      <c r="D1266" s="200"/>
      <c r="E1266" s="217"/>
      <c r="F1266" s="1636" t="s">
        <v>72</v>
      </c>
      <c r="G1266" s="1637"/>
      <c r="H1266" s="1637"/>
      <c r="I1266" s="1637"/>
      <c r="J1266" s="1638"/>
      <c r="K1266" s="87"/>
    </row>
    <row r="1267" spans="1:11" ht="18">
      <c r="A1267" s="221"/>
      <c r="B1267" s="221"/>
      <c r="C1267" s="201"/>
      <c r="D1267" s="201"/>
      <c r="E1267" s="219"/>
      <c r="F1267" s="223" t="s">
        <v>23</v>
      </c>
      <c r="G1267" s="223" t="s">
        <v>87</v>
      </c>
      <c r="H1267" s="223" t="s">
        <v>212</v>
      </c>
      <c r="I1267" s="223" t="s">
        <v>80</v>
      </c>
      <c r="J1267" s="223" t="s">
        <v>81</v>
      </c>
      <c r="K1267" s="87"/>
    </row>
    <row r="1268" spans="1:11">
      <c r="A1268" s="222"/>
      <c r="B1268" s="222"/>
      <c r="C1268" s="203"/>
      <c r="D1268" s="203"/>
      <c r="E1268" s="218"/>
      <c r="F1268" s="204" t="s">
        <v>34</v>
      </c>
      <c r="G1268" s="204" t="s">
        <v>34</v>
      </c>
      <c r="H1268" s="203" t="s">
        <v>34</v>
      </c>
      <c r="I1268" s="204" t="s">
        <v>77</v>
      </c>
      <c r="J1268" s="204" t="s">
        <v>77</v>
      </c>
      <c r="K1268" s="87"/>
    </row>
    <row r="1269" spans="1:11">
      <c r="A1269" s="202"/>
      <c r="B1269" s="200"/>
      <c r="C1269" s="200"/>
      <c r="D1269" s="200"/>
      <c r="E1269" s="217"/>
      <c r="F1269" s="205"/>
      <c r="G1269" s="205"/>
      <c r="H1269" s="201"/>
      <c r="I1269" s="205"/>
      <c r="J1269" s="205"/>
      <c r="K1269" s="87"/>
    </row>
    <row r="1270" spans="1:11">
      <c r="A1270" s="205" t="str">
        <f>A1229</f>
        <v>LC-37</v>
      </c>
      <c r="B1270" s="201" t="str">
        <f>B1229</f>
        <v>LC-24 + Seismic Sx=1,Sz=0.3,Sy=-0.3</v>
      </c>
      <c r="C1270" s="201"/>
      <c r="D1270" s="201"/>
      <c r="E1270" s="219"/>
      <c r="F1270" s="205">
        <f>SUMPRODUCT(F1232:F1263,$K$1232:$K$1263)</f>
        <v>877.44351999825005</v>
      </c>
      <c r="G1270" s="1080">
        <f>SUMPRODUCT(G1232:G1263,$K$1232:$K$1263)</f>
        <v>181.17911702831489</v>
      </c>
      <c r="H1270" s="1080">
        <f>SUMPRODUCT(H1232:H1263,$K$1232:$K$1263)</f>
        <v>50.972731929467606</v>
      </c>
      <c r="I1270" s="1080">
        <f>SUMPRODUCT(I1232:I1263,$K$1232:$K$1263)</f>
        <v>1056.1781229171058</v>
      </c>
      <c r="J1270" s="1080">
        <f>SUMPRODUCT(J1232:J1263,$K$1232:$K$1263)</f>
        <v>327.90148016191205</v>
      </c>
      <c r="K1270" s="87"/>
    </row>
    <row r="1271" spans="1:11">
      <c r="A1271" s="204"/>
      <c r="B1271" s="203"/>
      <c r="C1271" s="203"/>
      <c r="D1271" s="203"/>
      <c r="E1271" s="218"/>
      <c r="F1271" s="204"/>
      <c r="G1271" s="204"/>
      <c r="H1271" s="203"/>
      <c r="I1271" s="204"/>
      <c r="J1271" s="204"/>
      <c r="K1271" s="87"/>
    </row>
    <row r="1274" spans="1:11">
      <c r="A1274" s="1318" t="str">
        <f>K1274</f>
        <v>LC-38</v>
      </c>
      <c r="B1274" s="24" t="str">
        <f>VLOOKUP(A1274,LC_DEF_2!A3:B42,2,FALSE)</f>
        <v>LC-24 + Seismic Sx=0.3,Sz=1,Sy=-0.3</v>
      </c>
      <c r="C1274" s="24"/>
      <c r="D1274" s="24"/>
      <c r="E1274" s="21"/>
      <c r="F1274" s="1635" t="s">
        <v>742</v>
      </c>
      <c r="G1274" s="1635"/>
      <c r="H1274" s="1635"/>
      <c r="I1274" s="1635"/>
      <c r="J1274" s="1600"/>
      <c r="K1274" s="413" t="s">
        <v>1175</v>
      </c>
    </row>
    <row r="1275" spans="1:11" ht="18">
      <c r="A1275" s="25" t="s">
        <v>73</v>
      </c>
      <c r="B1275" s="26" t="s">
        <v>74</v>
      </c>
      <c r="C1275" s="26"/>
      <c r="D1275" s="26"/>
      <c r="E1275" s="27"/>
      <c r="F1275" s="32" t="s">
        <v>23</v>
      </c>
      <c r="G1275" s="33" t="s">
        <v>87</v>
      </c>
      <c r="H1275" s="33" t="s">
        <v>212</v>
      </c>
      <c r="I1275" s="33" t="s">
        <v>80</v>
      </c>
      <c r="J1275" s="33" t="s">
        <v>81</v>
      </c>
      <c r="K1275" s="376"/>
    </row>
    <row r="1276" spans="1:11">
      <c r="A1276" s="28"/>
      <c r="B1276" s="15"/>
      <c r="C1276" s="15"/>
      <c r="D1276" s="15"/>
      <c r="E1276" s="22"/>
      <c r="F1276" s="21" t="s">
        <v>34</v>
      </c>
      <c r="G1276" s="36" t="s">
        <v>34</v>
      </c>
      <c r="H1276" s="36" t="s">
        <v>34</v>
      </c>
      <c r="I1276" s="36" t="s">
        <v>77</v>
      </c>
      <c r="J1276" s="36" t="s">
        <v>77</v>
      </c>
      <c r="K1276" s="376"/>
    </row>
    <row r="1277" spans="1:11">
      <c r="A1277" s="25" t="s">
        <v>88</v>
      </c>
      <c r="B1277" s="26" t="s">
        <v>75</v>
      </c>
      <c r="C1277" s="26"/>
      <c r="D1277" s="26"/>
      <c r="E1277" s="27"/>
      <c r="F1277" s="195">
        <f>SF!F14</f>
        <v>365.08803866482532</v>
      </c>
      <c r="G1277" s="210"/>
      <c r="H1277" s="34"/>
      <c r="I1277" s="195">
        <f>SF!I14</f>
        <v>0</v>
      </c>
      <c r="J1277" s="195">
        <f>SF!J14</f>
        <v>0</v>
      </c>
      <c r="K1277" s="268">
        <v>1</v>
      </c>
    </row>
    <row r="1278" spans="1:11">
      <c r="A1278" s="25" t="s">
        <v>90</v>
      </c>
      <c r="B1278" s="26" t="s">
        <v>249</v>
      </c>
      <c r="C1278" s="26"/>
      <c r="D1278" s="26"/>
      <c r="E1278" s="27"/>
      <c r="F1278" s="195">
        <f>SF!F16</f>
        <v>36.639026644707663</v>
      </c>
      <c r="G1278" s="210"/>
      <c r="H1278" s="34"/>
      <c r="I1278" s="195">
        <f>SF!I16</f>
        <v>0</v>
      </c>
      <c r="J1278" s="195">
        <f>SF!J16</f>
        <v>0</v>
      </c>
      <c r="K1278" s="268">
        <v>1</v>
      </c>
    </row>
    <row r="1279" spans="1:11">
      <c r="A1279" s="25" t="s">
        <v>250</v>
      </c>
      <c r="B1279" s="26" t="s">
        <v>967</v>
      </c>
      <c r="C1279" s="26"/>
      <c r="D1279" s="26"/>
      <c r="E1279" s="27"/>
      <c r="F1279" s="195">
        <f>SF!F19</f>
        <v>230</v>
      </c>
      <c r="G1279" s="27"/>
      <c r="H1279" s="34"/>
      <c r="I1279" s="195">
        <f>SF!I19</f>
        <v>-115</v>
      </c>
      <c r="J1279" s="195">
        <f>SF!J19</f>
        <v>0</v>
      </c>
      <c r="K1279" s="376">
        <v>1</v>
      </c>
    </row>
    <row r="1280" spans="1:11">
      <c r="A1280" s="25" t="s">
        <v>251</v>
      </c>
      <c r="B1280" s="26" t="s">
        <v>968</v>
      </c>
      <c r="C1280" s="26"/>
      <c r="D1280" s="26"/>
      <c r="E1280" s="27"/>
      <c r="F1280" s="195">
        <f>SF!F20</f>
        <v>20.660000000000004</v>
      </c>
      <c r="G1280" s="27"/>
      <c r="H1280" s="34"/>
      <c r="I1280" s="195">
        <f>SF!I20</f>
        <v>-10.330000000000002</v>
      </c>
      <c r="J1280" s="195">
        <f>SF!J20</f>
        <v>0</v>
      </c>
      <c r="K1280" s="376">
        <v>1</v>
      </c>
    </row>
    <row r="1281" spans="1:11">
      <c r="A1281" s="25" t="s">
        <v>97</v>
      </c>
      <c r="B1281" s="26" t="s">
        <v>969</v>
      </c>
      <c r="C1281" s="26"/>
      <c r="D1281" s="26"/>
      <c r="E1281" s="27"/>
      <c r="F1281" s="195">
        <f>SF!F21</f>
        <v>42</v>
      </c>
      <c r="G1281" s="27"/>
      <c r="H1281" s="34"/>
      <c r="I1281" s="195">
        <f>SF!I21</f>
        <v>-14.858499999999999</v>
      </c>
      <c r="J1281" s="195">
        <f>SF!J21</f>
        <v>0</v>
      </c>
      <c r="K1281" s="376">
        <v>1</v>
      </c>
    </row>
    <row r="1282" spans="1:11">
      <c r="A1282" s="25" t="s">
        <v>250</v>
      </c>
      <c r="B1282" s="26" t="s">
        <v>970</v>
      </c>
      <c r="C1282" s="26"/>
      <c r="D1282" s="26"/>
      <c r="E1282" s="27"/>
      <c r="F1282" s="195">
        <f>SF!F23</f>
        <v>230</v>
      </c>
      <c r="G1282" s="27"/>
      <c r="H1282" s="34"/>
      <c r="I1282" s="195">
        <f>SF!I23</f>
        <v>115</v>
      </c>
      <c r="J1282" s="195">
        <f>SF!J23</f>
        <v>0</v>
      </c>
      <c r="K1282" s="376">
        <v>1</v>
      </c>
    </row>
    <row r="1283" spans="1:11">
      <c r="A1283" s="25" t="s">
        <v>251</v>
      </c>
      <c r="B1283" s="26" t="s">
        <v>971</v>
      </c>
      <c r="C1283" s="26"/>
      <c r="D1283" s="26"/>
      <c r="E1283" s="27"/>
      <c r="F1283" s="195">
        <f>SF!F24</f>
        <v>20.660000000000004</v>
      </c>
      <c r="G1283" s="27"/>
      <c r="H1283" s="34"/>
      <c r="I1283" s="195">
        <f>SF!I24</f>
        <v>10.330000000000002</v>
      </c>
      <c r="J1283" s="195">
        <f>SF!J24</f>
        <v>0</v>
      </c>
      <c r="K1283" s="268">
        <v>1</v>
      </c>
    </row>
    <row r="1284" spans="1:11">
      <c r="A1284" s="25" t="s">
        <v>97</v>
      </c>
      <c r="B1284" s="26" t="s">
        <v>972</v>
      </c>
      <c r="C1284" s="26"/>
      <c r="D1284" s="26"/>
      <c r="E1284" s="27"/>
      <c r="F1284" s="195">
        <f>SF!F25</f>
        <v>42</v>
      </c>
      <c r="G1284" s="27"/>
      <c r="H1284" s="34"/>
      <c r="I1284" s="195">
        <f>SF!I25</f>
        <v>14.858499999999999</v>
      </c>
      <c r="J1284" s="195">
        <f>SF!J25</f>
        <v>0</v>
      </c>
      <c r="K1284" s="376">
        <v>1</v>
      </c>
    </row>
    <row r="1285" spans="1:11">
      <c r="A1285" s="25" t="s">
        <v>976</v>
      </c>
      <c r="B1285" s="26" t="s">
        <v>981</v>
      </c>
      <c r="C1285" s="26"/>
      <c r="D1285" s="26"/>
      <c r="E1285" s="27"/>
      <c r="F1285" s="195">
        <f>SF!F33</f>
        <v>0</v>
      </c>
      <c r="G1285" s="27"/>
      <c r="H1285" s="34"/>
      <c r="I1285" s="195">
        <f>SF!I33</f>
        <v>0</v>
      </c>
      <c r="J1285" s="195">
        <f>SF!J33</f>
        <v>0</v>
      </c>
      <c r="K1285" s="376">
        <v>0.2</v>
      </c>
    </row>
    <row r="1286" spans="1:11">
      <c r="A1286" s="25" t="s">
        <v>977</v>
      </c>
      <c r="B1286" s="26" t="s">
        <v>982</v>
      </c>
      <c r="C1286" s="26"/>
      <c r="D1286" s="26"/>
      <c r="E1286" s="27"/>
      <c r="F1286" s="195">
        <f>SF!F34</f>
        <v>127.89948571428575</v>
      </c>
      <c r="G1286" s="27"/>
      <c r="H1286" s="34"/>
      <c r="I1286" s="195">
        <f>SF!I34</f>
        <v>63.949742857142873</v>
      </c>
      <c r="J1286" s="195">
        <f>SF!J34</f>
        <v>-19.835942761904757</v>
      </c>
      <c r="K1286" s="376">
        <v>0.2</v>
      </c>
    </row>
    <row r="1287" spans="1:11">
      <c r="A1287" s="686" t="s">
        <v>1128</v>
      </c>
      <c r="B1287" s="687"/>
      <c r="C1287" s="688"/>
      <c r="D1287" s="688"/>
      <c r="E1287" s="689"/>
      <c r="F1287" s="696">
        <f>SF!F43</f>
        <v>-103.56143333397094</v>
      </c>
      <c r="G1287" s="689"/>
      <c r="H1287" s="690"/>
      <c r="I1287" s="690"/>
      <c r="J1287" s="690"/>
      <c r="K1287" s="376">
        <v>1</v>
      </c>
    </row>
    <row r="1288" spans="1:11">
      <c r="A1288" s="686" t="s">
        <v>1131</v>
      </c>
      <c r="B1288" s="687"/>
      <c r="C1288" s="688"/>
      <c r="D1288" s="688"/>
      <c r="E1288" s="689"/>
      <c r="F1288" s="690"/>
      <c r="G1288" s="696">
        <f>SF!G47</f>
        <v>3.2856246869242693</v>
      </c>
      <c r="H1288" s="696">
        <f>SF!H47</f>
        <v>3.5397182492142409</v>
      </c>
      <c r="I1288" s="696">
        <f>SF!I47</f>
        <v>7.0628515103002814</v>
      </c>
      <c r="J1288" s="696">
        <f>SF!J47</f>
        <v>5.3297614737052639</v>
      </c>
      <c r="K1288" s="376">
        <v>1</v>
      </c>
    </row>
    <row r="1289" spans="1:11">
      <c r="A1289" s="278" t="s">
        <v>1132</v>
      </c>
      <c r="B1289" s="262"/>
      <c r="C1289" s="262"/>
      <c r="D1289" s="262"/>
      <c r="E1289" s="263"/>
      <c r="F1289" s="279"/>
      <c r="G1289" s="280"/>
      <c r="H1289" s="264"/>
      <c r="I1289" s="279"/>
      <c r="J1289" s="264"/>
      <c r="K1289" s="650">
        <v>1</v>
      </c>
    </row>
    <row r="1290" spans="1:11">
      <c r="A1290" s="25" t="s">
        <v>991</v>
      </c>
      <c r="B1290" s="26" t="s">
        <v>989</v>
      </c>
      <c r="C1290" s="26"/>
      <c r="D1290" s="26"/>
      <c r="E1290" s="27"/>
      <c r="F1290" s="197"/>
      <c r="G1290" s="172">
        <f>SF!G52</f>
        <v>94.821839999999995</v>
      </c>
      <c r="H1290" s="34"/>
      <c r="I1290" s="172">
        <f>SF!I52</f>
        <v>785.12483520000001</v>
      </c>
      <c r="J1290" s="89"/>
      <c r="K1290" s="268">
        <v>0.3</v>
      </c>
    </row>
    <row r="1291" spans="1:11">
      <c r="A1291" s="25" t="s">
        <v>994</v>
      </c>
      <c r="B1291" s="26" t="s">
        <v>996</v>
      </c>
      <c r="C1291" s="26"/>
      <c r="D1291" s="26"/>
      <c r="E1291" s="27"/>
      <c r="F1291" s="197"/>
      <c r="G1291" s="172">
        <f>SF!G56</f>
        <v>4.5540000000000003</v>
      </c>
      <c r="H1291" s="34"/>
      <c r="I1291" s="172">
        <f>SF!I56</f>
        <v>37.70712000000001</v>
      </c>
      <c r="J1291" s="89"/>
      <c r="K1291" s="376">
        <v>1</v>
      </c>
    </row>
    <row r="1292" spans="1:11">
      <c r="A1292" s="25" t="s">
        <v>217</v>
      </c>
      <c r="B1292" s="26" t="s">
        <v>211</v>
      </c>
      <c r="C1292" s="26"/>
      <c r="D1292" s="26"/>
      <c r="E1292" s="27"/>
      <c r="F1292" s="197"/>
      <c r="G1292" s="196">
        <f>SF!G58</f>
        <v>26.798532263701709</v>
      </c>
      <c r="H1292" s="199"/>
      <c r="I1292" s="172">
        <f>SF!I58</f>
        <v>147.28381289471153</v>
      </c>
      <c r="J1292" s="195"/>
      <c r="K1292" s="376">
        <v>0.3</v>
      </c>
    </row>
    <row r="1293" spans="1:11">
      <c r="A1293" s="686" t="s">
        <v>1472</v>
      </c>
      <c r="B1293" s="688" t="s">
        <v>1045</v>
      </c>
      <c r="C1293" s="688"/>
      <c r="D1293" s="688"/>
      <c r="E1293" s="689"/>
      <c r="F1293" s="620"/>
      <c r="G1293" s="695">
        <f>SF!G61</f>
        <v>32.345729999999996</v>
      </c>
      <c r="H1293" s="690"/>
      <c r="I1293" s="695">
        <f>SF!I61</f>
        <v>29.111156999999999</v>
      </c>
      <c r="J1293" s="269"/>
      <c r="K1293" s="376">
        <v>0.3</v>
      </c>
    </row>
    <row r="1294" spans="1:11">
      <c r="A1294" s="686" t="s">
        <v>1139</v>
      </c>
      <c r="B1294" s="688" t="s">
        <v>1140</v>
      </c>
      <c r="C1294" s="688"/>
      <c r="D1294" s="688"/>
      <c r="E1294" s="689"/>
      <c r="F1294" s="620"/>
      <c r="G1294" s="695">
        <f>SF!G63</f>
        <v>19.373390077688924</v>
      </c>
      <c r="H1294" s="690"/>
      <c r="I1294" s="695">
        <f>SF!I63</f>
        <v>37.512792074379419</v>
      </c>
      <c r="J1294" s="269"/>
      <c r="K1294" s="376">
        <v>0.3</v>
      </c>
    </row>
    <row r="1295" spans="1:11">
      <c r="A1295" s="278" t="s">
        <v>1135</v>
      </c>
      <c r="B1295" s="262"/>
      <c r="C1295" s="262"/>
      <c r="D1295" s="262"/>
      <c r="E1295" s="263"/>
      <c r="F1295" s="279"/>
      <c r="G1295" s="280"/>
      <c r="H1295" s="264"/>
      <c r="I1295" s="279"/>
      <c r="J1295" s="264"/>
      <c r="K1295" s="708">
        <v>1</v>
      </c>
    </row>
    <row r="1296" spans="1:11">
      <c r="A1296" s="25" t="s">
        <v>997</v>
      </c>
      <c r="B1296" s="26" t="s">
        <v>988</v>
      </c>
      <c r="C1296" s="26"/>
      <c r="D1296" s="26"/>
      <c r="E1296" s="27"/>
      <c r="F1296" s="197"/>
      <c r="G1296" s="211"/>
      <c r="H1296" s="254">
        <f>SF!H67</f>
        <v>47.410919999999997</v>
      </c>
      <c r="I1296" s="197"/>
      <c r="J1296" s="254">
        <f>SF!J67</f>
        <v>433.10062959257624</v>
      </c>
      <c r="K1296" s="268">
        <v>1</v>
      </c>
    </row>
    <row r="1297" spans="1:11">
      <c r="A1297" s="25" t="s">
        <v>998</v>
      </c>
      <c r="B1297" s="26" t="s">
        <v>989</v>
      </c>
      <c r="C1297" s="26"/>
      <c r="D1297" s="26"/>
      <c r="E1297" s="27"/>
      <c r="F1297" s="197"/>
      <c r="G1297" s="211"/>
      <c r="H1297" s="254">
        <f>SF!H68</f>
        <v>47.410919999999997</v>
      </c>
      <c r="I1297" s="197"/>
      <c r="J1297" s="254">
        <f>SF!J68</f>
        <v>433.10062959257624</v>
      </c>
      <c r="K1297" s="376">
        <v>1</v>
      </c>
    </row>
    <row r="1298" spans="1:11">
      <c r="A1298" s="25" t="s">
        <v>1004</v>
      </c>
      <c r="B1298" s="26" t="s">
        <v>1000</v>
      </c>
      <c r="C1298" s="26"/>
      <c r="D1298" s="26"/>
      <c r="E1298" s="27"/>
      <c r="F1298" s="197"/>
      <c r="G1298" s="211"/>
      <c r="H1298" s="254">
        <f>SF!H75</f>
        <v>0</v>
      </c>
      <c r="I1298" s="197"/>
      <c r="J1298" s="254">
        <f>SF!J75</f>
        <v>0</v>
      </c>
      <c r="K1298" s="376">
        <v>0.2</v>
      </c>
    </row>
    <row r="1299" spans="1:11">
      <c r="A1299" s="25" t="s">
        <v>1005</v>
      </c>
      <c r="B1299" s="26" t="s">
        <v>1001</v>
      </c>
      <c r="C1299" s="26"/>
      <c r="D1299" s="26"/>
      <c r="E1299" s="27"/>
      <c r="F1299" s="197"/>
      <c r="G1299" s="211"/>
      <c r="H1299" s="254">
        <f>SF!H76</f>
        <v>20.719716685714292</v>
      </c>
      <c r="I1299" s="197"/>
      <c r="J1299" s="254">
        <f>SF!J76</f>
        <v>227.1916934588572</v>
      </c>
      <c r="K1299" s="376">
        <v>0.2</v>
      </c>
    </row>
    <row r="1300" spans="1:11">
      <c r="A1300" s="25" t="s">
        <v>1006</v>
      </c>
      <c r="B1300" s="26" t="s">
        <v>211</v>
      </c>
      <c r="C1300" s="26"/>
      <c r="D1300" s="26"/>
      <c r="E1300" s="27"/>
      <c r="F1300" s="197"/>
      <c r="G1300" s="195"/>
      <c r="H1300" s="254">
        <f>SF!H78</f>
        <v>26.798532263701709</v>
      </c>
      <c r="I1300" s="195"/>
      <c r="J1300" s="254">
        <f>SF!J78</f>
        <v>147.28381289471153</v>
      </c>
      <c r="K1300" s="376">
        <v>1</v>
      </c>
    </row>
    <row r="1301" spans="1:11">
      <c r="A1301" s="686" t="s">
        <v>1138</v>
      </c>
      <c r="B1301" s="688" t="s">
        <v>1045</v>
      </c>
      <c r="C1301" s="688"/>
      <c r="D1301" s="688"/>
      <c r="E1301" s="689"/>
      <c r="F1301" s="620"/>
      <c r="G1301" s="711"/>
      <c r="H1301" s="989">
        <f>SF!H81</f>
        <v>32.345729999999996</v>
      </c>
      <c r="I1301" s="696"/>
      <c r="J1301" s="989">
        <f>SF!J81</f>
        <v>29.111156999999999</v>
      </c>
      <c r="K1301" s="376">
        <v>1</v>
      </c>
    </row>
    <row r="1302" spans="1:11">
      <c r="A1302" s="290" t="s">
        <v>1137</v>
      </c>
      <c r="B1302" s="11"/>
      <c r="C1302" s="11"/>
      <c r="D1302" s="11"/>
      <c r="E1302" s="191"/>
      <c r="F1302" s="197"/>
      <c r="G1302" s="211"/>
      <c r="H1302" s="89"/>
      <c r="I1302" s="197"/>
      <c r="J1302" s="89"/>
      <c r="K1302" s="994">
        <v>0.3</v>
      </c>
    </row>
    <row r="1303" spans="1:11">
      <c r="A1303" s="25" t="s">
        <v>1007</v>
      </c>
      <c r="B1303" s="26" t="s">
        <v>988</v>
      </c>
      <c r="C1303" s="26"/>
      <c r="D1303" s="26"/>
      <c r="E1303" s="27"/>
      <c r="F1303" s="196">
        <f>SF!F87</f>
        <v>31.607279999999999</v>
      </c>
      <c r="G1303" s="211"/>
      <c r="H1303" s="34"/>
      <c r="I1303" s="196">
        <f>SF!I87</f>
        <v>-15.140358000000003</v>
      </c>
      <c r="J1303" s="196">
        <f>SF!J87</f>
        <v>0</v>
      </c>
      <c r="K1303" s="376">
        <v>-0.3</v>
      </c>
    </row>
    <row r="1304" spans="1:11">
      <c r="A1304" s="25" t="s">
        <v>1008</v>
      </c>
      <c r="B1304" s="26" t="s">
        <v>989</v>
      </c>
      <c r="C1304" s="26"/>
      <c r="D1304" s="26"/>
      <c r="E1304" s="27"/>
      <c r="F1304" s="196">
        <f>SF!F88</f>
        <v>31.607279999999999</v>
      </c>
      <c r="G1304" s="211"/>
      <c r="H1304" s="34"/>
      <c r="I1304" s="196">
        <f>SF!I88</f>
        <v>15.140358000000003</v>
      </c>
      <c r="J1304" s="196">
        <f>SF!J88</f>
        <v>0</v>
      </c>
      <c r="K1304" s="268">
        <v>-0.3</v>
      </c>
    </row>
    <row r="1305" spans="1:11">
      <c r="A1305" s="25" t="s">
        <v>1009</v>
      </c>
      <c r="B1305" s="26" t="s">
        <v>1000</v>
      </c>
      <c r="C1305" s="26"/>
      <c r="D1305" s="26"/>
      <c r="E1305" s="27"/>
      <c r="F1305" s="196">
        <f>SF!F95</f>
        <v>0</v>
      </c>
      <c r="G1305" s="211"/>
      <c r="H1305" s="34"/>
      <c r="I1305" s="196">
        <f>SF!I95</f>
        <v>0</v>
      </c>
      <c r="J1305" s="196">
        <f>SF!J95</f>
        <v>0</v>
      </c>
      <c r="K1305" s="268">
        <v>-0.06</v>
      </c>
    </row>
    <row r="1306" spans="1:11">
      <c r="A1306" s="25" t="s">
        <v>1010</v>
      </c>
      <c r="B1306" s="26" t="s">
        <v>1001</v>
      </c>
      <c r="C1306" s="26"/>
      <c r="D1306" s="26"/>
      <c r="E1306" s="27"/>
      <c r="F1306" s="196">
        <f>SF!F96</f>
        <v>13.813144457142862</v>
      </c>
      <c r="G1306" s="211"/>
      <c r="H1306" s="34"/>
      <c r="I1306" s="196">
        <f>SF!I96</f>
        <v>6.9065722285714308</v>
      </c>
      <c r="J1306" s="196">
        <f>SF!J96</f>
        <v>-2.142281818285714</v>
      </c>
      <c r="K1306" s="268">
        <v>-0.06</v>
      </c>
    </row>
    <row r="1307" spans="1:11">
      <c r="A1307" s="25" t="s">
        <v>1011</v>
      </c>
      <c r="B1307" s="26" t="s">
        <v>211</v>
      </c>
      <c r="C1307" s="26"/>
      <c r="D1307" s="26"/>
      <c r="E1307" s="27"/>
      <c r="F1307" s="196">
        <f>SF!F98</f>
        <v>17.865688175801139</v>
      </c>
      <c r="G1307" s="211"/>
      <c r="H1307" s="197"/>
      <c r="I1307" s="196">
        <f>SF!I98</f>
        <v>0</v>
      </c>
      <c r="J1307" s="196">
        <f>SF!J98</f>
        <v>0</v>
      </c>
      <c r="K1307" s="268">
        <v>-0.3</v>
      </c>
    </row>
    <row r="1308" spans="1:11">
      <c r="A1308" s="686" t="s">
        <v>1473</v>
      </c>
      <c r="B1308" s="688" t="s">
        <v>1045</v>
      </c>
      <c r="C1308" s="688"/>
      <c r="D1308" s="688"/>
      <c r="E1308" s="689"/>
      <c r="F1308" s="695">
        <f>SF!F101</f>
        <v>21.56382</v>
      </c>
      <c r="G1308" s="621"/>
      <c r="H1308" s="620"/>
      <c r="I1308" s="695">
        <f>SF!I101</f>
        <v>0</v>
      </c>
      <c r="J1308" s="695">
        <f>SF!J101</f>
        <v>0</v>
      </c>
      <c r="K1308" s="268">
        <v>-0.3</v>
      </c>
    </row>
    <row r="1309" spans="1:11">
      <c r="A1309" s="253"/>
      <c r="B1309" s="15"/>
      <c r="C1309" s="15"/>
      <c r="D1309" s="15"/>
      <c r="E1309" s="22"/>
      <c r="F1309" s="212"/>
      <c r="G1309" s="213"/>
      <c r="H1309" s="198"/>
      <c r="I1309" s="198"/>
      <c r="J1309" s="58"/>
      <c r="K1309" s="379"/>
    </row>
    <row r="1310" spans="1:11">
      <c r="A1310" s="46"/>
      <c r="B1310" s="46"/>
      <c r="C1310" s="46"/>
      <c r="D1310" s="46"/>
      <c r="E1310" s="46"/>
      <c r="F1310" s="46"/>
      <c r="G1310" s="46"/>
      <c r="H1310" s="46"/>
      <c r="I1310" s="46"/>
      <c r="J1310" s="46"/>
      <c r="K1310" s="87"/>
    </row>
    <row r="1311" spans="1:11">
      <c r="A1311" s="220" t="s">
        <v>73</v>
      </c>
      <c r="B1311" s="220" t="s">
        <v>74</v>
      </c>
      <c r="C1311" s="200"/>
      <c r="D1311" s="200"/>
      <c r="E1311" s="217"/>
      <c r="F1311" s="1636" t="s">
        <v>72</v>
      </c>
      <c r="G1311" s="1637"/>
      <c r="H1311" s="1637"/>
      <c r="I1311" s="1637"/>
      <c r="J1311" s="1638"/>
      <c r="K1311" s="87"/>
    </row>
    <row r="1312" spans="1:11" ht="18">
      <c r="A1312" s="221"/>
      <c r="B1312" s="221"/>
      <c r="C1312" s="201"/>
      <c r="D1312" s="201"/>
      <c r="E1312" s="219"/>
      <c r="F1312" s="223" t="s">
        <v>23</v>
      </c>
      <c r="G1312" s="223" t="s">
        <v>87</v>
      </c>
      <c r="H1312" s="223" t="s">
        <v>212</v>
      </c>
      <c r="I1312" s="223" t="s">
        <v>80</v>
      </c>
      <c r="J1312" s="223" t="s">
        <v>81</v>
      </c>
      <c r="K1312" s="87"/>
    </row>
    <row r="1313" spans="1:11">
      <c r="A1313" s="222"/>
      <c r="B1313" s="222"/>
      <c r="C1313" s="203"/>
      <c r="D1313" s="203"/>
      <c r="E1313" s="218"/>
      <c r="F1313" s="204" t="s">
        <v>34</v>
      </c>
      <c r="G1313" s="204" t="s">
        <v>34</v>
      </c>
      <c r="H1313" s="203" t="s">
        <v>34</v>
      </c>
      <c r="I1313" s="204" t="s">
        <v>77</v>
      </c>
      <c r="J1313" s="204" t="s">
        <v>77</v>
      </c>
      <c r="K1313" s="87"/>
    </row>
    <row r="1314" spans="1:11">
      <c r="A1314" s="202"/>
      <c r="B1314" s="200"/>
      <c r="C1314" s="200"/>
      <c r="D1314" s="200"/>
      <c r="E1314" s="217"/>
      <c r="F1314" s="205"/>
      <c r="G1314" s="205"/>
      <c r="H1314" s="201"/>
      <c r="I1314" s="205"/>
      <c r="J1314" s="205"/>
      <c r="K1314" s="87"/>
    </row>
    <row r="1315" spans="1:11">
      <c r="A1315" s="205" t="str">
        <f>A1274</f>
        <v>LC-38</v>
      </c>
      <c r="B1315" s="201" t="str">
        <f>B1274</f>
        <v>LC-24 + Seismic Sx=0.3,Sz=1,Sy=-0.3</v>
      </c>
      <c r="C1315" s="201"/>
      <c r="D1315" s="201"/>
      <c r="E1315" s="219"/>
      <c r="F1315" s="205">
        <f>SUMPRODUCT(F1277:F1308,$K$1277:$K$1308)</f>
        <v>877.44351999825005</v>
      </c>
      <c r="G1315" s="1080">
        <f>SUMPRODUCT(G1277:G1308,$K$1277:$K$1308)</f>
        <v>59.841472389341455</v>
      </c>
      <c r="H1315" s="1080">
        <f>SUMPRODUCT(H1277:H1308,$K$1277:$K$1308)</f>
        <v>161.6497638500588</v>
      </c>
      <c r="I1315" s="1080">
        <f>SUMPRODUCT(I1277:I1308,$K$1277:$K$1308)</f>
        <v>356.85530489874179</v>
      </c>
      <c r="J1315" s="1080">
        <f>SUMPRODUCT(J1277:J1308,$K$1277:$K$1308)</f>
        <v>1089.5256776020572</v>
      </c>
      <c r="K1315" s="87"/>
    </row>
    <row r="1316" spans="1:11">
      <c r="A1316" s="204"/>
      <c r="B1316" s="203"/>
      <c r="C1316" s="203"/>
      <c r="D1316" s="203"/>
      <c r="E1316" s="218"/>
      <c r="F1316" s="204"/>
      <c r="G1316" s="204"/>
      <c r="H1316" s="203"/>
      <c r="I1316" s="204"/>
      <c r="J1316" s="204"/>
      <c r="K1316" s="87"/>
    </row>
    <row r="1319" spans="1:11">
      <c r="A1319" s="1318" t="str">
        <f>K1319</f>
        <v>LC-39</v>
      </c>
      <c r="B1319" s="24" t="str">
        <f>VLOOKUP(A1319,LC_DEF_2!A3:B42,2,FALSE)</f>
        <v>LC-24 + Seismic Sx=1,Sz=0.3,Sy=0.3</v>
      </c>
      <c r="C1319" s="24"/>
      <c r="D1319" s="24"/>
      <c r="E1319" s="21"/>
      <c r="F1319" s="1635" t="s">
        <v>742</v>
      </c>
      <c r="G1319" s="1635"/>
      <c r="H1319" s="1635"/>
      <c r="I1319" s="1635"/>
      <c r="J1319" s="1600"/>
      <c r="K1319" s="413" t="s">
        <v>1176</v>
      </c>
    </row>
    <row r="1320" spans="1:11" ht="18">
      <c r="A1320" s="25" t="s">
        <v>73</v>
      </c>
      <c r="B1320" s="26" t="s">
        <v>74</v>
      </c>
      <c r="C1320" s="26"/>
      <c r="D1320" s="26"/>
      <c r="E1320" s="27"/>
      <c r="F1320" s="32" t="s">
        <v>23</v>
      </c>
      <c r="G1320" s="33" t="s">
        <v>87</v>
      </c>
      <c r="H1320" s="33" t="s">
        <v>212</v>
      </c>
      <c r="I1320" s="33" t="s">
        <v>80</v>
      </c>
      <c r="J1320" s="33" t="s">
        <v>81</v>
      </c>
      <c r="K1320" s="376"/>
    </row>
    <row r="1321" spans="1:11">
      <c r="A1321" s="28"/>
      <c r="B1321" s="15"/>
      <c r="C1321" s="15"/>
      <c r="D1321" s="15"/>
      <c r="E1321" s="22"/>
      <c r="F1321" s="21" t="s">
        <v>34</v>
      </c>
      <c r="G1321" s="36" t="s">
        <v>34</v>
      </c>
      <c r="H1321" s="36" t="s">
        <v>34</v>
      </c>
      <c r="I1321" s="36" t="s">
        <v>77</v>
      </c>
      <c r="J1321" s="36" t="s">
        <v>77</v>
      </c>
      <c r="K1321" s="376"/>
    </row>
    <row r="1322" spans="1:11">
      <c r="A1322" s="25" t="s">
        <v>88</v>
      </c>
      <c r="B1322" s="26" t="s">
        <v>75</v>
      </c>
      <c r="C1322" s="26"/>
      <c r="D1322" s="26"/>
      <c r="E1322" s="27"/>
      <c r="F1322" s="195">
        <f>SF!F14</f>
        <v>365.08803866482532</v>
      </c>
      <c r="G1322" s="210"/>
      <c r="H1322" s="34"/>
      <c r="I1322" s="195">
        <f>SF!I14</f>
        <v>0</v>
      </c>
      <c r="J1322" s="195">
        <f>SF!J14</f>
        <v>0</v>
      </c>
      <c r="K1322" s="268">
        <v>1</v>
      </c>
    </row>
    <row r="1323" spans="1:11">
      <c r="A1323" s="25" t="s">
        <v>90</v>
      </c>
      <c r="B1323" s="26" t="s">
        <v>249</v>
      </c>
      <c r="C1323" s="26"/>
      <c r="D1323" s="26"/>
      <c r="E1323" s="27"/>
      <c r="F1323" s="195">
        <f>SF!F16</f>
        <v>36.639026644707663</v>
      </c>
      <c r="G1323" s="210"/>
      <c r="H1323" s="34"/>
      <c r="I1323" s="195">
        <f>SF!I16</f>
        <v>0</v>
      </c>
      <c r="J1323" s="195">
        <f>SF!J16</f>
        <v>0</v>
      </c>
      <c r="K1323" s="268">
        <v>1</v>
      </c>
    </row>
    <row r="1324" spans="1:11">
      <c r="A1324" s="25" t="s">
        <v>250</v>
      </c>
      <c r="B1324" s="26" t="s">
        <v>967</v>
      </c>
      <c r="C1324" s="26"/>
      <c r="D1324" s="26"/>
      <c r="E1324" s="27"/>
      <c r="F1324" s="195">
        <f>SF!F19</f>
        <v>230</v>
      </c>
      <c r="G1324" s="27"/>
      <c r="H1324" s="34"/>
      <c r="I1324" s="195">
        <f>SF!I19</f>
        <v>-115</v>
      </c>
      <c r="J1324" s="195">
        <f>SF!J19</f>
        <v>0</v>
      </c>
      <c r="K1324" s="376">
        <v>1</v>
      </c>
    </row>
    <row r="1325" spans="1:11">
      <c r="A1325" s="25" t="s">
        <v>251</v>
      </c>
      <c r="B1325" s="26" t="s">
        <v>968</v>
      </c>
      <c r="C1325" s="26"/>
      <c r="D1325" s="26"/>
      <c r="E1325" s="27"/>
      <c r="F1325" s="195">
        <f>SF!F20</f>
        <v>20.660000000000004</v>
      </c>
      <c r="G1325" s="27"/>
      <c r="H1325" s="34"/>
      <c r="I1325" s="195">
        <f>SF!I20</f>
        <v>-10.330000000000002</v>
      </c>
      <c r="J1325" s="195">
        <f>SF!J20</f>
        <v>0</v>
      </c>
      <c r="K1325" s="376">
        <v>1</v>
      </c>
    </row>
    <row r="1326" spans="1:11">
      <c r="A1326" s="25" t="s">
        <v>97</v>
      </c>
      <c r="B1326" s="26" t="s">
        <v>969</v>
      </c>
      <c r="C1326" s="26"/>
      <c r="D1326" s="26"/>
      <c r="E1326" s="27"/>
      <c r="F1326" s="195">
        <f>SF!F21</f>
        <v>42</v>
      </c>
      <c r="G1326" s="27"/>
      <c r="H1326" s="34"/>
      <c r="I1326" s="195">
        <f>SF!I21</f>
        <v>-14.858499999999999</v>
      </c>
      <c r="J1326" s="195">
        <f>SF!J21</f>
        <v>0</v>
      </c>
      <c r="K1326" s="376">
        <v>1</v>
      </c>
    </row>
    <row r="1327" spans="1:11">
      <c r="A1327" s="25" t="s">
        <v>250</v>
      </c>
      <c r="B1327" s="26" t="s">
        <v>970</v>
      </c>
      <c r="C1327" s="26"/>
      <c r="D1327" s="26"/>
      <c r="E1327" s="27"/>
      <c r="F1327" s="195">
        <f>SF!F23</f>
        <v>230</v>
      </c>
      <c r="G1327" s="27"/>
      <c r="H1327" s="34"/>
      <c r="I1327" s="195">
        <f>SF!I23</f>
        <v>115</v>
      </c>
      <c r="J1327" s="195">
        <f>SF!J23</f>
        <v>0</v>
      </c>
      <c r="K1327" s="376">
        <v>1</v>
      </c>
    </row>
    <row r="1328" spans="1:11">
      <c r="A1328" s="25" t="s">
        <v>251</v>
      </c>
      <c r="B1328" s="26" t="s">
        <v>971</v>
      </c>
      <c r="C1328" s="26"/>
      <c r="D1328" s="26"/>
      <c r="E1328" s="27"/>
      <c r="F1328" s="195">
        <f>SF!F24</f>
        <v>20.660000000000004</v>
      </c>
      <c r="G1328" s="27"/>
      <c r="H1328" s="34"/>
      <c r="I1328" s="195">
        <f>SF!I24</f>
        <v>10.330000000000002</v>
      </c>
      <c r="J1328" s="195">
        <f>SF!J24</f>
        <v>0</v>
      </c>
      <c r="K1328" s="268">
        <v>1</v>
      </c>
    </row>
    <row r="1329" spans="1:11">
      <c r="A1329" s="25" t="s">
        <v>97</v>
      </c>
      <c r="B1329" s="26" t="s">
        <v>972</v>
      </c>
      <c r="C1329" s="26"/>
      <c r="D1329" s="26"/>
      <c r="E1329" s="27"/>
      <c r="F1329" s="195">
        <f>SF!F25</f>
        <v>42</v>
      </c>
      <c r="G1329" s="27"/>
      <c r="H1329" s="34"/>
      <c r="I1329" s="195">
        <f>SF!I25</f>
        <v>14.858499999999999</v>
      </c>
      <c r="J1329" s="195">
        <f>SF!J25</f>
        <v>0</v>
      </c>
      <c r="K1329" s="376">
        <v>1</v>
      </c>
    </row>
    <row r="1330" spans="1:11">
      <c r="A1330" s="25" t="s">
        <v>976</v>
      </c>
      <c r="B1330" s="26" t="s">
        <v>981</v>
      </c>
      <c r="C1330" s="26"/>
      <c r="D1330" s="26"/>
      <c r="E1330" s="27"/>
      <c r="F1330" s="195">
        <f>SF!F33</f>
        <v>0</v>
      </c>
      <c r="G1330" s="27"/>
      <c r="H1330" s="34"/>
      <c r="I1330" s="195">
        <f>SF!I33</f>
        <v>0</v>
      </c>
      <c r="J1330" s="195">
        <f>SF!J33</f>
        <v>0</v>
      </c>
      <c r="K1330" s="376">
        <v>0.2</v>
      </c>
    </row>
    <row r="1331" spans="1:11">
      <c r="A1331" s="25" t="s">
        <v>977</v>
      </c>
      <c r="B1331" s="26" t="s">
        <v>982</v>
      </c>
      <c r="C1331" s="26"/>
      <c r="D1331" s="26"/>
      <c r="E1331" s="27"/>
      <c r="F1331" s="195">
        <f>SF!F34</f>
        <v>127.89948571428575</v>
      </c>
      <c r="G1331" s="27"/>
      <c r="H1331" s="34"/>
      <c r="I1331" s="195">
        <f>SF!I34</f>
        <v>63.949742857142873</v>
      </c>
      <c r="J1331" s="195">
        <f>SF!J34</f>
        <v>-19.835942761904757</v>
      </c>
      <c r="K1331" s="376">
        <v>0.2</v>
      </c>
    </row>
    <row r="1332" spans="1:11">
      <c r="A1332" s="686" t="s">
        <v>1128</v>
      </c>
      <c r="B1332" s="687"/>
      <c r="C1332" s="688"/>
      <c r="D1332" s="688"/>
      <c r="E1332" s="689"/>
      <c r="F1332" s="696">
        <f>SF!F43</f>
        <v>-103.56143333397094</v>
      </c>
      <c r="G1332" s="689"/>
      <c r="H1332" s="690"/>
      <c r="I1332" s="690"/>
      <c r="J1332" s="690"/>
      <c r="K1332" s="376">
        <v>1</v>
      </c>
    </row>
    <row r="1333" spans="1:11">
      <c r="A1333" s="686" t="s">
        <v>1131</v>
      </c>
      <c r="B1333" s="687"/>
      <c r="C1333" s="688"/>
      <c r="D1333" s="688"/>
      <c r="E1333" s="689"/>
      <c r="F1333" s="690"/>
      <c r="G1333" s="696">
        <f>SF!G47</f>
        <v>3.2856246869242693</v>
      </c>
      <c r="H1333" s="696">
        <f>SF!H47</f>
        <v>3.5397182492142409</v>
      </c>
      <c r="I1333" s="696">
        <f>SF!I47</f>
        <v>7.0628515103002814</v>
      </c>
      <c r="J1333" s="696">
        <f>SF!J47</f>
        <v>5.3297614737052639</v>
      </c>
      <c r="K1333" s="376">
        <v>1</v>
      </c>
    </row>
    <row r="1334" spans="1:11">
      <c r="A1334" s="278" t="s">
        <v>1132</v>
      </c>
      <c r="B1334" s="262"/>
      <c r="C1334" s="262"/>
      <c r="D1334" s="262"/>
      <c r="E1334" s="263"/>
      <c r="F1334" s="279"/>
      <c r="G1334" s="280"/>
      <c r="H1334" s="264"/>
      <c r="I1334" s="279"/>
      <c r="J1334" s="264"/>
      <c r="K1334" s="650">
        <v>1</v>
      </c>
    </row>
    <row r="1335" spans="1:11">
      <c r="A1335" s="25" t="s">
        <v>991</v>
      </c>
      <c r="B1335" s="26" t="s">
        <v>989</v>
      </c>
      <c r="C1335" s="26"/>
      <c r="D1335" s="26"/>
      <c r="E1335" s="27"/>
      <c r="F1335" s="197"/>
      <c r="G1335" s="172">
        <f>SF!G52</f>
        <v>94.821839999999995</v>
      </c>
      <c r="H1335" s="34"/>
      <c r="I1335" s="172">
        <f>SF!I52</f>
        <v>785.12483520000001</v>
      </c>
      <c r="J1335" s="89"/>
      <c r="K1335" s="268">
        <v>1</v>
      </c>
    </row>
    <row r="1336" spans="1:11">
      <c r="A1336" s="25" t="s">
        <v>994</v>
      </c>
      <c r="B1336" s="26" t="s">
        <v>996</v>
      </c>
      <c r="C1336" s="26"/>
      <c r="D1336" s="26"/>
      <c r="E1336" s="27"/>
      <c r="F1336" s="197"/>
      <c r="G1336" s="172">
        <f>SF!G56</f>
        <v>4.5540000000000003</v>
      </c>
      <c r="H1336" s="34"/>
      <c r="I1336" s="172">
        <f>SF!I56</f>
        <v>37.70712000000001</v>
      </c>
      <c r="J1336" s="89"/>
      <c r="K1336" s="376">
        <v>1</v>
      </c>
    </row>
    <row r="1337" spans="1:11">
      <c r="A1337" s="25" t="s">
        <v>217</v>
      </c>
      <c r="B1337" s="26" t="s">
        <v>211</v>
      </c>
      <c r="C1337" s="26"/>
      <c r="D1337" s="26"/>
      <c r="E1337" s="27"/>
      <c r="F1337" s="197"/>
      <c r="G1337" s="196">
        <f>SF!G58</f>
        <v>26.798532263701709</v>
      </c>
      <c r="H1337" s="199"/>
      <c r="I1337" s="172">
        <f>SF!I58</f>
        <v>147.28381289471153</v>
      </c>
      <c r="J1337" s="195"/>
      <c r="K1337" s="376">
        <v>1</v>
      </c>
    </row>
    <row r="1338" spans="1:11">
      <c r="A1338" s="686" t="s">
        <v>1472</v>
      </c>
      <c r="B1338" s="688" t="s">
        <v>1045</v>
      </c>
      <c r="C1338" s="688"/>
      <c r="D1338" s="688"/>
      <c r="E1338" s="689"/>
      <c r="F1338" s="620"/>
      <c r="G1338" s="695">
        <f>SF!G61</f>
        <v>32.345729999999996</v>
      </c>
      <c r="H1338" s="690"/>
      <c r="I1338" s="695">
        <f>SF!I61</f>
        <v>29.111156999999999</v>
      </c>
      <c r="J1338" s="269"/>
      <c r="K1338" s="376">
        <v>1</v>
      </c>
    </row>
    <row r="1339" spans="1:11">
      <c r="A1339" s="686" t="s">
        <v>1139</v>
      </c>
      <c r="B1339" s="688" t="s">
        <v>1140</v>
      </c>
      <c r="C1339" s="688"/>
      <c r="D1339" s="688"/>
      <c r="E1339" s="689"/>
      <c r="F1339" s="620"/>
      <c r="G1339" s="695">
        <f>SF!G63</f>
        <v>19.373390077688924</v>
      </c>
      <c r="H1339" s="690"/>
      <c r="I1339" s="695">
        <f>SF!I63</f>
        <v>37.512792074379419</v>
      </c>
      <c r="J1339" s="269"/>
      <c r="K1339" s="376">
        <v>1</v>
      </c>
    </row>
    <row r="1340" spans="1:11">
      <c r="A1340" s="278" t="s">
        <v>1135</v>
      </c>
      <c r="B1340" s="262"/>
      <c r="C1340" s="262"/>
      <c r="D1340" s="262"/>
      <c r="E1340" s="263"/>
      <c r="F1340" s="279"/>
      <c r="G1340" s="280"/>
      <c r="H1340" s="264"/>
      <c r="I1340" s="279"/>
      <c r="J1340" s="264"/>
      <c r="K1340" s="708">
        <v>0.3</v>
      </c>
    </row>
    <row r="1341" spans="1:11">
      <c r="A1341" s="25" t="s">
        <v>997</v>
      </c>
      <c r="B1341" s="26" t="s">
        <v>988</v>
      </c>
      <c r="C1341" s="26"/>
      <c r="D1341" s="26"/>
      <c r="E1341" s="27"/>
      <c r="F1341" s="197"/>
      <c r="G1341" s="211"/>
      <c r="H1341" s="254">
        <f>SF!H67</f>
        <v>47.410919999999997</v>
      </c>
      <c r="I1341" s="197"/>
      <c r="J1341" s="254">
        <f>SF!J67</f>
        <v>433.10062959257624</v>
      </c>
      <c r="K1341" s="268">
        <v>0.3</v>
      </c>
    </row>
    <row r="1342" spans="1:11">
      <c r="A1342" s="25" t="s">
        <v>998</v>
      </c>
      <c r="B1342" s="26" t="s">
        <v>989</v>
      </c>
      <c r="C1342" s="26"/>
      <c r="D1342" s="26"/>
      <c r="E1342" s="27"/>
      <c r="F1342" s="197"/>
      <c r="G1342" s="211"/>
      <c r="H1342" s="254">
        <f>SF!H68</f>
        <v>47.410919999999997</v>
      </c>
      <c r="I1342" s="197"/>
      <c r="J1342" s="254">
        <f>SF!J68</f>
        <v>433.10062959257624</v>
      </c>
      <c r="K1342" s="376">
        <v>0.3</v>
      </c>
    </row>
    <row r="1343" spans="1:11">
      <c r="A1343" s="25" t="s">
        <v>1004</v>
      </c>
      <c r="B1343" s="26" t="s">
        <v>1000</v>
      </c>
      <c r="C1343" s="26"/>
      <c r="D1343" s="26"/>
      <c r="E1343" s="27"/>
      <c r="F1343" s="197"/>
      <c r="G1343" s="211"/>
      <c r="H1343" s="254">
        <f>SF!H75</f>
        <v>0</v>
      </c>
      <c r="I1343" s="197"/>
      <c r="J1343" s="254">
        <f>SF!J75</f>
        <v>0</v>
      </c>
      <c r="K1343" s="376">
        <v>0.06</v>
      </c>
    </row>
    <row r="1344" spans="1:11">
      <c r="A1344" s="25" t="s">
        <v>1005</v>
      </c>
      <c r="B1344" s="26" t="s">
        <v>1001</v>
      </c>
      <c r="C1344" s="26"/>
      <c r="D1344" s="26"/>
      <c r="E1344" s="27"/>
      <c r="F1344" s="197"/>
      <c r="G1344" s="211"/>
      <c r="H1344" s="254">
        <f>SF!H76</f>
        <v>20.719716685714292</v>
      </c>
      <c r="I1344" s="197"/>
      <c r="J1344" s="254">
        <f>SF!J76</f>
        <v>227.1916934588572</v>
      </c>
      <c r="K1344" s="376">
        <v>0.06</v>
      </c>
    </row>
    <row r="1345" spans="1:11">
      <c r="A1345" s="25" t="s">
        <v>1006</v>
      </c>
      <c r="B1345" s="26" t="s">
        <v>211</v>
      </c>
      <c r="C1345" s="26"/>
      <c r="D1345" s="26"/>
      <c r="E1345" s="27"/>
      <c r="F1345" s="197"/>
      <c r="G1345" s="195"/>
      <c r="H1345" s="254">
        <f>SF!H78</f>
        <v>26.798532263701709</v>
      </c>
      <c r="I1345" s="195"/>
      <c r="J1345" s="254">
        <f>SF!J78</f>
        <v>147.28381289471153</v>
      </c>
      <c r="K1345" s="376">
        <v>0.3</v>
      </c>
    </row>
    <row r="1346" spans="1:11">
      <c r="A1346" s="686" t="s">
        <v>1138</v>
      </c>
      <c r="B1346" s="688" t="s">
        <v>1045</v>
      </c>
      <c r="C1346" s="688"/>
      <c r="D1346" s="688"/>
      <c r="E1346" s="689"/>
      <c r="F1346" s="620"/>
      <c r="G1346" s="711"/>
      <c r="H1346" s="989">
        <f>SF!H81</f>
        <v>32.345729999999996</v>
      </c>
      <c r="I1346" s="696"/>
      <c r="J1346" s="989">
        <f>SF!J81</f>
        <v>29.111156999999999</v>
      </c>
      <c r="K1346" s="376">
        <v>0.3</v>
      </c>
    </row>
    <row r="1347" spans="1:11">
      <c r="A1347" s="290" t="s">
        <v>1137</v>
      </c>
      <c r="B1347" s="11"/>
      <c r="C1347" s="11"/>
      <c r="D1347" s="11"/>
      <c r="E1347" s="191"/>
      <c r="F1347" s="197"/>
      <c r="G1347" s="211"/>
      <c r="H1347" s="89"/>
      <c r="I1347" s="197"/>
      <c r="J1347" s="89"/>
      <c r="K1347" s="994">
        <v>0.3</v>
      </c>
    </row>
    <row r="1348" spans="1:11">
      <c r="A1348" s="25" t="s">
        <v>1007</v>
      </c>
      <c r="B1348" s="26" t="s">
        <v>988</v>
      </c>
      <c r="C1348" s="26"/>
      <c r="D1348" s="26"/>
      <c r="E1348" s="27"/>
      <c r="F1348" s="196">
        <f>SF!F87</f>
        <v>31.607279999999999</v>
      </c>
      <c r="G1348" s="211"/>
      <c r="H1348" s="34"/>
      <c r="I1348" s="196">
        <f>SF!I87</f>
        <v>-15.140358000000003</v>
      </c>
      <c r="J1348" s="196">
        <f>SF!J87</f>
        <v>0</v>
      </c>
      <c r="K1348" s="376">
        <v>0.3</v>
      </c>
    </row>
    <row r="1349" spans="1:11">
      <c r="A1349" s="25" t="s">
        <v>1008</v>
      </c>
      <c r="B1349" s="26" t="s">
        <v>989</v>
      </c>
      <c r="C1349" s="26"/>
      <c r="D1349" s="26"/>
      <c r="E1349" s="27"/>
      <c r="F1349" s="196">
        <f>SF!F88</f>
        <v>31.607279999999999</v>
      </c>
      <c r="G1349" s="211"/>
      <c r="H1349" s="34"/>
      <c r="I1349" s="196">
        <f>SF!I88</f>
        <v>15.140358000000003</v>
      </c>
      <c r="J1349" s="196">
        <f>SF!J88</f>
        <v>0</v>
      </c>
      <c r="K1349" s="268">
        <v>0.3</v>
      </c>
    </row>
    <row r="1350" spans="1:11">
      <c r="A1350" s="25" t="s">
        <v>1009</v>
      </c>
      <c r="B1350" s="26" t="s">
        <v>1000</v>
      </c>
      <c r="C1350" s="26"/>
      <c r="D1350" s="26"/>
      <c r="E1350" s="27"/>
      <c r="F1350" s="196">
        <f>SF!F95</f>
        <v>0</v>
      </c>
      <c r="G1350" s="211"/>
      <c r="H1350" s="34"/>
      <c r="I1350" s="196">
        <f>SF!I95</f>
        <v>0</v>
      </c>
      <c r="J1350" s="196">
        <f>SF!J95</f>
        <v>0</v>
      </c>
      <c r="K1350" s="268">
        <v>0.06</v>
      </c>
    </row>
    <row r="1351" spans="1:11">
      <c r="A1351" s="25" t="s">
        <v>1010</v>
      </c>
      <c r="B1351" s="26" t="s">
        <v>1001</v>
      </c>
      <c r="C1351" s="26"/>
      <c r="D1351" s="26"/>
      <c r="E1351" s="27"/>
      <c r="F1351" s="196">
        <f>SF!F96</f>
        <v>13.813144457142862</v>
      </c>
      <c r="G1351" s="211"/>
      <c r="H1351" s="34"/>
      <c r="I1351" s="196">
        <f>SF!I96</f>
        <v>6.9065722285714308</v>
      </c>
      <c r="J1351" s="196">
        <f>SF!J96</f>
        <v>-2.142281818285714</v>
      </c>
      <c r="K1351" s="268">
        <v>0.06</v>
      </c>
    </row>
    <row r="1352" spans="1:11">
      <c r="A1352" s="25" t="s">
        <v>1011</v>
      </c>
      <c r="B1352" s="26" t="s">
        <v>211</v>
      </c>
      <c r="C1352" s="26"/>
      <c r="D1352" s="26"/>
      <c r="E1352" s="27"/>
      <c r="F1352" s="196">
        <f>SF!F98</f>
        <v>17.865688175801139</v>
      </c>
      <c r="G1352" s="211"/>
      <c r="H1352" s="197"/>
      <c r="I1352" s="196">
        <f>SF!I98</f>
        <v>0</v>
      </c>
      <c r="J1352" s="196">
        <f>SF!J98</f>
        <v>0</v>
      </c>
      <c r="K1352" s="268">
        <v>0.3</v>
      </c>
    </row>
    <row r="1353" spans="1:11">
      <c r="A1353" s="686" t="s">
        <v>1473</v>
      </c>
      <c r="B1353" s="688" t="s">
        <v>1045</v>
      </c>
      <c r="C1353" s="688"/>
      <c r="D1353" s="688"/>
      <c r="E1353" s="689"/>
      <c r="F1353" s="695">
        <f>SF!F101</f>
        <v>21.56382</v>
      </c>
      <c r="G1353" s="621"/>
      <c r="H1353" s="620"/>
      <c r="I1353" s="695">
        <f>SF!I101</f>
        <v>0</v>
      </c>
      <c r="J1353" s="695">
        <f>SF!J101</f>
        <v>0</v>
      </c>
      <c r="K1353" s="268">
        <v>0.3</v>
      </c>
    </row>
    <row r="1354" spans="1:11">
      <c r="A1354" s="253"/>
      <c r="B1354" s="15"/>
      <c r="C1354" s="15"/>
      <c r="D1354" s="15"/>
      <c r="E1354" s="22"/>
      <c r="F1354" s="212"/>
      <c r="G1354" s="213"/>
      <c r="H1354" s="198"/>
      <c r="I1354" s="198"/>
      <c r="J1354" s="58"/>
      <c r="K1354" s="379"/>
    </row>
    <row r="1355" spans="1:11">
      <c r="A1355" s="46"/>
      <c r="B1355" s="46"/>
      <c r="C1355" s="46"/>
      <c r="D1355" s="46"/>
      <c r="E1355" s="46"/>
      <c r="F1355" s="46"/>
      <c r="G1355" s="46"/>
      <c r="H1355" s="46"/>
      <c r="I1355" s="46"/>
      <c r="J1355" s="46"/>
      <c r="K1355" s="87"/>
    </row>
    <row r="1356" spans="1:11">
      <c r="A1356" s="220" t="s">
        <v>73</v>
      </c>
      <c r="B1356" s="220" t="s">
        <v>74</v>
      </c>
      <c r="C1356" s="200"/>
      <c r="D1356" s="200"/>
      <c r="E1356" s="217"/>
      <c r="F1356" s="1636" t="s">
        <v>72</v>
      </c>
      <c r="G1356" s="1637"/>
      <c r="H1356" s="1637"/>
      <c r="I1356" s="1637"/>
      <c r="J1356" s="1638"/>
      <c r="K1356" s="87"/>
    </row>
    <row r="1357" spans="1:11" ht="18">
      <c r="A1357" s="221"/>
      <c r="B1357" s="221"/>
      <c r="C1357" s="201"/>
      <c r="D1357" s="201"/>
      <c r="E1357" s="219"/>
      <c r="F1357" s="223" t="s">
        <v>23</v>
      </c>
      <c r="G1357" s="223" t="s">
        <v>87</v>
      </c>
      <c r="H1357" s="223" t="s">
        <v>212</v>
      </c>
      <c r="I1357" s="223" t="s">
        <v>80</v>
      </c>
      <c r="J1357" s="223" t="s">
        <v>81</v>
      </c>
      <c r="K1357" s="87"/>
    </row>
    <row r="1358" spans="1:11">
      <c r="A1358" s="222"/>
      <c r="B1358" s="222"/>
      <c r="C1358" s="203"/>
      <c r="D1358" s="203"/>
      <c r="E1358" s="218"/>
      <c r="F1358" s="204" t="s">
        <v>34</v>
      </c>
      <c r="G1358" s="204" t="s">
        <v>34</v>
      </c>
      <c r="H1358" s="203" t="s">
        <v>34</v>
      </c>
      <c r="I1358" s="204" t="s">
        <v>77</v>
      </c>
      <c r="J1358" s="204" t="s">
        <v>77</v>
      </c>
      <c r="K1358" s="87"/>
    </row>
    <row r="1359" spans="1:11">
      <c r="A1359" s="202"/>
      <c r="B1359" s="200"/>
      <c r="C1359" s="200"/>
      <c r="D1359" s="200"/>
      <c r="E1359" s="217"/>
      <c r="F1359" s="205"/>
      <c r="G1359" s="205"/>
      <c r="H1359" s="201"/>
      <c r="I1359" s="205"/>
      <c r="J1359" s="205"/>
      <c r="K1359" s="87"/>
    </row>
    <row r="1360" spans="1:11">
      <c r="A1360" s="205" t="str">
        <f>A1319</f>
        <v>LC-39</v>
      </c>
      <c r="B1360" s="201" t="str">
        <f>B1319</f>
        <v>LC-24 + Seismic Sx=1,Sz=0.3,Sy=0.3</v>
      </c>
      <c r="C1360" s="201"/>
      <c r="D1360" s="201"/>
      <c r="E1360" s="219"/>
      <c r="F1360" s="205">
        <f>SUMPRODUCT(F1322:F1353,$K$1322:$K$1353)</f>
        <v>940.68753823858799</v>
      </c>
      <c r="G1360" s="1080">
        <f>SUMPRODUCT(G1322:G1353,$K$1322:$K$1353)</f>
        <v>181.17911702831489</v>
      </c>
      <c r="H1360" s="1080">
        <f>SUMPRODUCT(H1322:H1353,$K$1322:$K$1353)</f>
        <v>50.972731929467606</v>
      </c>
      <c r="I1360" s="1080">
        <f>SUMPRODUCT(I1322:I1353,$K$1322:$K$1353)</f>
        <v>1057.0069115845342</v>
      </c>
      <c r="J1360" s="1080">
        <f>SUMPRODUCT(J1322:J1353,$K$1322:$K$1353)</f>
        <v>327.64440634371778</v>
      </c>
      <c r="K1360" s="87"/>
    </row>
    <row r="1361" spans="1:11">
      <c r="A1361" s="204"/>
      <c r="B1361" s="203"/>
      <c r="C1361" s="203"/>
      <c r="D1361" s="203"/>
      <c r="E1361" s="218"/>
      <c r="F1361" s="204"/>
      <c r="G1361" s="204"/>
      <c r="H1361" s="203"/>
      <c r="I1361" s="204"/>
      <c r="J1361" s="204"/>
      <c r="K1361" s="87"/>
    </row>
    <row r="1364" spans="1:11">
      <c r="A1364" s="1318" t="str">
        <f>K1364</f>
        <v>LC-40</v>
      </c>
      <c r="B1364" s="24" t="str">
        <f>VLOOKUP(A1364,LC_DEF_2!A3:B42,2,FALSE)</f>
        <v>LC-24 + Seismic Sx=0.3,Sz=1,Sy=0.3</v>
      </c>
      <c r="C1364" s="24"/>
      <c r="D1364" s="24"/>
      <c r="E1364" s="21"/>
      <c r="F1364" s="1635" t="s">
        <v>742</v>
      </c>
      <c r="G1364" s="1635"/>
      <c r="H1364" s="1635"/>
      <c r="I1364" s="1635"/>
      <c r="J1364" s="1600"/>
      <c r="K1364" s="413" t="s">
        <v>1177</v>
      </c>
    </row>
    <row r="1365" spans="1:11" ht="18">
      <c r="A1365" s="25" t="s">
        <v>73</v>
      </c>
      <c r="B1365" s="26" t="s">
        <v>74</v>
      </c>
      <c r="C1365" s="26"/>
      <c r="D1365" s="26"/>
      <c r="E1365" s="27"/>
      <c r="F1365" s="32" t="s">
        <v>23</v>
      </c>
      <c r="G1365" s="33" t="s">
        <v>87</v>
      </c>
      <c r="H1365" s="33" t="s">
        <v>212</v>
      </c>
      <c r="I1365" s="33" t="s">
        <v>80</v>
      </c>
      <c r="J1365" s="33" t="s">
        <v>81</v>
      </c>
      <c r="K1365" s="376"/>
    </row>
    <row r="1366" spans="1:11">
      <c r="A1366" s="28"/>
      <c r="B1366" s="15"/>
      <c r="C1366" s="15"/>
      <c r="D1366" s="15"/>
      <c r="E1366" s="22"/>
      <c r="F1366" s="21" t="s">
        <v>34</v>
      </c>
      <c r="G1366" s="36" t="s">
        <v>34</v>
      </c>
      <c r="H1366" s="36" t="s">
        <v>34</v>
      </c>
      <c r="I1366" s="36" t="s">
        <v>77</v>
      </c>
      <c r="J1366" s="36" t="s">
        <v>77</v>
      </c>
      <c r="K1366" s="376"/>
    </row>
    <row r="1367" spans="1:11">
      <c r="A1367" s="25" t="s">
        <v>88</v>
      </c>
      <c r="B1367" s="26" t="s">
        <v>75</v>
      </c>
      <c r="C1367" s="26"/>
      <c r="D1367" s="26"/>
      <c r="E1367" s="27"/>
      <c r="F1367" s="195">
        <f>SF!F14</f>
        <v>365.08803866482532</v>
      </c>
      <c r="G1367" s="210"/>
      <c r="H1367" s="34"/>
      <c r="I1367" s="195">
        <f>SF!I14</f>
        <v>0</v>
      </c>
      <c r="J1367" s="195">
        <f>SF!J14</f>
        <v>0</v>
      </c>
      <c r="K1367" s="268">
        <v>1</v>
      </c>
    </row>
    <row r="1368" spans="1:11">
      <c r="A1368" s="25" t="s">
        <v>90</v>
      </c>
      <c r="B1368" s="26" t="s">
        <v>249</v>
      </c>
      <c r="C1368" s="26"/>
      <c r="D1368" s="26"/>
      <c r="E1368" s="27"/>
      <c r="F1368" s="195">
        <f>SF!F16</f>
        <v>36.639026644707663</v>
      </c>
      <c r="G1368" s="210"/>
      <c r="H1368" s="34"/>
      <c r="I1368" s="195">
        <f>SF!I16</f>
        <v>0</v>
      </c>
      <c r="J1368" s="195">
        <f>SF!J16</f>
        <v>0</v>
      </c>
      <c r="K1368" s="268">
        <v>1</v>
      </c>
    </row>
    <row r="1369" spans="1:11">
      <c r="A1369" s="25" t="s">
        <v>250</v>
      </c>
      <c r="B1369" s="26" t="s">
        <v>967</v>
      </c>
      <c r="C1369" s="26"/>
      <c r="D1369" s="26"/>
      <c r="E1369" s="27"/>
      <c r="F1369" s="195">
        <f>SF!F19</f>
        <v>230</v>
      </c>
      <c r="G1369" s="27"/>
      <c r="H1369" s="34"/>
      <c r="I1369" s="195">
        <f>SF!I19</f>
        <v>-115</v>
      </c>
      <c r="J1369" s="195">
        <f>SF!J19</f>
        <v>0</v>
      </c>
      <c r="K1369" s="376">
        <v>1</v>
      </c>
    </row>
    <row r="1370" spans="1:11">
      <c r="A1370" s="25" t="s">
        <v>251</v>
      </c>
      <c r="B1370" s="26" t="s">
        <v>968</v>
      </c>
      <c r="C1370" s="26"/>
      <c r="D1370" s="26"/>
      <c r="E1370" s="27"/>
      <c r="F1370" s="195">
        <f>SF!F20</f>
        <v>20.660000000000004</v>
      </c>
      <c r="G1370" s="27"/>
      <c r="H1370" s="34"/>
      <c r="I1370" s="195">
        <f>SF!I20</f>
        <v>-10.330000000000002</v>
      </c>
      <c r="J1370" s="195">
        <f>SF!J20</f>
        <v>0</v>
      </c>
      <c r="K1370" s="376">
        <v>1</v>
      </c>
    </row>
    <row r="1371" spans="1:11">
      <c r="A1371" s="25" t="s">
        <v>97</v>
      </c>
      <c r="B1371" s="26" t="s">
        <v>969</v>
      </c>
      <c r="C1371" s="26"/>
      <c r="D1371" s="26"/>
      <c r="E1371" s="27"/>
      <c r="F1371" s="195">
        <f>SF!F21</f>
        <v>42</v>
      </c>
      <c r="G1371" s="27"/>
      <c r="H1371" s="34"/>
      <c r="I1371" s="195">
        <f>SF!I21</f>
        <v>-14.858499999999999</v>
      </c>
      <c r="J1371" s="195">
        <f>SF!J21</f>
        <v>0</v>
      </c>
      <c r="K1371" s="376">
        <v>1</v>
      </c>
    </row>
    <row r="1372" spans="1:11">
      <c r="A1372" s="25" t="s">
        <v>250</v>
      </c>
      <c r="B1372" s="26" t="s">
        <v>970</v>
      </c>
      <c r="C1372" s="26"/>
      <c r="D1372" s="26"/>
      <c r="E1372" s="27"/>
      <c r="F1372" s="195">
        <f>SF!F23</f>
        <v>230</v>
      </c>
      <c r="G1372" s="27"/>
      <c r="H1372" s="34"/>
      <c r="I1372" s="195">
        <f>SF!I23</f>
        <v>115</v>
      </c>
      <c r="J1372" s="195">
        <f>SF!J23</f>
        <v>0</v>
      </c>
      <c r="K1372" s="376">
        <v>1</v>
      </c>
    </row>
    <row r="1373" spans="1:11">
      <c r="A1373" s="25" t="s">
        <v>251</v>
      </c>
      <c r="B1373" s="26" t="s">
        <v>971</v>
      </c>
      <c r="C1373" s="26"/>
      <c r="D1373" s="26"/>
      <c r="E1373" s="27"/>
      <c r="F1373" s="195">
        <f>SF!F24</f>
        <v>20.660000000000004</v>
      </c>
      <c r="G1373" s="27"/>
      <c r="H1373" s="34"/>
      <c r="I1373" s="195">
        <f>SF!I24</f>
        <v>10.330000000000002</v>
      </c>
      <c r="J1373" s="195">
        <f>SF!J24</f>
        <v>0</v>
      </c>
      <c r="K1373" s="268">
        <v>1</v>
      </c>
    </row>
    <row r="1374" spans="1:11">
      <c r="A1374" s="25" t="s">
        <v>97</v>
      </c>
      <c r="B1374" s="26" t="s">
        <v>972</v>
      </c>
      <c r="C1374" s="26"/>
      <c r="D1374" s="26"/>
      <c r="E1374" s="27"/>
      <c r="F1374" s="195">
        <f>SF!F25</f>
        <v>42</v>
      </c>
      <c r="G1374" s="27"/>
      <c r="H1374" s="34"/>
      <c r="I1374" s="195">
        <f>SF!I25</f>
        <v>14.858499999999999</v>
      </c>
      <c r="J1374" s="195">
        <f>SF!J25</f>
        <v>0</v>
      </c>
      <c r="K1374" s="376">
        <v>1</v>
      </c>
    </row>
    <row r="1375" spans="1:11">
      <c r="A1375" s="25" t="s">
        <v>976</v>
      </c>
      <c r="B1375" s="26" t="s">
        <v>981</v>
      </c>
      <c r="C1375" s="26"/>
      <c r="D1375" s="26"/>
      <c r="E1375" s="27"/>
      <c r="F1375" s="195">
        <f>SF!F33</f>
        <v>0</v>
      </c>
      <c r="G1375" s="27"/>
      <c r="H1375" s="34"/>
      <c r="I1375" s="195">
        <f>SF!I33</f>
        <v>0</v>
      </c>
      <c r="J1375" s="195">
        <f>SF!J33</f>
        <v>0</v>
      </c>
      <c r="K1375" s="376">
        <v>0.2</v>
      </c>
    </row>
    <row r="1376" spans="1:11">
      <c r="A1376" s="25" t="s">
        <v>977</v>
      </c>
      <c r="B1376" s="26" t="s">
        <v>982</v>
      </c>
      <c r="C1376" s="26"/>
      <c r="D1376" s="26"/>
      <c r="E1376" s="27"/>
      <c r="F1376" s="195">
        <f>SF!F34</f>
        <v>127.89948571428575</v>
      </c>
      <c r="G1376" s="27"/>
      <c r="H1376" s="34"/>
      <c r="I1376" s="195">
        <f>SF!I34</f>
        <v>63.949742857142873</v>
      </c>
      <c r="J1376" s="195">
        <f>SF!J34</f>
        <v>-19.835942761904757</v>
      </c>
      <c r="K1376" s="376">
        <v>0.2</v>
      </c>
    </row>
    <row r="1377" spans="1:11">
      <c r="A1377" s="686" t="s">
        <v>1128</v>
      </c>
      <c r="B1377" s="687"/>
      <c r="C1377" s="688"/>
      <c r="D1377" s="688"/>
      <c r="E1377" s="689"/>
      <c r="F1377" s="696">
        <f>SF!F43</f>
        <v>-103.56143333397094</v>
      </c>
      <c r="G1377" s="689"/>
      <c r="H1377" s="690"/>
      <c r="I1377" s="690"/>
      <c r="J1377" s="690"/>
      <c r="K1377" s="376">
        <v>1</v>
      </c>
    </row>
    <row r="1378" spans="1:11">
      <c r="A1378" s="686" t="s">
        <v>1131</v>
      </c>
      <c r="B1378" s="687"/>
      <c r="C1378" s="688"/>
      <c r="D1378" s="688"/>
      <c r="E1378" s="689"/>
      <c r="F1378" s="690"/>
      <c r="G1378" s="696">
        <f>SF!G47</f>
        <v>3.2856246869242693</v>
      </c>
      <c r="H1378" s="696">
        <f>SF!H47</f>
        <v>3.5397182492142409</v>
      </c>
      <c r="I1378" s="696">
        <f>SF!I47</f>
        <v>7.0628515103002814</v>
      </c>
      <c r="J1378" s="696">
        <f>SF!J47</f>
        <v>5.3297614737052639</v>
      </c>
      <c r="K1378" s="376">
        <v>1</v>
      </c>
    </row>
    <row r="1379" spans="1:11">
      <c r="A1379" s="278" t="s">
        <v>1132</v>
      </c>
      <c r="B1379" s="262"/>
      <c r="C1379" s="262"/>
      <c r="D1379" s="262"/>
      <c r="E1379" s="263"/>
      <c r="F1379" s="279"/>
      <c r="G1379" s="280"/>
      <c r="H1379" s="264"/>
      <c r="I1379" s="279"/>
      <c r="J1379" s="264"/>
      <c r="K1379" s="650">
        <v>1</v>
      </c>
    </row>
    <row r="1380" spans="1:11">
      <c r="A1380" s="25" t="s">
        <v>991</v>
      </c>
      <c r="B1380" s="26" t="s">
        <v>989</v>
      </c>
      <c r="C1380" s="26"/>
      <c r="D1380" s="26"/>
      <c r="E1380" s="27"/>
      <c r="F1380" s="197"/>
      <c r="G1380" s="172">
        <f>SF!G52</f>
        <v>94.821839999999995</v>
      </c>
      <c r="H1380" s="34"/>
      <c r="I1380" s="172">
        <f>SF!I52</f>
        <v>785.12483520000001</v>
      </c>
      <c r="J1380" s="89"/>
      <c r="K1380" s="268">
        <v>0.3</v>
      </c>
    </row>
    <row r="1381" spans="1:11">
      <c r="A1381" s="25" t="s">
        <v>994</v>
      </c>
      <c r="B1381" s="26" t="s">
        <v>996</v>
      </c>
      <c r="C1381" s="26"/>
      <c r="D1381" s="26"/>
      <c r="E1381" s="27"/>
      <c r="F1381" s="197"/>
      <c r="G1381" s="172">
        <f>SF!G56</f>
        <v>4.5540000000000003</v>
      </c>
      <c r="H1381" s="34"/>
      <c r="I1381" s="172">
        <f>SF!I56</f>
        <v>37.70712000000001</v>
      </c>
      <c r="J1381" s="89"/>
      <c r="K1381" s="376">
        <v>1</v>
      </c>
    </row>
    <row r="1382" spans="1:11">
      <c r="A1382" s="25" t="s">
        <v>217</v>
      </c>
      <c r="B1382" s="26" t="s">
        <v>211</v>
      </c>
      <c r="C1382" s="26"/>
      <c r="D1382" s="26"/>
      <c r="E1382" s="27"/>
      <c r="F1382" s="197"/>
      <c r="G1382" s="196">
        <f>SF!G58</f>
        <v>26.798532263701709</v>
      </c>
      <c r="H1382" s="199"/>
      <c r="I1382" s="172">
        <f>SF!I58</f>
        <v>147.28381289471153</v>
      </c>
      <c r="J1382" s="195"/>
      <c r="K1382" s="376">
        <v>0.3</v>
      </c>
    </row>
    <row r="1383" spans="1:11">
      <c r="A1383" s="686" t="s">
        <v>1472</v>
      </c>
      <c r="B1383" s="688" t="s">
        <v>1045</v>
      </c>
      <c r="C1383" s="688"/>
      <c r="D1383" s="688"/>
      <c r="E1383" s="689"/>
      <c r="F1383" s="620"/>
      <c r="G1383" s="695">
        <f>SF!G61</f>
        <v>32.345729999999996</v>
      </c>
      <c r="H1383" s="690"/>
      <c r="I1383" s="695">
        <f>SF!I61</f>
        <v>29.111156999999999</v>
      </c>
      <c r="J1383" s="269"/>
      <c r="K1383" s="376">
        <v>0.3</v>
      </c>
    </row>
    <row r="1384" spans="1:11">
      <c r="A1384" s="686" t="s">
        <v>1139</v>
      </c>
      <c r="B1384" s="688" t="s">
        <v>1140</v>
      </c>
      <c r="C1384" s="688"/>
      <c r="D1384" s="688"/>
      <c r="E1384" s="689"/>
      <c r="F1384" s="620"/>
      <c r="G1384" s="695">
        <f>SF!G63</f>
        <v>19.373390077688924</v>
      </c>
      <c r="H1384" s="690"/>
      <c r="I1384" s="695">
        <f>SF!I63</f>
        <v>37.512792074379419</v>
      </c>
      <c r="J1384" s="269"/>
      <c r="K1384" s="376">
        <v>0.3</v>
      </c>
    </row>
    <row r="1385" spans="1:11">
      <c r="A1385" s="278" t="s">
        <v>1135</v>
      </c>
      <c r="B1385" s="262"/>
      <c r="C1385" s="262"/>
      <c r="D1385" s="262"/>
      <c r="E1385" s="263"/>
      <c r="F1385" s="279"/>
      <c r="G1385" s="280"/>
      <c r="H1385" s="264"/>
      <c r="I1385" s="279"/>
      <c r="J1385" s="264"/>
      <c r="K1385" s="708">
        <v>1</v>
      </c>
    </row>
    <row r="1386" spans="1:11">
      <c r="A1386" s="25" t="s">
        <v>997</v>
      </c>
      <c r="B1386" s="26" t="s">
        <v>988</v>
      </c>
      <c r="C1386" s="26"/>
      <c r="D1386" s="26"/>
      <c r="E1386" s="27"/>
      <c r="F1386" s="197"/>
      <c r="G1386" s="211"/>
      <c r="H1386" s="254">
        <f>SF!H67</f>
        <v>47.410919999999997</v>
      </c>
      <c r="I1386" s="197"/>
      <c r="J1386" s="254">
        <f>SF!J67</f>
        <v>433.10062959257624</v>
      </c>
      <c r="K1386" s="268">
        <v>1</v>
      </c>
    </row>
    <row r="1387" spans="1:11">
      <c r="A1387" s="25" t="s">
        <v>998</v>
      </c>
      <c r="B1387" s="26" t="s">
        <v>989</v>
      </c>
      <c r="C1387" s="26"/>
      <c r="D1387" s="26"/>
      <c r="E1387" s="27"/>
      <c r="F1387" s="197"/>
      <c r="G1387" s="211"/>
      <c r="H1387" s="254">
        <f>SF!H68</f>
        <v>47.410919999999997</v>
      </c>
      <c r="I1387" s="197"/>
      <c r="J1387" s="254">
        <f>SF!J68</f>
        <v>433.10062959257624</v>
      </c>
      <c r="K1387" s="376">
        <v>1</v>
      </c>
    </row>
    <row r="1388" spans="1:11">
      <c r="A1388" s="25" t="s">
        <v>1004</v>
      </c>
      <c r="B1388" s="26" t="s">
        <v>1000</v>
      </c>
      <c r="C1388" s="26"/>
      <c r="D1388" s="26"/>
      <c r="E1388" s="27"/>
      <c r="F1388" s="197"/>
      <c r="G1388" s="211"/>
      <c r="H1388" s="254">
        <f>SF!H75</f>
        <v>0</v>
      </c>
      <c r="I1388" s="197"/>
      <c r="J1388" s="254">
        <f>SF!J75</f>
        <v>0</v>
      </c>
      <c r="K1388" s="376">
        <v>0.2</v>
      </c>
    </row>
    <row r="1389" spans="1:11">
      <c r="A1389" s="25" t="s">
        <v>1005</v>
      </c>
      <c r="B1389" s="26" t="s">
        <v>1001</v>
      </c>
      <c r="C1389" s="26"/>
      <c r="D1389" s="26"/>
      <c r="E1389" s="27"/>
      <c r="F1389" s="197"/>
      <c r="G1389" s="211"/>
      <c r="H1389" s="254">
        <f>SF!H76</f>
        <v>20.719716685714292</v>
      </c>
      <c r="I1389" s="197"/>
      <c r="J1389" s="254">
        <f>SF!J76</f>
        <v>227.1916934588572</v>
      </c>
      <c r="K1389" s="376">
        <v>0.2</v>
      </c>
    </row>
    <row r="1390" spans="1:11">
      <c r="A1390" s="25" t="s">
        <v>1006</v>
      </c>
      <c r="B1390" s="26" t="s">
        <v>211</v>
      </c>
      <c r="C1390" s="26"/>
      <c r="D1390" s="26"/>
      <c r="E1390" s="27"/>
      <c r="F1390" s="197"/>
      <c r="G1390" s="195"/>
      <c r="H1390" s="254">
        <f>SF!H78</f>
        <v>26.798532263701709</v>
      </c>
      <c r="I1390" s="195"/>
      <c r="J1390" s="254">
        <f>SF!J78</f>
        <v>147.28381289471153</v>
      </c>
      <c r="K1390" s="376">
        <v>1</v>
      </c>
    </row>
    <row r="1391" spans="1:11">
      <c r="A1391" s="686" t="s">
        <v>1138</v>
      </c>
      <c r="B1391" s="688" t="s">
        <v>1045</v>
      </c>
      <c r="C1391" s="688"/>
      <c r="D1391" s="688"/>
      <c r="E1391" s="689"/>
      <c r="F1391" s="620"/>
      <c r="G1391" s="711"/>
      <c r="H1391" s="989">
        <f>SF!H81</f>
        <v>32.345729999999996</v>
      </c>
      <c r="I1391" s="696"/>
      <c r="J1391" s="989">
        <f>SF!J81</f>
        <v>29.111156999999999</v>
      </c>
      <c r="K1391" s="376">
        <v>1</v>
      </c>
    </row>
    <row r="1392" spans="1:11">
      <c r="A1392" s="290" t="s">
        <v>1137</v>
      </c>
      <c r="B1392" s="11"/>
      <c r="C1392" s="11"/>
      <c r="D1392" s="11"/>
      <c r="E1392" s="191"/>
      <c r="F1392" s="197"/>
      <c r="G1392" s="211"/>
      <c r="H1392" s="89"/>
      <c r="I1392" s="197"/>
      <c r="J1392" s="89"/>
      <c r="K1392" s="994">
        <v>0.3</v>
      </c>
    </row>
    <row r="1393" spans="1:13">
      <c r="A1393" s="25" t="s">
        <v>1007</v>
      </c>
      <c r="B1393" s="26" t="s">
        <v>988</v>
      </c>
      <c r="C1393" s="26"/>
      <c r="D1393" s="26"/>
      <c r="E1393" s="27"/>
      <c r="F1393" s="196">
        <f>SF!F87</f>
        <v>31.607279999999999</v>
      </c>
      <c r="G1393" s="211"/>
      <c r="H1393" s="34"/>
      <c r="I1393" s="196">
        <f>SF!I87</f>
        <v>-15.140358000000003</v>
      </c>
      <c r="J1393" s="196">
        <f>SF!J87</f>
        <v>0</v>
      </c>
      <c r="K1393" s="376">
        <v>0.3</v>
      </c>
    </row>
    <row r="1394" spans="1:13">
      <c r="A1394" s="25" t="s">
        <v>1008</v>
      </c>
      <c r="B1394" s="26" t="s">
        <v>989</v>
      </c>
      <c r="C1394" s="26"/>
      <c r="D1394" s="26"/>
      <c r="E1394" s="27"/>
      <c r="F1394" s="196">
        <f>SF!F88</f>
        <v>31.607279999999999</v>
      </c>
      <c r="G1394" s="211"/>
      <c r="H1394" s="34"/>
      <c r="I1394" s="196">
        <f>SF!I88</f>
        <v>15.140358000000003</v>
      </c>
      <c r="J1394" s="196">
        <f>SF!J88</f>
        <v>0</v>
      </c>
      <c r="K1394" s="268">
        <v>0.3</v>
      </c>
    </row>
    <row r="1395" spans="1:13">
      <c r="A1395" s="25" t="s">
        <v>1009</v>
      </c>
      <c r="B1395" s="26" t="s">
        <v>1000</v>
      </c>
      <c r="C1395" s="26"/>
      <c r="D1395" s="26"/>
      <c r="E1395" s="27"/>
      <c r="F1395" s="196">
        <f>SF!F95</f>
        <v>0</v>
      </c>
      <c r="G1395" s="211"/>
      <c r="H1395" s="34"/>
      <c r="I1395" s="196">
        <f>SF!I95</f>
        <v>0</v>
      </c>
      <c r="J1395" s="196">
        <f>SF!J95</f>
        <v>0</v>
      </c>
      <c r="K1395" s="268">
        <v>0.06</v>
      </c>
    </row>
    <row r="1396" spans="1:13">
      <c r="A1396" s="25" t="s">
        <v>1010</v>
      </c>
      <c r="B1396" s="26" t="s">
        <v>1001</v>
      </c>
      <c r="C1396" s="26"/>
      <c r="D1396" s="26"/>
      <c r="E1396" s="27"/>
      <c r="F1396" s="196">
        <f>SF!F96</f>
        <v>13.813144457142862</v>
      </c>
      <c r="G1396" s="211"/>
      <c r="H1396" s="34"/>
      <c r="I1396" s="196">
        <f>SF!I96</f>
        <v>6.9065722285714308</v>
      </c>
      <c r="J1396" s="196">
        <f>SF!J96</f>
        <v>-2.142281818285714</v>
      </c>
      <c r="K1396" s="268">
        <v>0.06</v>
      </c>
    </row>
    <row r="1397" spans="1:13">
      <c r="A1397" s="25" t="s">
        <v>1011</v>
      </c>
      <c r="B1397" s="26" t="s">
        <v>211</v>
      </c>
      <c r="C1397" s="26"/>
      <c r="D1397" s="26"/>
      <c r="E1397" s="27"/>
      <c r="F1397" s="196">
        <f>SF!F98</f>
        <v>17.865688175801139</v>
      </c>
      <c r="G1397" s="211"/>
      <c r="H1397" s="197"/>
      <c r="I1397" s="196">
        <f>SF!I98</f>
        <v>0</v>
      </c>
      <c r="J1397" s="196">
        <f>SF!J98</f>
        <v>0</v>
      </c>
      <c r="K1397" s="268">
        <v>0.3</v>
      </c>
    </row>
    <row r="1398" spans="1:13">
      <c r="A1398" s="686" t="s">
        <v>1473</v>
      </c>
      <c r="B1398" s="688" t="s">
        <v>1045</v>
      </c>
      <c r="C1398" s="688"/>
      <c r="D1398" s="688"/>
      <c r="E1398" s="689"/>
      <c r="F1398" s="695">
        <f>SF!F101</f>
        <v>21.56382</v>
      </c>
      <c r="G1398" s="621"/>
      <c r="H1398" s="620"/>
      <c r="I1398" s="695">
        <f>SF!I101</f>
        <v>0</v>
      </c>
      <c r="J1398" s="695">
        <f>SF!J101</f>
        <v>0</v>
      </c>
      <c r="K1398" s="268">
        <v>0.3</v>
      </c>
    </row>
    <row r="1399" spans="1:13">
      <c r="A1399" s="253"/>
      <c r="B1399" s="15"/>
      <c r="C1399" s="15"/>
      <c r="D1399" s="15"/>
      <c r="E1399" s="22"/>
      <c r="F1399" s="212"/>
      <c r="G1399" s="213"/>
      <c r="H1399" s="198"/>
      <c r="I1399" s="198"/>
      <c r="J1399" s="58"/>
      <c r="K1399" s="379"/>
    </row>
    <row r="1400" spans="1:13">
      <c r="A1400" s="46"/>
      <c r="B1400" s="46"/>
      <c r="C1400" s="46"/>
      <c r="D1400" s="46"/>
      <c r="E1400" s="46"/>
      <c r="F1400" s="46"/>
      <c r="G1400" s="46"/>
      <c r="H1400" s="46"/>
      <c r="I1400" s="46"/>
      <c r="J1400" s="46"/>
      <c r="K1400" s="87"/>
    </row>
    <row r="1401" spans="1:13">
      <c r="A1401" s="220" t="s">
        <v>73</v>
      </c>
      <c r="B1401" s="220" t="s">
        <v>74</v>
      </c>
      <c r="C1401" s="200"/>
      <c r="D1401" s="200"/>
      <c r="E1401" s="217"/>
      <c r="F1401" s="1636" t="s">
        <v>72</v>
      </c>
      <c r="G1401" s="1637"/>
      <c r="H1401" s="1637"/>
      <c r="I1401" s="1637"/>
      <c r="J1401" s="1638"/>
      <c r="K1401" s="87"/>
    </row>
    <row r="1402" spans="1:13" ht="18">
      <c r="A1402" s="221"/>
      <c r="B1402" s="221"/>
      <c r="C1402" s="201"/>
      <c r="D1402" s="201"/>
      <c r="E1402" s="219"/>
      <c r="F1402" s="223" t="s">
        <v>23</v>
      </c>
      <c r="G1402" s="223" t="s">
        <v>87</v>
      </c>
      <c r="H1402" s="223" t="s">
        <v>212</v>
      </c>
      <c r="I1402" s="223" t="s">
        <v>80</v>
      </c>
      <c r="J1402" s="223" t="s">
        <v>81</v>
      </c>
      <c r="K1402" s="87"/>
    </row>
    <row r="1403" spans="1:13">
      <c r="A1403" s="222"/>
      <c r="B1403" s="222"/>
      <c r="C1403" s="203"/>
      <c r="D1403" s="203"/>
      <c r="E1403" s="218"/>
      <c r="F1403" s="204" t="s">
        <v>34</v>
      </c>
      <c r="G1403" s="204" t="s">
        <v>34</v>
      </c>
      <c r="H1403" s="203" t="s">
        <v>34</v>
      </c>
      <c r="I1403" s="204" t="s">
        <v>77</v>
      </c>
      <c r="J1403" s="204" t="s">
        <v>77</v>
      </c>
      <c r="K1403" s="87"/>
    </row>
    <row r="1404" spans="1:13">
      <c r="A1404" s="202"/>
      <c r="B1404" s="200"/>
      <c r="C1404" s="200"/>
      <c r="D1404" s="200"/>
      <c r="E1404" s="217"/>
      <c r="F1404" s="205"/>
      <c r="G1404" s="205"/>
      <c r="H1404" s="201"/>
      <c r="I1404" s="205"/>
      <c r="J1404" s="205"/>
      <c r="K1404" s="87"/>
    </row>
    <row r="1405" spans="1:13">
      <c r="A1405" s="205" t="str">
        <f>A1364</f>
        <v>LC-40</v>
      </c>
      <c r="B1405" s="201" t="str">
        <f>B1364</f>
        <v>LC-24 + Seismic Sx=0.3,Sz=1,Sy=0.3</v>
      </c>
      <c r="C1405" s="201"/>
      <c r="D1405" s="201"/>
      <c r="E1405" s="219"/>
      <c r="F1405" s="205">
        <f>SUMPRODUCT(F1367:F1398,$K$1367:$K$1398)</f>
        <v>940.68753823858799</v>
      </c>
      <c r="G1405" s="1080">
        <f>SUMPRODUCT(G1367:G1398,$K$1367:$K$1398)</f>
        <v>59.841472389341455</v>
      </c>
      <c r="H1405" s="1080">
        <f>SUMPRODUCT(H1367:H1398,$K$1367:$K$1398)</f>
        <v>161.6497638500588</v>
      </c>
      <c r="I1405" s="1080">
        <f>SUMPRODUCT(I1367:I1398,$K$1367:$K$1398)</f>
        <v>357.68409356617042</v>
      </c>
      <c r="J1405" s="1080">
        <f>SUMPRODUCT(J1367:J1398,$K$1367:$K$1398)</f>
        <v>1089.2686037838628</v>
      </c>
      <c r="K1405" s="87"/>
    </row>
    <row r="1406" spans="1:13">
      <c r="A1406" s="204"/>
      <c r="B1406" s="203"/>
      <c r="C1406" s="203"/>
      <c r="D1406" s="203"/>
      <c r="E1406" s="218"/>
      <c r="F1406" s="204"/>
      <c r="G1406" s="204"/>
      <c r="H1406" s="203"/>
      <c r="I1406" s="204"/>
      <c r="J1406" s="204"/>
      <c r="K1406" s="116"/>
      <c r="L1406" s="87"/>
    </row>
    <row r="1407" spans="1:13">
      <c r="K1407" s="116"/>
      <c r="L1407" s="270"/>
      <c r="M1407" s="87"/>
    </row>
    <row r="1408" spans="1:13">
      <c r="K1408" s="116"/>
      <c r="L1408" s="270"/>
      <c r="M1408" s="87"/>
    </row>
  </sheetData>
  <mergeCells count="80">
    <mergeCell ref="F1229:J1229"/>
    <mergeCell ref="F1274:J1274"/>
    <mergeCell ref="F1356:J1356"/>
    <mergeCell ref="F1401:J1401"/>
    <mergeCell ref="F1364:J1364"/>
    <mergeCell ref="F1311:J1311"/>
    <mergeCell ref="F1319:J1319"/>
    <mergeCell ref="F1266:J1266"/>
    <mergeCell ref="F772:J772"/>
    <mergeCell ref="F807:J807"/>
    <mergeCell ref="F780:J780"/>
    <mergeCell ref="F842:J842"/>
    <mergeCell ref="F815:J815"/>
    <mergeCell ref="F535:J535"/>
    <mergeCell ref="F566:J566"/>
    <mergeCell ref="F605:J605"/>
    <mergeCell ref="F574:J574"/>
    <mergeCell ref="F72:J72"/>
    <mergeCell ref="F88:J88"/>
    <mergeCell ref="F96:J96"/>
    <mergeCell ref="F116:J116"/>
    <mergeCell ref="F144:J144"/>
    <mergeCell ref="F124:J124"/>
    <mergeCell ref="F449:J449"/>
    <mergeCell ref="F418:J418"/>
    <mergeCell ref="F488:J488"/>
    <mergeCell ref="F457:J457"/>
    <mergeCell ref="F527:J527"/>
    <mergeCell ref="F496:J496"/>
    <mergeCell ref="F410:J410"/>
    <mergeCell ref="F371:J371"/>
    <mergeCell ref="F332:J332"/>
    <mergeCell ref="F340:J340"/>
    <mergeCell ref="F379:J379"/>
    <mergeCell ref="F307:J307"/>
    <mergeCell ref="F172:J172"/>
    <mergeCell ref="F152:J152"/>
    <mergeCell ref="F200:J200"/>
    <mergeCell ref="F180:J180"/>
    <mergeCell ref="F208:J208"/>
    <mergeCell ref="F233:J233"/>
    <mergeCell ref="F266:J266"/>
    <mergeCell ref="F241:J241"/>
    <mergeCell ref="F299:J299"/>
    <mergeCell ref="F274:J274"/>
    <mergeCell ref="F64:J64"/>
    <mergeCell ref="F7:J7"/>
    <mergeCell ref="F18:J18"/>
    <mergeCell ref="F26:J26"/>
    <mergeCell ref="F40:J40"/>
    <mergeCell ref="F48:J48"/>
    <mergeCell ref="F644:J644"/>
    <mergeCell ref="F613:J613"/>
    <mergeCell ref="F664:J664"/>
    <mergeCell ref="F652:J652"/>
    <mergeCell ref="F687:J687"/>
    <mergeCell ref="F672:J672"/>
    <mergeCell ref="F712:J712"/>
    <mergeCell ref="F695:J695"/>
    <mergeCell ref="F737:J737"/>
    <mergeCell ref="F720:J720"/>
    <mergeCell ref="F745:J745"/>
    <mergeCell ref="F850:J850"/>
    <mergeCell ref="F877:J877"/>
    <mergeCell ref="F917:J917"/>
    <mergeCell ref="F885:J885"/>
    <mergeCell ref="F957:J957"/>
    <mergeCell ref="F925:J925"/>
    <mergeCell ref="F965:J965"/>
    <mergeCell ref="F997:J997"/>
    <mergeCell ref="F1037:J1037"/>
    <mergeCell ref="F1005:J1005"/>
    <mergeCell ref="F1083:J1083"/>
    <mergeCell ref="F1045:J1045"/>
    <mergeCell ref="F1091:J1091"/>
    <mergeCell ref="F1129:J1129"/>
    <mergeCell ref="F1175:J1175"/>
    <mergeCell ref="F1137:J1137"/>
    <mergeCell ref="F1221:J1221"/>
    <mergeCell ref="F1183:J1183"/>
  </mergeCells>
  <pageMargins left="0.70866141732283505" right="0.70866141732283505" top="0.74803149606299202" bottom="0.74803149606299202" header="0.31496062992126" footer="0.31496062992126"/>
  <pageSetup paperSize="9" scale="89" orientation="portrait" blackAndWhite="1" r:id="rId1"/>
  <rowBreaks count="21" manualBreakCount="21">
    <brk id="47" max="16383" man="1"/>
    <brk id="63" max="16383" man="1"/>
    <brk id="114" max="16383" man="1"/>
    <brk id="163" max="16383" man="1"/>
    <brk id="207" max="16383" man="1"/>
    <brk id="239" max="16383" man="1"/>
    <brk id="288" max="16383" man="1"/>
    <brk id="298" max="16383" man="1"/>
    <brk id="352" max="16383" man="1"/>
    <brk id="408" max="16383" man="1"/>
    <brk id="456" max="16383" man="1"/>
    <brk id="487" max="16383" man="1"/>
    <brk id="596" max="16383" man="1"/>
    <brk id="611" max="16383" man="1"/>
    <brk id="662" max="16383" man="1"/>
    <brk id="670" max="16383" man="1"/>
    <brk id="735" max="16383" man="1"/>
    <brk id="923" max="16383" man="1"/>
    <brk id="987" max="16383" man="1"/>
    <brk id="1117" max="16383" man="1"/>
    <brk id="1243" max="16383" man="1"/>
  </rowBreaks>
</worksheet>
</file>

<file path=xl/worksheets/sheet19.xml><?xml version="1.0" encoding="utf-8"?>
<worksheet xmlns="http://schemas.openxmlformats.org/spreadsheetml/2006/main" xmlns:r="http://schemas.openxmlformats.org/officeDocument/2006/relationships">
  <sheetPr codeName="Sheet32">
    <tabColor theme="4" tint="0.59999389629810485"/>
  </sheetPr>
  <dimension ref="A1:S94"/>
  <sheetViews>
    <sheetView view="pageBreakPreview" zoomScaleSheetLayoutView="100" workbookViewId="0">
      <selection activeCell="M33" sqref="M33"/>
    </sheetView>
  </sheetViews>
  <sheetFormatPr defaultColWidth="7.7109375" defaultRowHeight="15"/>
  <cols>
    <col min="1" max="5" width="7.7109375" style="1"/>
    <col min="6" max="10" width="7.7109375" style="1" customWidth="1"/>
    <col min="11" max="11" width="9.5703125" style="1" bestFit="1" customWidth="1"/>
    <col min="12" max="12" width="7.7109375" style="1" customWidth="1"/>
    <col min="13" max="14" width="7.7109375" style="1"/>
    <col min="15" max="19" width="7.7109375" style="1" customWidth="1"/>
    <col min="20" max="16384" width="7.7109375" style="1"/>
  </cols>
  <sheetData>
    <row r="1" spans="1:18">
      <c r="A1" s="9" t="s">
        <v>676</v>
      </c>
    </row>
    <row r="2" spans="1:18">
      <c r="A2" s="78"/>
      <c r="B2" s="78"/>
      <c r="D2" s="78"/>
      <c r="E2" s="78"/>
      <c r="F2" s="78"/>
      <c r="G2" s="78"/>
      <c r="H2" s="78"/>
      <c r="I2" s="78"/>
    </row>
    <row r="3" spans="1:18">
      <c r="A3" s="78"/>
      <c r="B3" s="78"/>
      <c r="C3" s="78"/>
      <c r="D3" s="78"/>
      <c r="E3" s="78"/>
      <c r="F3" s="78"/>
      <c r="G3" s="78"/>
      <c r="H3" s="78"/>
      <c r="I3" s="78"/>
    </row>
    <row r="4" spans="1:18">
      <c r="A4" s="78"/>
      <c r="B4" s="78"/>
      <c r="C4" s="78"/>
      <c r="D4" s="78"/>
      <c r="E4" s="78"/>
      <c r="F4" s="78"/>
      <c r="G4" s="78"/>
      <c r="H4" s="78"/>
      <c r="I4" s="78"/>
    </row>
    <row r="5" spans="1:18">
      <c r="A5" s="78"/>
      <c r="B5" s="78"/>
      <c r="C5" s="78"/>
      <c r="D5" s="78"/>
      <c r="E5" s="78"/>
      <c r="F5" s="78"/>
      <c r="H5" s="78"/>
    </row>
    <row r="6" spans="1:18">
      <c r="A6" s="78"/>
      <c r="H6" s="78"/>
      <c r="J6" s="1176" t="s">
        <v>1576</v>
      </c>
      <c r="K6" s="1174"/>
      <c r="L6" s="1175"/>
    </row>
    <row r="7" spans="1:18" ht="18.75">
      <c r="A7" s="78"/>
      <c r="C7" s="467">
        <v>0.75</v>
      </c>
      <c r="D7" s="4">
        <v>3.6</v>
      </c>
      <c r="F7" s="224"/>
      <c r="H7" s="78"/>
      <c r="J7" s="1113" t="s">
        <v>73</v>
      </c>
      <c r="K7" s="1113" t="s">
        <v>26</v>
      </c>
      <c r="L7" s="1114" t="s">
        <v>51</v>
      </c>
      <c r="N7" s="1" t="s">
        <v>672</v>
      </c>
      <c r="O7" s="529" t="s">
        <v>670</v>
      </c>
      <c r="P7" s="482" t="s">
        <v>1</v>
      </c>
      <c r="Q7" s="1">
        <f>SUMPRODUCT(K8:K16,K8:K16)</f>
        <v>19.440000000000005</v>
      </c>
      <c r="R7" s="1" t="s">
        <v>458</v>
      </c>
    </row>
    <row r="8" spans="1:18" ht="18.75">
      <c r="A8" s="78"/>
      <c r="F8" s="224"/>
      <c r="H8" s="78"/>
      <c r="J8" s="156">
        <v>1</v>
      </c>
      <c r="K8" s="479">
        <f>-D7/2</f>
        <v>-1.8</v>
      </c>
      <c r="L8" s="480">
        <f>-F17</f>
        <v>-3.6</v>
      </c>
      <c r="N8" s="1" t="s">
        <v>673</v>
      </c>
      <c r="O8" s="529" t="s">
        <v>671</v>
      </c>
      <c r="P8" s="482" t="s">
        <v>1</v>
      </c>
      <c r="Q8" s="1">
        <f>SUMPRODUCT(L8:L16,L8:L16)</f>
        <v>51.84</v>
      </c>
      <c r="R8" s="1" t="s">
        <v>458</v>
      </c>
    </row>
    <row r="9" spans="1:18">
      <c r="A9" s="224"/>
      <c r="F9" s="39">
        <v>0.75</v>
      </c>
      <c r="J9" s="156">
        <v>2</v>
      </c>
      <c r="K9" s="479">
        <f>K8</f>
        <v>-1.8</v>
      </c>
      <c r="L9" s="480">
        <v>0</v>
      </c>
      <c r="O9" s="529"/>
      <c r="P9" s="482"/>
    </row>
    <row r="10" spans="1:18">
      <c r="A10" s="224"/>
      <c r="F10" s="224"/>
      <c r="I10" s="224"/>
      <c r="J10" s="156">
        <v>3</v>
      </c>
      <c r="K10" s="479">
        <f>K9</f>
        <v>-1.8</v>
      </c>
      <c r="L10" s="480">
        <f>-L8</f>
        <v>3.6</v>
      </c>
      <c r="O10" s="529"/>
      <c r="P10" s="482"/>
    </row>
    <row r="11" spans="1:18">
      <c r="A11" s="224"/>
      <c r="F11" s="224"/>
      <c r="I11" s="224"/>
      <c r="J11" s="156">
        <v>4</v>
      </c>
      <c r="K11" s="479">
        <f>-K8</f>
        <v>1.8</v>
      </c>
      <c r="L11" s="480">
        <f>L8</f>
        <v>-3.6</v>
      </c>
      <c r="O11" s="529" t="s">
        <v>598</v>
      </c>
      <c r="P11" s="482" t="s">
        <v>1</v>
      </c>
      <c r="Q11" s="4">
        <v>6</v>
      </c>
      <c r="R11" s="1" t="s">
        <v>16</v>
      </c>
    </row>
    <row r="12" spans="1:18">
      <c r="A12" s="224"/>
      <c r="F12" s="1">
        <f>F17</f>
        <v>3.6</v>
      </c>
      <c r="J12" s="923">
        <v>5</v>
      </c>
      <c r="K12" s="479">
        <f>-K9</f>
        <v>1.8</v>
      </c>
      <c r="L12" s="480">
        <f>L9</f>
        <v>0</v>
      </c>
    </row>
    <row r="13" spans="1:18">
      <c r="A13" s="224"/>
      <c r="F13" s="224"/>
      <c r="J13" s="923">
        <v>6</v>
      </c>
      <c r="K13" s="479">
        <f>-K10</f>
        <v>1.8</v>
      </c>
      <c r="L13" s="480">
        <f>L10</f>
        <v>3.6</v>
      </c>
    </row>
    <row r="14" spans="1:18">
      <c r="A14" s="224"/>
      <c r="F14" s="224"/>
      <c r="J14" s="156"/>
      <c r="K14" s="479"/>
      <c r="L14" s="480"/>
    </row>
    <row r="15" spans="1:18">
      <c r="A15" s="224"/>
      <c r="F15" s="224"/>
      <c r="G15" s="6">
        <f>F17*2+F9*2</f>
        <v>8.6999999999999993</v>
      </c>
      <c r="J15" s="156"/>
      <c r="K15" s="479"/>
      <c r="L15" s="480"/>
    </row>
    <row r="16" spans="1:18">
      <c r="A16" s="224"/>
      <c r="F16" s="224"/>
      <c r="J16" s="606"/>
      <c r="K16" s="466"/>
      <c r="L16" s="469"/>
    </row>
    <row r="17" spans="1:18">
      <c r="A17" s="224"/>
      <c r="F17" s="4">
        <v>3.6</v>
      </c>
      <c r="J17" s="924"/>
      <c r="K17" s="924"/>
      <c r="L17" s="924"/>
    </row>
    <row r="18" spans="1:18">
      <c r="A18" s="224"/>
      <c r="F18" s="224"/>
    </row>
    <row r="19" spans="1:18">
      <c r="A19" s="224"/>
      <c r="F19" s="224"/>
    </row>
    <row r="20" spans="1:18">
      <c r="A20" s="224"/>
      <c r="F20" s="1130">
        <f>F9</f>
        <v>0.75</v>
      </c>
      <c r="G20" s="224"/>
      <c r="I20" s="30" t="s">
        <v>1523</v>
      </c>
      <c r="J20" s="31"/>
      <c r="K20" s="31"/>
      <c r="L20" s="31"/>
      <c r="M20" s="30"/>
      <c r="N20" s="31" t="s">
        <v>605</v>
      </c>
      <c r="O20" s="32"/>
      <c r="P20" s="31"/>
      <c r="Q20" s="31" t="s">
        <v>229</v>
      </c>
      <c r="R20" s="32"/>
    </row>
    <row r="21" spans="1:18">
      <c r="A21" s="224"/>
      <c r="F21" s="224"/>
      <c r="G21" s="224"/>
      <c r="I21" s="25" t="s">
        <v>677</v>
      </c>
      <c r="J21" s="26"/>
      <c r="K21" s="26"/>
      <c r="L21" s="26"/>
      <c r="M21" s="25" t="s">
        <v>1</v>
      </c>
      <c r="N21" s="172">
        <f>MAX(K46:R49)</f>
        <v>216.1218333968269</v>
      </c>
      <c r="O21" s="27" t="s">
        <v>34</v>
      </c>
      <c r="P21" s="26"/>
      <c r="Q21" s="172">
        <f>MAX(K51:R69)</f>
        <v>285.787941699812</v>
      </c>
      <c r="R21" s="27" t="s">
        <v>34</v>
      </c>
    </row>
    <row r="22" spans="1:18">
      <c r="A22" s="224"/>
      <c r="F22" s="224"/>
      <c r="G22" s="224"/>
      <c r="I22" s="25" t="s">
        <v>678</v>
      </c>
      <c r="J22" s="26"/>
      <c r="K22" s="26"/>
      <c r="L22" s="26"/>
      <c r="M22" s="25" t="s">
        <v>1</v>
      </c>
      <c r="N22" s="172">
        <f>MIN(K46:R49)</f>
        <v>91.532127551588815</v>
      </c>
      <c r="O22" s="27" t="s">
        <v>34</v>
      </c>
      <c r="P22" s="26"/>
      <c r="Q22" s="172">
        <f>MIN(K51:R69)</f>
        <v>41.292847779862747</v>
      </c>
      <c r="R22" s="27" t="s">
        <v>34</v>
      </c>
    </row>
    <row r="23" spans="1:18">
      <c r="A23" s="224"/>
      <c r="D23" s="4">
        <f>D7+C7*2</f>
        <v>5.0999999999999996</v>
      </c>
      <c r="F23" s="224"/>
      <c r="G23" s="224"/>
      <c r="I23" s="25" t="s">
        <v>680</v>
      </c>
      <c r="J23" s="26"/>
      <c r="K23" s="26"/>
      <c r="L23" s="26"/>
      <c r="M23" s="25" t="s">
        <v>1</v>
      </c>
      <c r="N23" s="172">
        <f>MAX(S46:S49)</f>
        <v>5.3418796190476199</v>
      </c>
      <c r="O23" s="27" t="s">
        <v>34</v>
      </c>
      <c r="P23" s="26"/>
      <c r="Q23" s="172">
        <f>MAX(S51:S69)</f>
        <v>22.112431989678267</v>
      </c>
      <c r="R23" s="27" t="s">
        <v>34</v>
      </c>
    </row>
    <row r="24" spans="1:18">
      <c r="A24" s="224"/>
      <c r="F24" s="224"/>
      <c r="G24" s="224"/>
      <c r="I24" s="28"/>
      <c r="J24" s="15"/>
      <c r="K24" s="15"/>
      <c r="L24" s="15"/>
      <c r="M24" s="28"/>
      <c r="N24" s="15"/>
      <c r="O24" s="22"/>
      <c r="P24" s="15"/>
      <c r="Q24" s="15"/>
      <c r="R24" s="22"/>
    </row>
    <row r="25" spans="1:18">
      <c r="A25" s="224"/>
      <c r="I25" s="23"/>
      <c r="J25" s="24"/>
      <c r="K25" s="24"/>
      <c r="L25" s="24"/>
      <c r="M25" s="24"/>
      <c r="N25" s="24"/>
      <c r="O25" s="24"/>
      <c r="P25" s="24"/>
      <c r="Q25" s="24"/>
      <c r="R25" s="21"/>
    </row>
    <row r="26" spans="1:18">
      <c r="A26" s="224"/>
      <c r="I26" s="114" t="s">
        <v>745</v>
      </c>
      <c r="J26" s="115"/>
      <c r="K26" s="26" t="s">
        <v>1</v>
      </c>
      <c r="L26" s="1221">
        <f>GEN!F99</f>
        <v>275</v>
      </c>
      <c r="M26" s="26" t="s">
        <v>34</v>
      </c>
      <c r="N26" s="1225" t="str">
        <f>IF(MAX(N21,Q21/1.25)&lt;L26,"OK","INCREASE NOs. OF PILES")</f>
        <v>OK</v>
      </c>
      <c r="O26" s="11"/>
      <c r="P26" s="11"/>
      <c r="Q26" s="11"/>
      <c r="R26" s="27"/>
    </row>
    <row r="27" spans="1:18">
      <c r="A27" s="224"/>
      <c r="I27" s="521"/>
      <c r="J27" s="522"/>
      <c r="K27" s="15"/>
      <c r="L27" s="15"/>
      <c r="M27" s="15"/>
      <c r="N27" s="15"/>
      <c r="O27" s="15"/>
      <c r="P27" s="15"/>
      <c r="Q27" s="15"/>
      <c r="R27" s="22"/>
    </row>
    <row r="28" spans="1:18">
      <c r="A28" s="224"/>
    </row>
    <row r="29" spans="1:18">
      <c r="A29" s="224"/>
      <c r="H29" s="224"/>
      <c r="I29" s="30" t="s">
        <v>1462</v>
      </c>
      <c r="J29" s="31"/>
      <c r="K29" s="31"/>
      <c r="L29" s="31"/>
      <c r="M29" s="30"/>
      <c r="N29" s="31" t="s">
        <v>605</v>
      </c>
      <c r="O29" s="32"/>
      <c r="P29" s="31"/>
      <c r="Q29" s="31" t="s">
        <v>229</v>
      </c>
      <c r="R29" s="32"/>
    </row>
    <row r="30" spans="1:18">
      <c r="A30" s="224"/>
      <c r="H30" s="224"/>
      <c r="I30" s="25" t="s">
        <v>677</v>
      </c>
      <c r="J30" s="26"/>
      <c r="K30" s="26"/>
      <c r="L30" s="26"/>
      <c r="M30" s="25" t="s">
        <v>1</v>
      </c>
      <c r="N30" s="172">
        <f>MAX(K71:R74)</f>
        <v>193.03893547491947</v>
      </c>
      <c r="O30" s="27" t="s">
        <v>34</v>
      </c>
      <c r="P30" s="26"/>
      <c r="Q30" s="172">
        <f>MAX(K76:R94)</f>
        <v>277.55283064295816</v>
      </c>
      <c r="R30" s="27" t="s">
        <v>34</v>
      </c>
    </row>
    <row r="31" spans="1:18">
      <c r="A31" s="224"/>
      <c r="H31" s="224"/>
      <c r="I31" s="25" t="s">
        <v>678</v>
      </c>
      <c r="J31" s="26"/>
      <c r="K31" s="26"/>
      <c r="L31" s="26"/>
      <c r="M31" s="25" t="s">
        <v>1</v>
      </c>
      <c r="N31" s="172">
        <f>MIN(K71:R74)</f>
        <v>67.141294164810972</v>
      </c>
      <c r="O31" s="27" t="s">
        <v>34</v>
      </c>
      <c r="P31" s="26"/>
      <c r="Q31" s="172">
        <f>MIN(K76:R94)</f>
        <v>18.690981777567899</v>
      </c>
      <c r="R31" s="27" t="s">
        <v>34</v>
      </c>
    </row>
    <row r="32" spans="1:18">
      <c r="A32" s="224"/>
      <c r="H32" s="224"/>
      <c r="I32" s="25" t="s">
        <v>680</v>
      </c>
      <c r="J32" s="26"/>
      <c r="K32" s="26"/>
      <c r="L32" s="26"/>
      <c r="M32" s="25" t="s">
        <v>1</v>
      </c>
      <c r="N32" s="172">
        <f>MAX(S71:S74)</f>
        <v>5.9189579521053011</v>
      </c>
      <c r="O32" s="27" t="s">
        <v>34</v>
      </c>
      <c r="P32" s="26"/>
      <c r="Q32" s="172">
        <f>MAX(S76:S94)</f>
        <v>31.840114762933528</v>
      </c>
      <c r="R32" s="27" t="s">
        <v>34</v>
      </c>
    </row>
    <row r="33" spans="1:19">
      <c r="A33" s="224"/>
      <c r="H33" s="224"/>
      <c r="I33" s="28"/>
      <c r="J33" s="15"/>
      <c r="K33" s="15"/>
      <c r="L33" s="15"/>
      <c r="M33" s="28"/>
      <c r="N33" s="15"/>
      <c r="O33" s="22"/>
      <c r="P33" s="15"/>
      <c r="Q33" s="15"/>
      <c r="R33" s="22"/>
    </row>
    <row r="34" spans="1:19">
      <c r="A34" s="224"/>
      <c r="H34" s="224"/>
      <c r="I34" s="23"/>
      <c r="J34" s="24"/>
      <c r="K34" s="24"/>
      <c r="L34" s="24"/>
      <c r="M34" s="24"/>
      <c r="N34" s="24"/>
      <c r="O34" s="24"/>
      <c r="P34" s="24"/>
      <c r="Q34" s="24"/>
      <c r="R34" s="21"/>
    </row>
    <row r="35" spans="1:19">
      <c r="A35" s="224"/>
      <c r="H35" s="224"/>
      <c r="I35" s="114" t="s">
        <v>745</v>
      </c>
      <c r="J35" s="115"/>
      <c r="K35" s="26" t="s">
        <v>1</v>
      </c>
      <c r="L35" s="1221">
        <f>L26</f>
        <v>275</v>
      </c>
      <c r="M35" s="26" t="s">
        <v>34</v>
      </c>
      <c r="N35" s="1225" t="str">
        <f>IF(MAX(N30,Q30/1.25)&lt;L35,"OK","INCREASE NOs. OF PILES")</f>
        <v>OK</v>
      </c>
      <c r="O35" s="11"/>
      <c r="P35" s="11"/>
      <c r="Q35" s="11"/>
      <c r="R35" s="27"/>
    </row>
    <row r="36" spans="1:19">
      <c r="A36" s="224"/>
      <c r="H36" s="224"/>
      <c r="I36" s="521"/>
      <c r="J36" s="522"/>
      <c r="K36" s="15"/>
      <c r="L36" s="15"/>
      <c r="M36" s="15"/>
      <c r="N36" s="15"/>
      <c r="O36" s="15"/>
      <c r="P36" s="15"/>
      <c r="Q36" s="15"/>
      <c r="R36" s="22"/>
    </row>
    <row r="37" spans="1:19">
      <c r="A37" s="224"/>
      <c r="H37" s="224"/>
      <c r="I37" s="224"/>
      <c r="J37" s="224"/>
    </row>
    <row r="38" spans="1:19">
      <c r="A38" s="224"/>
      <c r="H38" s="224"/>
      <c r="I38" s="224"/>
      <c r="J38" s="224"/>
    </row>
    <row r="39" spans="1:19">
      <c r="A39" s="62" t="s">
        <v>685</v>
      </c>
      <c r="H39" s="224"/>
      <c r="I39" s="224"/>
      <c r="J39" s="224"/>
    </row>
    <row r="40" spans="1:19">
      <c r="A40" s="249" t="s">
        <v>213</v>
      </c>
      <c r="B40" s="229"/>
      <c r="C40" s="229"/>
      <c r="D40" s="229"/>
      <c r="E40" s="230"/>
      <c r="F40" s="229"/>
      <c r="G40" s="230"/>
      <c r="H40" s="230"/>
      <c r="I40" s="230"/>
      <c r="J40" s="231"/>
      <c r="K40" s="483"/>
      <c r="L40" s="489"/>
      <c r="M40" s="489"/>
      <c r="N40" s="489"/>
      <c r="O40" s="489"/>
      <c r="P40" s="489"/>
      <c r="Q40" s="489"/>
      <c r="R40" s="489"/>
      <c r="S40" s="484"/>
    </row>
    <row r="41" spans="1:19" ht="15" customHeight="1">
      <c r="A41" s="233"/>
      <c r="B41" s="234"/>
      <c r="C41" s="234"/>
      <c r="D41" s="234"/>
      <c r="E41" s="234"/>
      <c r="F41" s="235"/>
      <c r="G41" s="235"/>
      <c r="H41" s="235"/>
      <c r="I41" s="235"/>
      <c r="J41" s="236"/>
      <c r="K41" s="485"/>
      <c r="L41" s="490"/>
      <c r="M41" s="490"/>
      <c r="N41" s="490"/>
      <c r="O41" s="490"/>
      <c r="P41" s="490"/>
      <c r="Q41" s="490"/>
      <c r="R41" s="490"/>
      <c r="S41" s="486"/>
    </row>
    <row r="42" spans="1:19">
      <c r="A42" s="245"/>
      <c r="B42" s="239"/>
      <c r="C42" s="239"/>
      <c r="D42" s="239"/>
      <c r="E42" s="239"/>
      <c r="F42" s="240"/>
      <c r="G42" s="240"/>
      <c r="H42" s="240"/>
      <c r="I42" s="240"/>
      <c r="J42" s="241"/>
      <c r="K42" s="487"/>
      <c r="L42" s="491"/>
      <c r="M42" s="491"/>
      <c r="N42" s="491"/>
      <c r="O42" s="491"/>
      <c r="P42" s="491"/>
      <c r="Q42" s="491"/>
      <c r="R42" s="491"/>
      <c r="S42" s="488"/>
    </row>
    <row r="43" spans="1:19">
      <c r="A43" s="228" t="s">
        <v>73</v>
      </c>
      <c r="B43" s="228" t="s">
        <v>74</v>
      </c>
      <c r="C43" s="229"/>
      <c r="D43" s="229"/>
      <c r="E43" s="232"/>
      <c r="F43" s="1641" t="s">
        <v>674</v>
      </c>
      <c r="G43" s="1642"/>
      <c r="H43" s="1642"/>
      <c r="I43" s="1642"/>
      <c r="J43" s="1643"/>
      <c r="K43" s="1644" t="s">
        <v>675</v>
      </c>
      <c r="L43" s="1645"/>
      <c r="M43" s="1645"/>
      <c r="N43" s="1645"/>
      <c r="O43" s="1645"/>
      <c r="P43" s="1645"/>
      <c r="Q43" s="1645"/>
      <c r="R43" s="1646"/>
      <c r="S43" s="1639" t="s">
        <v>679</v>
      </c>
    </row>
    <row r="44" spans="1:19" ht="18">
      <c r="A44" s="237"/>
      <c r="B44" s="237"/>
      <c r="C44" s="234"/>
      <c r="D44" s="234"/>
      <c r="E44" s="238"/>
      <c r="F44" s="247" t="s">
        <v>23</v>
      </c>
      <c r="G44" s="247" t="s">
        <v>234</v>
      </c>
      <c r="H44" s="248" t="s">
        <v>235</v>
      </c>
      <c r="I44" s="247" t="s">
        <v>236</v>
      </c>
      <c r="J44" s="247" t="s">
        <v>237</v>
      </c>
      <c r="K44" s="242">
        <v>1</v>
      </c>
      <c r="L44" s="257">
        <v>2</v>
      </c>
      <c r="M44" s="242">
        <v>3</v>
      </c>
      <c r="N44" s="258">
        <v>4</v>
      </c>
      <c r="O44" s="243">
        <v>5</v>
      </c>
      <c r="P44" s="244">
        <v>6</v>
      </c>
      <c r="Q44" s="259"/>
      <c r="R44" s="244"/>
      <c r="S44" s="1640"/>
    </row>
    <row r="45" spans="1:19">
      <c r="A45" s="411"/>
      <c r="B45" s="245"/>
      <c r="C45" s="239"/>
      <c r="D45" s="239"/>
      <c r="E45" s="246"/>
      <c r="F45" s="250" t="s">
        <v>34</v>
      </c>
      <c r="G45" s="250" t="s">
        <v>34</v>
      </c>
      <c r="H45" s="251" t="s">
        <v>34</v>
      </c>
      <c r="I45" s="250" t="s">
        <v>77</v>
      </c>
      <c r="J45" s="250" t="s">
        <v>77</v>
      </c>
      <c r="K45" s="242" t="s">
        <v>34</v>
      </c>
      <c r="L45" s="242" t="s">
        <v>34</v>
      </c>
      <c r="M45" s="242" t="s">
        <v>34</v>
      </c>
      <c r="N45" s="242" t="s">
        <v>34</v>
      </c>
      <c r="O45" s="242"/>
      <c r="P45" s="242"/>
      <c r="Q45" s="242"/>
      <c r="R45" s="242"/>
      <c r="S45" s="242" t="s">
        <v>34</v>
      </c>
    </row>
    <row r="46" spans="1:19">
      <c r="A46" s="112" t="str">
        <f>'3.4_LC'!A22</f>
        <v>LC-1</v>
      </c>
      <c r="B46" s="112" t="str">
        <f>'3.4_LC'!B22</f>
        <v>NS LWL Span dislodge case</v>
      </c>
      <c r="C46" s="11"/>
      <c r="D46" s="11"/>
      <c r="E46" s="191"/>
      <c r="F46" s="112">
        <f>'3.4_LC'!F22</f>
        <v>694.38706530953289</v>
      </c>
      <c r="G46" s="112">
        <f>'3.4_LC'!G22</f>
        <v>14.632999999999999</v>
      </c>
      <c r="H46" s="112">
        <f>'3.4_LC'!H22</f>
        <v>0</v>
      </c>
      <c r="I46" s="112">
        <f>'3.4_LC'!I22</f>
        <v>261.34974</v>
      </c>
      <c r="J46" s="112">
        <f>'3.4_LC'!J22</f>
        <v>0</v>
      </c>
      <c r="K46" s="226">
        <f>$F46/$Q$11+$I46*$K$8/$Q$7+$J46*$L$8/$Q$8</f>
        <v>91.532127551588815</v>
      </c>
      <c r="L46" s="226">
        <f>$F46/$Q$11+$I46*$K$9/$Q$7+$J46*$L$9/$Q$8</f>
        <v>91.532127551588815</v>
      </c>
      <c r="M46" s="226">
        <f>$F46/$Q$11+$I46*$K$10/$Q$7+$J46*$L$10/$Q$8</f>
        <v>91.532127551588815</v>
      </c>
      <c r="N46" s="255">
        <f>$F46/$Q$11+$I46*$K$11/$Q$7+$J46*$L$11/$Q$8</f>
        <v>139.93022755158881</v>
      </c>
      <c r="O46" s="226">
        <f>$F46/$Q$11+$I46*$K$12/$Q$7+$J46*$L$12/$Q$8</f>
        <v>139.93022755158881</v>
      </c>
      <c r="P46" s="260">
        <f>$F46/$Q$11+$I46*$K$13/$Q$7+$J46*$L$13/$Q$8</f>
        <v>139.93022755158881</v>
      </c>
      <c r="Q46" s="256"/>
      <c r="R46" s="260"/>
      <c r="S46" s="196">
        <f>SQRT(G46^2+H46^2)/$Q$11</f>
        <v>2.4388333333333332</v>
      </c>
    </row>
    <row r="47" spans="1:19" ht="15" customHeight="1">
      <c r="A47" s="112" t="str">
        <f>'3.4_LC'!A44</f>
        <v>LC-2</v>
      </c>
      <c r="B47" s="112" t="str">
        <f>'3.4_LC'!B44</f>
        <v>NS LWL No Live load</v>
      </c>
      <c r="C47" s="11"/>
      <c r="D47" s="11"/>
      <c r="E47" s="191"/>
      <c r="F47" s="112">
        <f>'3.4_LC'!F44</f>
        <v>987.04706530953285</v>
      </c>
      <c r="G47" s="112">
        <f>'3.4_LC'!G44</f>
        <v>5.8532000000000011</v>
      </c>
      <c r="H47" s="112">
        <f>'3.4_LC'!H44</f>
        <v>0</v>
      </c>
      <c r="I47" s="112">
        <f>'3.4_LC'!I44</f>
        <v>48.464496000000011</v>
      </c>
      <c r="J47" s="112">
        <f>'3.4_LC'!J44</f>
        <v>0</v>
      </c>
      <c r="K47" s="226">
        <f>$F47/$Q$11+$I47*$K$8/$Q$7+$J47*$L$8/$Q$8</f>
        <v>160.02039088492216</v>
      </c>
      <c r="L47" s="226">
        <f t="shared" ref="L47:L94" si="0">$F47/$Q$11+$I47*$K$9/$Q$7+$J47*$L$9/$Q$8</f>
        <v>160.02039088492216</v>
      </c>
      <c r="M47" s="226">
        <f t="shared" ref="M47:M94" si="1">$F47/$Q$11+$I47*$K$10/$Q$7+$J47*$L$10/$Q$8</f>
        <v>160.02039088492216</v>
      </c>
      <c r="N47" s="255">
        <f t="shared" ref="N47:N94" si="2">$F47/$Q$11+$I47*$K$11/$Q$7+$J47*$L$11/$Q$8</f>
        <v>168.99529755158881</v>
      </c>
      <c r="O47" s="226">
        <f t="shared" ref="O47:O94" si="3">$F47/$Q$11+$I47*$K$12/$Q$7+$J47*$L$12/$Q$8</f>
        <v>168.99529755158881</v>
      </c>
      <c r="P47" s="260">
        <f t="shared" ref="P47:P94" si="4">$F47/$Q$11+$I47*$K$13/$Q$7+$J47*$L$13/$Q$8</f>
        <v>168.99529755158881</v>
      </c>
      <c r="Q47" s="256"/>
      <c r="R47" s="260"/>
      <c r="S47" s="196">
        <f>SQRT(G47^2+H47^2)/$Q$11</f>
        <v>0.97553333333333347</v>
      </c>
    </row>
    <row r="48" spans="1:19">
      <c r="A48" s="112" t="str">
        <f>'3.4_LC'!A68</f>
        <v>LC-3</v>
      </c>
      <c r="B48" s="112" t="str">
        <f>'3.4_LC'!B68</f>
        <v>NS LWL With LL max reaction case</v>
      </c>
      <c r="C48" s="11"/>
      <c r="D48" s="11"/>
      <c r="E48" s="191"/>
      <c r="F48" s="112">
        <f>'3.4_LC'!F68</f>
        <v>1127.3927795952472</v>
      </c>
      <c r="G48" s="112">
        <f>'3.4_LC'!G68</f>
        <v>32.051277714285717</v>
      </c>
      <c r="H48" s="112">
        <f>'3.4_LC'!H68</f>
        <v>0</v>
      </c>
      <c r="I48" s="112">
        <f>'3.4_LC'!I68</f>
        <v>270.39703661714293</v>
      </c>
      <c r="J48" s="112">
        <f>'3.4_LC'!J68</f>
        <v>-21.766229472329464</v>
      </c>
      <c r="K48" s="226">
        <f>$F48/$Q$11+$I48*$K$8/$Q$7+$J48*$L$8/$Q$8</f>
        <v>164.37357766282867</v>
      </c>
      <c r="L48" s="226">
        <f t="shared" si="0"/>
        <v>162.86203394947245</v>
      </c>
      <c r="M48" s="226">
        <f t="shared" si="1"/>
        <v>161.35049023611623</v>
      </c>
      <c r="N48" s="255">
        <f t="shared" si="2"/>
        <v>214.44710296229954</v>
      </c>
      <c r="O48" s="226">
        <f t="shared" si="3"/>
        <v>212.93555924894332</v>
      </c>
      <c r="P48" s="260">
        <f t="shared" si="4"/>
        <v>211.4240155355871</v>
      </c>
      <c r="Q48" s="256"/>
      <c r="R48" s="260"/>
      <c r="S48" s="196">
        <f>SQRT(G48^2+H48^2)/$Q$11</f>
        <v>5.3418796190476199</v>
      </c>
    </row>
    <row r="49" spans="1:19">
      <c r="A49" s="112" t="str">
        <f>'3.4_LC'!A92</f>
        <v>LC-4</v>
      </c>
      <c r="B49" s="112" t="str">
        <f>'3.4_LC'!B92</f>
        <v>NS LWL With LL max moment case</v>
      </c>
      <c r="C49" s="11"/>
      <c r="D49" s="11"/>
      <c r="E49" s="191"/>
      <c r="F49" s="112">
        <f>'3.4_LC'!F92</f>
        <v>1114.9465510238185</v>
      </c>
      <c r="G49" s="112">
        <f>'3.4_LC'!G92</f>
        <v>29.998225714285713</v>
      </c>
      <c r="H49" s="112">
        <f>'3.4_LC'!H92</f>
        <v>0</v>
      </c>
      <c r="I49" s="112">
        <f>'3.4_LC'!I92</f>
        <v>312.3350517714286</v>
      </c>
      <c r="J49" s="112">
        <f>'3.4_LC'!J92</f>
        <v>-19.835942761904757</v>
      </c>
      <c r="K49" s="226">
        <f>$F49/$Q$11+$I49*$K$8/$Q$7+$J49*$L$8/$Q$8</f>
        <v>158.28200899471051</v>
      </c>
      <c r="L49" s="226">
        <f t="shared" si="0"/>
        <v>156.90451296957824</v>
      </c>
      <c r="M49" s="226">
        <f t="shared" si="1"/>
        <v>155.52701694444596</v>
      </c>
      <c r="N49" s="255">
        <f t="shared" si="2"/>
        <v>216.1218333968269</v>
      </c>
      <c r="O49" s="226">
        <f t="shared" si="3"/>
        <v>214.74433737169463</v>
      </c>
      <c r="P49" s="260">
        <f t="shared" si="4"/>
        <v>213.36684134656235</v>
      </c>
      <c r="Q49" s="256"/>
      <c r="R49" s="260"/>
      <c r="S49" s="196">
        <f>SQRT(G49^2+H49^2)/$Q$11</f>
        <v>4.9997042857142855</v>
      </c>
    </row>
    <row r="50" spans="1:19">
      <c r="A50" s="112"/>
      <c r="B50" s="112"/>
      <c r="C50" s="11"/>
      <c r="D50" s="11"/>
      <c r="E50" s="191"/>
      <c r="F50" s="112"/>
      <c r="G50" s="112"/>
      <c r="H50" s="112"/>
      <c r="I50" s="112"/>
      <c r="J50" s="112"/>
      <c r="K50" s="226"/>
      <c r="L50" s="255"/>
      <c r="M50" s="226"/>
      <c r="N50" s="255"/>
      <c r="O50" s="226"/>
      <c r="P50" s="260"/>
      <c r="Q50" s="256"/>
      <c r="R50" s="260"/>
      <c r="S50" s="196"/>
    </row>
    <row r="51" spans="1:19">
      <c r="A51" s="112" t="str">
        <f>'3.4_LC'!A120</f>
        <v>LC-5</v>
      </c>
      <c r="B51" s="112" t="str">
        <f>'3.4_LC'!B120</f>
        <v>LC-1 + Seismic Sx=1,Sz=0.3,Sy=-0.3 (50% seismic)</v>
      </c>
      <c r="C51" s="11"/>
      <c r="D51" s="11"/>
      <c r="E51" s="191"/>
      <c r="F51" s="112">
        <f>'3.4_LC'!F120</f>
        <v>686.96612008316276</v>
      </c>
      <c r="G51" s="112">
        <f>'3.4_LC'!G120</f>
        <v>75.443186131850851</v>
      </c>
      <c r="H51" s="112">
        <f>'3.4_LC'!H120</f>
        <v>11.131417839555255</v>
      </c>
      <c r="I51" s="112">
        <f>'3.4_LC'!I120</f>
        <v>725.28301034735568</v>
      </c>
      <c r="J51" s="112">
        <f>'3.4_LC'!J120</f>
        <v>87.05766637309317</v>
      </c>
      <c r="K51" s="226">
        <f>$F51/$Q$11+$I51*$K$8/$Q$7+$J51*$L$8/$Q$8</f>
        <v>41.292847779862747</v>
      </c>
      <c r="L51" s="226">
        <f t="shared" si="0"/>
        <v>47.338519055771997</v>
      </c>
      <c r="M51" s="226">
        <f t="shared" si="1"/>
        <v>53.384190331681246</v>
      </c>
      <c r="N51" s="255">
        <f t="shared" si="2"/>
        <v>175.60451636270633</v>
      </c>
      <c r="O51" s="226">
        <f t="shared" si="3"/>
        <v>181.65018763861559</v>
      </c>
      <c r="P51" s="260">
        <f t="shared" si="4"/>
        <v>187.69585891452485</v>
      </c>
      <c r="Q51" s="256"/>
      <c r="R51" s="260"/>
      <c r="S51" s="196">
        <f>SQRT(G51^2+H51^2)/$Q$11</f>
        <v>12.709994751336295</v>
      </c>
    </row>
    <row r="52" spans="1:19" ht="15" customHeight="1">
      <c r="A52" s="112" t="str">
        <f>'3.4_LC'!A148</f>
        <v>LC-6</v>
      </c>
      <c r="B52" s="112" t="str">
        <f>'3.4_LC'!B148</f>
        <v>LC-1 + Seismic Sx=0.3,Sz=1,Sy=-0.3 (50% seismic)</v>
      </c>
      <c r="C52" s="11"/>
      <c r="D52" s="11"/>
      <c r="E52" s="191"/>
      <c r="F52" s="112">
        <f>'3.4_LC'!F148</f>
        <v>686.96612008316276</v>
      </c>
      <c r="G52" s="112">
        <f>'3.4_LC'!G148</f>
        <v>32.876055839555256</v>
      </c>
      <c r="H52" s="112">
        <f>'3.4_LC'!H148</f>
        <v>37.104726131850853</v>
      </c>
      <c r="I52" s="112">
        <f>'3.4_LC'!I148</f>
        <v>398.93998351420674</v>
      </c>
      <c r="J52" s="112">
        <f>'3.4_LC'!J148</f>
        <v>290.19222124364387</v>
      </c>
      <c r="K52" s="226">
        <f>$F52/$Q$11+$I52*$K$8/$Q$7+$J52*$L$8/$Q$8</f>
        <v>57.403228398403094</v>
      </c>
      <c r="L52" s="226">
        <f t="shared" si="0"/>
        <v>77.555465984767253</v>
      </c>
      <c r="M52" s="226">
        <f t="shared" si="1"/>
        <v>97.707703571131418</v>
      </c>
      <c r="N52" s="255">
        <f t="shared" si="2"/>
        <v>131.2810031232562</v>
      </c>
      <c r="O52" s="226">
        <f t="shared" si="3"/>
        <v>151.43324070962035</v>
      </c>
      <c r="P52" s="260">
        <f t="shared" si="4"/>
        <v>171.5854782959845</v>
      </c>
      <c r="Q52" s="256"/>
      <c r="R52" s="260"/>
      <c r="S52" s="196">
        <f>SQRT(G52^2+H52^2)/$Q$11</f>
        <v>8.2623573258571152</v>
      </c>
    </row>
    <row r="53" spans="1:19">
      <c r="A53" s="112" t="str">
        <f>'3.4_LC'!A176</f>
        <v>LC-7</v>
      </c>
      <c r="B53" s="112" t="str">
        <f>'3.4_LC'!B176</f>
        <v>LC-1 + Seismic Sx=1,Sz=0.3,Sy=0.3 (50% seismic)</v>
      </c>
      <c r="C53" s="11"/>
      <c r="D53" s="11"/>
      <c r="E53" s="191"/>
      <c r="F53" s="112">
        <f>'3.4_LC'!F176</f>
        <v>701.80801053590301</v>
      </c>
      <c r="G53" s="112">
        <f>'3.4_LC'!G176</f>
        <v>75.443186131850851</v>
      </c>
      <c r="H53" s="112">
        <f>'3.4_LC'!H176</f>
        <v>11.131417839555255</v>
      </c>
      <c r="I53" s="112">
        <f>'3.4_LC'!I176</f>
        <v>729.82511774735576</v>
      </c>
      <c r="J53" s="112">
        <f>'3.4_LC'!J176</f>
        <v>87.05766637309317</v>
      </c>
      <c r="K53" s="226">
        <f>$F53/$Q$11+$I53*$K$8/$Q$7+$J53*$L$8/$Q$8</f>
        <v>43.345930688652778</v>
      </c>
      <c r="L53" s="226">
        <f t="shared" si="0"/>
        <v>49.391601964562028</v>
      </c>
      <c r="M53" s="226">
        <f t="shared" si="1"/>
        <v>55.437273240471278</v>
      </c>
      <c r="N53" s="255">
        <f t="shared" si="2"/>
        <v>178.49873027149638</v>
      </c>
      <c r="O53" s="226">
        <f t="shared" si="3"/>
        <v>184.54440154740564</v>
      </c>
      <c r="P53" s="260">
        <f t="shared" si="4"/>
        <v>190.5900728233149</v>
      </c>
      <c r="Q53" s="256"/>
      <c r="R53" s="260"/>
      <c r="S53" s="196">
        <f>SQRT(G53^2+H53^2)/$Q$11</f>
        <v>12.709994751336295</v>
      </c>
    </row>
    <row r="54" spans="1:19">
      <c r="A54" s="112" t="str">
        <f>'3.4_LC'!A204</f>
        <v>LC-8</v>
      </c>
      <c r="B54" s="112" t="str">
        <f>'3.4_LC'!B204</f>
        <v>LC-1 + Seismic Sx=0.3,Sz=1,Sy=0.3 (50% seismic)</v>
      </c>
      <c r="C54" s="11"/>
      <c r="D54" s="11"/>
      <c r="E54" s="191"/>
      <c r="F54" s="112">
        <f>'3.4_LC'!F204</f>
        <v>701.80801053590301</v>
      </c>
      <c r="G54" s="112">
        <f>'3.4_LC'!G204</f>
        <v>32.876055839555256</v>
      </c>
      <c r="H54" s="112">
        <f>'3.4_LC'!H204</f>
        <v>37.104726131850853</v>
      </c>
      <c r="I54" s="112">
        <f>'3.4_LC'!I204</f>
        <v>403.48209091420671</v>
      </c>
      <c r="J54" s="112">
        <f>'3.4_LC'!J204</f>
        <v>290.19222124364387</v>
      </c>
      <c r="K54" s="226">
        <f>$F54/$Q$11+$I54*$K$8/$Q$7+$J54*$L$8/$Q$8</f>
        <v>59.45631130719314</v>
      </c>
      <c r="L54" s="226">
        <f t="shared" si="0"/>
        <v>79.608548893557298</v>
      </c>
      <c r="M54" s="226">
        <f t="shared" si="1"/>
        <v>99.76078647992145</v>
      </c>
      <c r="N54" s="255">
        <f t="shared" si="2"/>
        <v>134.17521703204622</v>
      </c>
      <c r="O54" s="226">
        <f t="shared" si="3"/>
        <v>154.32745461841037</v>
      </c>
      <c r="P54" s="260">
        <f t="shared" si="4"/>
        <v>174.47969220477452</v>
      </c>
      <c r="Q54" s="256"/>
      <c r="R54" s="260"/>
      <c r="S54" s="196">
        <f>SQRT(G54^2+H54^2)/$Q$11</f>
        <v>8.2623573258571152</v>
      </c>
    </row>
    <row r="55" spans="1:19">
      <c r="A55" s="112"/>
      <c r="B55" s="112"/>
      <c r="C55" s="11"/>
      <c r="D55" s="11"/>
      <c r="E55" s="191"/>
      <c r="F55" s="112"/>
      <c r="G55" s="112"/>
      <c r="H55" s="112"/>
      <c r="I55" s="112"/>
      <c r="J55" s="112"/>
      <c r="K55" s="226"/>
      <c r="L55" s="255"/>
      <c r="M55" s="226"/>
      <c r="N55" s="255"/>
      <c r="O55" s="226"/>
      <c r="P55" s="260"/>
      <c r="Q55" s="256"/>
      <c r="R55" s="260"/>
      <c r="S55" s="196"/>
    </row>
    <row r="56" spans="1:19">
      <c r="A56" s="112" t="str">
        <f>'3.4_LC'!A237</f>
        <v>LC-9</v>
      </c>
      <c r="B56" s="112" t="str">
        <f>'3.4_LC'!B237</f>
        <v>LC-2 + Seismic Sx=1,Sz=0.3,Sy=-0.3</v>
      </c>
      <c r="C56" s="11"/>
      <c r="D56" s="11"/>
      <c r="E56" s="191"/>
      <c r="F56" s="112">
        <f>'3.4_LC'!F237</f>
        <v>962.72299085679253</v>
      </c>
      <c r="G56" s="112">
        <f>'3.4_LC'!G237</f>
        <v>127.4735722637017</v>
      </c>
      <c r="H56" s="112">
        <f>'3.4_LC'!H237</f>
        <v>36.486111679110508</v>
      </c>
      <c r="I56" s="112">
        <f>'3.4_LC'!I237</f>
        <v>980.87314409471162</v>
      </c>
      <c r="J56" s="112">
        <f>'3.4_LC'!J237</f>
        <v>304.04552162395919</v>
      </c>
      <c r="K56" s="226">
        <f>$F56/$Q$11+$I56*$K$8/$Q$7+$J56*$L$8/$Q$8</f>
        <v>48.517972058291264</v>
      </c>
      <c r="L56" s="226">
        <f t="shared" si="0"/>
        <v>69.632244393288431</v>
      </c>
      <c r="M56" s="226">
        <f t="shared" si="1"/>
        <v>90.746516728285599</v>
      </c>
      <c r="N56" s="255">
        <f t="shared" si="2"/>
        <v>230.16114689064523</v>
      </c>
      <c r="O56" s="226">
        <f t="shared" si="3"/>
        <v>251.27541922564239</v>
      </c>
      <c r="P56" s="260">
        <f t="shared" si="4"/>
        <v>272.38969156063956</v>
      </c>
      <c r="Q56" s="256"/>
      <c r="R56" s="260"/>
      <c r="S56" s="196">
        <f>SQRT(G56^2+H56^2)/$Q$11</f>
        <v>22.098735491180449</v>
      </c>
    </row>
    <row r="57" spans="1:19">
      <c r="A57" s="112" t="str">
        <f>'3.4_LC'!A270</f>
        <v>LC-10</v>
      </c>
      <c r="B57" s="112" t="str">
        <f>'3.4_LC'!B270</f>
        <v>LC-2 + Seismic Sx=0.3,Sz=1,Sy=-0.3</v>
      </c>
      <c r="C57" s="11"/>
      <c r="D57" s="11"/>
      <c r="E57" s="191"/>
      <c r="F57" s="112">
        <f>'3.4_LC'!F270</f>
        <v>962.72299085679253</v>
      </c>
      <c r="G57" s="112">
        <f>'3.4_LC'!G270</f>
        <v>42.339311679110509</v>
      </c>
      <c r="H57" s="112">
        <f>'3.4_LC'!H270</f>
        <v>121.62037226370171</v>
      </c>
      <c r="I57" s="112">
        <f>'3.4_LC'!I270</f>
        <v>328.18709042841346</v>
      </c>
      <c r="J57" s="112">
        <f>'3.4_LC'!J270</f>
        <v>1013.485072079864</v>
      </c>
      <c r="K57" s="226">
        <f>$F57/$Q$11+$I57*$K$8/$Q$7+$J57*$L$8/$Q$8</f>
        <v>59.685230467955108</v>
      </c>
      <c r="L57" s="226">
        <f t="shared" si="0"/>
        <v>130.066138251279</v>
      </c>
      <c r="M57" s="226">
        <f t="shared" si="1"/>
        <v>200.44704603460289</v>
      </c>
      <c r="N57" s="255">
        <f t="shared" si="2"/>
        <v>120.46061758432793</v>
      </c>
      <c r="O57" s="226">
        <f t="shared" si="3"/>
        <v>190.84152536765183</v>
      </c>
      <c r="P57" s="260">
        <f t="shared" si="4"/>
        <v>261.22243315097569</v>
      </c>
      <c r="Q57" s="256"/>
      <c r="R57" s="260"/>
      <c r="S57" s="196">
        <f>SQRT(G57^2+H57^2)/$Q$11</f>
        <v>21.463232297105368</v>
      </c>
    </row>
    <row r="58" spans="1:19">
      <c r="A58" s="112" t="str">
        <f>'3.4_LC'!A303</f>
        <v>LC-11</v>
      </c>
      <c r="B58" s="112" t="str">
        <f>'3.4_LC'!B303</f>
        <v>LC-2 + Seismic Sx=1,Sz=0.3,Sy=0.3</v>
      </c>
      <c r="C58" s="11"/>
      <c r="D58" s="11"/>
      <c r="E58" s="191"/>
      <c r="F58" s="112">
        <f>'3.4_LC'!F303</f>
        <v>1011.3711397622732</v>
      </c>
      <c r="G58" s="112">
        <f>'3.4_LC'!G303</f>
        <v>127.4735722637017</v>
      </c>
      <c r="H58" s="112">
        <f>'3.4_LC'!H303</f>
        <v>36.486111679110508</v>
      </c>
      <c r="I58" s="112">
        <f>'3.4_LC'!I303</f>
        <v>980.87314409471162</v>
      </c>
      <c r="J58" s="112">
        <f>'3.4_LC'!J303</f>
        <v>304.04552162395919</v>
      </c>
      <c r="K58" s="226">
        <f>$F58/$Q$11+$I58*$K$8/$Q$7+$J58*$L$8/$Q$8</f>
        <v>56.62599687587138</v>
      </c>
      <c r="L58" s="226">
        <f t="shared" si="0"/>
        <v>77.740269210868547</v>
      </c>
      <c r="M58" s="226">
        <f t="shared" si="1"/>
        <v>98.854541545865715</v>
      </c>
      <c r="N58" s="255">
        <f t="shared" si="2"/>
        <v>238.26917170822537</v>
      </c>
      <c r="O58" s="226">
        <f t="shared" si="3"/>
        <v>259.38344404322254</v>
      </c>
      <c r="P58" s="260">
        <f t="shared" si="4"/>
        <v>280.49771637821971</v>
      </c>
      <c r="Q58" s="256"/>
      <c r="R58" s="260"/>
      <c r="S58" s="196">
        <f>SQRT(G58^2+H58^2)/$Q$11</f>
        <v>22.098735491180449</v>
      </c>
    </row>
    <row r="59" spans="1:19">
      <c r="A59" s="112" t="str">
        <f>'3.4_LC'!A336</f>
        <v>LC-12</v>
      </c>
      <c r="B59" s="112" t="str">
        <f>'3.4_LC'!B336</f>
        <v>LC-2 + Seismic Sx=0.3,Sz=1,Sy=0.3</v>
      </c>
      <c r="C59" s="11"/>
      <c r="D59" s="11"/>
      <c r="E59" s="191"/>
      <c r="F59" s="112">
        <f>'3.4_LC'!F336</f>
        <v>1011.3711397622732</v>
      </c>
      <c r="G59" s="112">
        <f>'3.4_LC'!G336</f>
        <v>42.339311679110509</v>
      </c>
      <c r="H59" s="112">
        <f>'3.4_LC'!H336</f>
        <v>121.62037226370171</v>
      </c>
      <c r="I59" s="112">
        <f>'3.4_LC'!I336</f>
        <v>328.18709042841346</v>
      </c>
      <c r="J59" s="112">
        <f>'3.4_LC'!J336</f>
        <v>1013.485072079864</v>
      </c>
      <c r="K59" s="226">
        <f>$F59/$Q$11+$I59*$K$8/$Q$7+$J59*$L$8/$Q$8</f>
        <v>67.793255285535224</v>
      </c>
      <c r="L59" s="226">
        <f t="shared" si="0"/>
        <v>138.17416306885912</v>
      </c>
      <c r="M59" s="226">
        <f t="shared" si="1"/>
        <v>208.55507085218301</v>
      </c>
      <c r="N59" s="255">
        <f t="shared" si="2"/>
        <v>128.56864240190805</v>
      </c>
      <c r="O59" s="226">
        <f t="shared" si="3"/>
        <v>198.94955018523194</v>
      </c>
      <c r="P59" s="260">
        <f t="shared" si="4"/>
        <v>269.33045796855583</v>
      </c>
      <c r="Q59" s="256"/>
      <c r="R59" s="260"/>
      <c r="S59" s="196">
        <f>SQRT(G59^2+H59^2)/$Q$11</f>
        <v>21.463232297105368</v>
      </c>
    </row>
    <row r="60" spans="1:19">
      <c r="A60" s="112"/>
      <c r="B60" s="112"/>
      <c r="C60" s="11"/>
      <c r="D60" s="11"/>
      <c r="E60" s="191"/>
      <c r="F60" s="112"/>
      <c r="G60" s="112"/>
      <c r="H60" s="112"/>
      <c r="I60" s="112"/>
      <c r="J60" s="112"/>
      <c r="K60" s="226"/>
      <c r="L60" s="255"/>
      <c r="M60" s="226"/>
      <c r="N60" s="255"/>
      <c r="O60" s="226"/>
      <c r="P60" s="260"/>
      <c r="Q60" s="256"/>
      <c r="R60" s="260"/>
      <c r="S60" s="196"/>
    </row>
    <row r="61" spans="1:19">
      <c r="A61" s="112" t="str">
        <f>'3.4_LC'!A375</f>
        <v>LC-13</v>
      </c>
      <c r="B61" s="112" t="str">
        <f>'3.4_LC'!B375</f>
        <v>LC-3 + Seismic Sx=1,Sz=0.3,Sy=-0.3</v>
      </c>
      <c r="C61" s="11"/>
      <c r="D61" s="11"/>
      <c r="E61" s="191"/>
      <c r="F61" s="112">
        <f>'3.4_LC'!F375</f>
        <v>989.8826934853638</v>
      </c>
      <c r="G61" s="112">
        <f>'3.4_LC'!G375</f>
        <v>126.17437226370171</v>
      </c>
      <c r="H61" s="112">
        <f>'3.4_LC'!H375</f>
        <v>37.850272021967655</v>
      </c>
      <c r="I61" s="112">
        <f>'3.4_LC'!I375</f>
        <v>971.08577880099722</v>
      </c>
      <c r="J61" s="112">
        <f>'3.4_LC'!J375</f>
        <v>314.79133905590254</v>
      </c>
      <c r="K61" s="226">
        <f>$F61/$Q$11+$I61*$K$8/$Q$7+$J61*$L$8/$Q$8</f>
        <v>53.204589368586198</v>
      </c>
      <c r="L61" s="226">
        <f t="shared" si="0"/>
        <v>75.065099025246099</v>
      </c>
      <c r="M61" s="226">
        <f t="shared" si="1"/>
        <v>96.925608681905999</v>
      </c>
      <c r="N61" s="255">
        <f t="shared" si="2"/>
        <v>233.03528914654862</v>
      </c>
      <c r="O61" s="226">
        <f t="shared" si="3"/>
        <v>254.89579880320852</v>
      </c>
      <c r="P61" s="260">
        <f t="shared" si="4"/>
        <v>276.75630845986842</v>
      </c>
      <c r="Q61" s="256"/>
      <c r="R61" s="260"/>
      <c r="S61" s="196">
        <f>SQRT(G61^2+H61^2)/$Q$11</f>
        <v>21.954887653927063</v>
      </c>
    </row>
    <row r="62" spans="1:19">
      <c r="A62" s="112" t="str">
        <f>'3.4_LC'!A414</f>
        <v>LC-14</v>
      </c>
      <c r="B62" s="112" t="str">
        <f>'3.4_LC'!B414</f>
        <v>LC-3 + Seismic Sx=0.3,Sz=1,Sy=-0.3</v>
      </c>
      <c r="C62" s="11"/>
      <c r="D62" s="11"/>
      <c r="E62" s="191"/>
      <c r="F62" s="112">
        <f>'3.4_LC'!F414</f>
        <v>989.8826934853638</v>
      </c>
      <c r="G62" s="112">
        <f>'3.4_LC'!G414</f>
        <v>41.04011167911051</v>
      </c>
      <c r="H62" s="112">
        <f>'3.4_LC'!H414</f>
        <v>126.16757340655886</v>
      </c>
      <c r="I62" s="112">
        <f>'3.4_LC'!I414</f>
        <v>318.39972513469917</v>
      </c>
      <c r="J62" s="112">
        <f>'3.4_LC'!J414</f>
        <v>1059.1329318838073</v>
      </c>
      <c r="K62" s="226">
        <f>$F62/$Q$11+$I62*$K$8/$Q$7+$J62*$L$8/$Q$8</f>
        <v>61.948094835750027</v>
      </c>
      <c r="L62" s="226">
        <f t="shared" si="0"/>
        <v>135.49899288323664</v>
      </c>
      <c r="M62" s="226">
        <f t="shared" si="1"/>
        <v>209.04989093072325</v>
      </c>
      <c r="N62" s="255">
        <f t="shared" si="2"/>
        <v>120.91100689773137</v>
      </c>
      <c r="O62" s="226">
        <f t="shared" si="3"/>
        <v>194.46190494521798</v>
      </c>
      <c r="P62" s="260">
        <f t="shared" si="4"/>
        <v>268.01280299270456</v>
      </c>
      <c r="Q62" s="256"/>
      <c r="R62" s="260"/>
      <c r="S62" s="196">
        <f>SQRT(G62^2+H62^2)/$Q$11</f>
        <v>22.112431989678267</v>
      </c>
    </row>
    <row r="63" spans="1:19">
      <c r="A63" s="112" t="str">
        <f>'3.4_LC'!A453</f>
        <v>LC-15</v>
      </c>
      <c r="B63" s="112" t="str">
        <f>'3.4_LC'!B453</f>
        <v>LC-3 + Seismic Sx=1,Sz=0.3,Sy=0.3</v>
      </c>
      <c r="C63" s="11"/>
      <c r="D63" s="11"/>
      <c r="E63" s="191"/>
      <c r="F63" s="112">
        <f>'3.4_LC'!F453</f>
        <v>1040.3497228479873</v>
      </c>
      <c r="G63" s="112">
        <f>'3.4_LC'!G453</f>
        <v>126.17437226370171</v>
      </c>
      <c r="H63" s="112">
        <f>'3.4_LC'!H453</f>
        <v>37.850272021967655</v>
      </c>
      <c r="I63" s="112">
        <f>'3.4_LC'!I453</f>
        <v>971.15074024556873</v>
      </c>
      <c r="J63" s="112">
        <f>'3.4_LC'!J453</f>
        <v>314.50924872194116</v>
      </c>
      <c r="K63" s="226">
        <f>$F63/$Q$11+$I63*$K$8/$Q$7+$J63*$L$8/$Q$8</f>
        <v>61.62933558697712</v>
      </c>
      <c r="L63" s="226">
        <f t="shared" si="0"/>
        <v>83.470255637111919</v>
      </c>
      <c r="M63" s="226">
        <f t="shared" si="1"/>
        <v>105.31117568724672</v>
      </c>
      <c r="N63" s="255">
        <f t="shared" si="2"/>
        <v>241.47206526208242</v>
      </c>
      <c r="O63" s="226">
        <f t="shared" si="3"/>
        <v>263.31298531221722</v>
      </c>
      <c r="P63" s="260">
        <f t="shared" si="4"/>
        <v>285.15390536235202</v>
      </c>
      <c r="Q63" s="256"/>
      <c r="R63" s="260"/>
      <c r="S63" s="196">
        <f>SQRT(G63^2+H63^2)/$Q$11</f>
        <v>21.954887653927063</v>
      </c>
    </row>
    <row r="64" spans="1:19">
      <c r="A64" s="112" t="str">
        <f>'3.4_LC'!A492</f>
        <v>LC-16</v>
      </c>
      <c r="B64" s="112" t="str">
        <f>'3.4_LC'!B492</f>
        <v>LC-3 + Seismic Sx=0.3,Sz=1,Sy=0.3</v>
      </c>
      <c r="C64" s="11"/>
      <c r="D64" s="11"/>
      <c r="E64" s="191"/>
      <c r="F64" s="112">
        <f>'3.4_LC'!F492</f>
        <v>1040.3497228479873</v>
      </c>
      <c r="G64" s="112">
        <f>'3.4_LC'!G492</f>
        <v>41.04011167911051</v>
      </c>
      <c r="H64" s="112">
        <f>'3.4_LC'!H492</f>
        <v>126.16757340655886</v>
      </c>
      <c r="I64" s="112">
        <f>'3.4_LC'!I492</f>
        <v>318.46468657927056</v>
      </c>
      <c r="J64" s="112">
        <f>'3.4_LC'!J492</f>
        <v>1058.8508415498461</v>
      </c>
      <c r="K64" s="226">
        <f>$F64/$Q$11+$I64*$K$8/$Q$7+$J64*$L$8/$Q$8</f>
        <v>70.372841054140949</v>
      </c>
      <c r="L64" s="226">
        <f t="shared" si="0"/>
        <v>143.90414949510247</v>
      </c>
      <c r="M64" s="226">
        <f t="shared" si="1"/>
        <v>217.43545793606398</v>
      </c>
      <c r="N64" s="1108">
        <f t="shared" si="2"/>
        <v>129.34778301326514</v>
      </c>
      <c r="O64" s="226">
        <f t="shared" si="3"/>
        <v>202.87909145422665</v>
      </c>
      <c r="P64" s="260">
        <f t="shared" si="4"/>
        <v>276.41039989518816</v>
      </c>
      <c r="Q64" s="256"/>
      <c r="R64" s="260"/>
      <c r="S64" s="196">
        <f>SQRT(G64^2+H64^2)/$Q$11</f>
        <v>22.112431989678267</v>
      </c>
    </row>
    <row r="65" spans="1:19">
      <c r="A65" s="112"/>
      <c r="B65" s="112"/>
      <c r="C65" s="11"/>
      <c r="D65" s="11"/>
      <c r="E65" s="191"/>
      <c r="F65" s="112"/>
      <c r="G65" s="112"/>
      <c r="H65" s="112"/>
      <c r="I65" s="112"/>
      <c r="J65" s="112"/>
      <c r="K65" s="226"/>
      <c r="L65" s="255"/>
      <c r="M65" s="226"/>
      <c r="N65" s="255"/>
      <c r="O65" s="226"/>
      <c r="P65" s="260"/>
      <c r="Q65" s="256"/>
      <c r="R65" s="260"/>
      <c r="S65" s="196"/>
    </row>
    <row r="66" spans="1:19">
      <c r="A66" s="112" t="str">
        <f>'3.4_LC'!A531</f>
        <v>LC-17</v>
      </c>
      <c r="B66" s="112" t="str">
        <f>'3.4_LC'!B531</f>
        <v>LC-4 + Seismic Sx=1,Sz=0.3,Sy=-0.3</v>
      </c>
      <c r="C66" s="11"/>
      <c r="D66" s="11"/>
      <c r="E66" s="191"/>
      <c r="F66" s="112">
        <f>'3.4_LC'!F531</f>
        <v>987.47409933222104</v>
      </c>
      <c r="G66" s="112">
        <f>'3.4_LC'!G531</f>
        <v>126.17437226370171</v>
      </c>
      <c r="H66" s="112">
        <f>'3.4_LC'!H531</f>
        <v>37.729294680253368</v>
      </c>
      <c r="I66" s="112">
        <f>'3.4_LC'!I531</f>
        <v>982.49132233242585</v>
      </c>
      <c r="J66" s="112">
        <f>'3.4_LC'!J531</f>
        <v>313.83837158820683</v>
      </c>
      <c r="K66" s="226">
        <f>$F66/$Q$11+$I66*$K$8/$Q$7+$J66*$L$8/$Q$8</f>
        <v>51.813266460594186</v>
      </c>
      <c r="L66" s="226">
        <f t="shared" si="0"/>
        <v>73.607597820886326</v>
      </c>
      <c r="M66" s="226">
        <f t="shared" si="1"/>
        <v>95.401929181178474</v>
      </c>
      <c r="N66" s="255">
        <f t="shared" si="2"/>
        <v>233.75610392956187</v>
      </c>
      <c r="O66" s="226">
        <f t="shared" si="3"/>
        <v>255.55043528985402</v>
      </c>
      <c r="P66" s="260">
        <f t="shared" si="4"/>
        <v>277.34476665014614</v>
      </c>
      <c r="Q66" s="256"/>
      <c r="R66" s="260"/>
      <c r="S66" s="196">
        <f>SQRT(G66^2+H66^2)/$Q$11</f>
        <v>21.949102672881242</v>
      </c>
    </row>
    <row r="67" spans="1:19">
      <c r="A67" s="112" t="str">
        <f>'3.4_LC'!A570</f>
        <v>LC-18</v>
      </c>
      <c r="B67" s="112" t="str">
        <f>'3.4_LC'!B570</f>
        <v>LC-4 + Seismic Sx=0.3,Sz=1,Sy=-0.3</v>
      </c>
      <c r="C67" s="11"/>
      <c r="D67" s="11"/>
      <c r="E67" s="191"/>
      <c r="F67" s="112">
        <f>'3.4_LC'!F570</f>
        <v>987.47409933222104</v>
      </c>
      <c r="G67" s="112">
        <f>'3.4_LC'!G570</f>
        <v>41.04011167911051</v>
      </c>
      <c r="H67" s="112">
        <f>'3.4_LC'!H570</f>
        <v>125.76431560084455</v>
      </c>
      <c r="I67" s="112">
        <f>'3.4_LC'!I570</f>
        <v>329.80526866612769</v>
      </c>
      <c r="J67" s="112">
        <f>'3.4_LC'!J570</f>
        <v>1055.0847591283518</v>
      </c>
      <c r="K67" s="226">
        <f>$F67/$Q$11+$I67*$K$8/$Q$7+$J67*$L$8/$Q$8</f>
        <v>60.771716739407992</v>
      </c>
      <c r="L67" s="226">
        <f t="shared" si="0"/>
        <v>134.04149167887687</v>
      </c>
      <c r="M67" s="226">
        <f t="shared" si="1"/>
        <v>207.31126661834574</v>
      </c>
      <c r="N67" s="255">
        <f t="shared" si="2"/>
        <v>121.84676649239461</v>
      </c>
      <c r="O67" s="226">
        <f t="shared" si="3"/>
        <v>195.11654143186348</v>
      </c>
      <c r="P67" s="260">
        <f t="shared" si="4"/>
        <v>268.38631637133233</v>
      </c>
      <c r="Q67" s="256"/>
      <c r="R67" s="260"/>
      <c r="S67" s="196">
        <f>SQRT(G67^2+H67^2)/$Q$11</f>
        <v>22.048528450003875</v>
      </c>
    </row>
    <row r="68" spans="1:19">
      <c r="A68" s="112" t="str">
        <f>'3.4_LC'!A609</f>
        <v>LC-19</v>
      </c>
      <c r="B68" s="112" t="str">
        <f>'3.4_LC'!B609</f>
        <v>LC-4 + Seismic Sx=1,Sz=0.3,Sy=0.3</v>
      </c>
      <c r="C68" s="11"/>
      <c r="D68" s="11"/>
      <c r="E68" s="191"/>
      <c r="F68" s="112">
        <f>'3.4_LC'!F609</f>
        <v>1037.7798255725588</v>
      </c>
      <c r="G68" s="112">
        <f>'3.4_LC'!G609</f>
        <v>126.17437226370171</v>
      </c>
      <c r="H68" s="112">
        <f>'3.4_LC'!H609</f>
        <v>37.729294680253368</v>
      </c>
      <c r="I68" s="112">
        <f>'3.4_LC'!I609</f>
        <v>983.32011099985448</v>
      </c>
      <c r="J68" s="112">
        <f>'3.4_LC'!J609</f>
        <v>313.58129777001255</v>
      </c>
      <c r="K68" s="226">
        <f>$F68/$Q$11+$I68*$K$8/$Q$7+$J68*$L$8/$Q$8</f>
        <v>60.138666824374283</v>
      </c>
      <c r="L68" s="226">
        <f t="shared" si="0"/>
        <v>81.915145836180713</v>
      </c>
      <c r="M68" s="226">
        <f t="shared" si="1"/>
        <v>103.69162484798714</v>
      </c>
      <c r="N68" s="255">
        <f t="shared" si="2"/>
        <v>242.23498367619914</v>
      </c>
      <c r="O68" s="226">
        <f t="shared" si="3"/>
        <v>264.01146268800557</v>
      </c>
      <c r="P68" s="260">
        <f t="shared" si="4"/>
        <v>285.787941699812</v>
      </c>
      <c r="Q68" s="256"/>
      <c r="R68" s="260"/>
      <c r="S68" s="196">
        <f>SQRT(G68^2+H68^2)/$Q$11</f>
        <v>21.949102672881242</v>
      </c>
    </row>
    <row r="69" spans="1:19">
      <c r="A69" s="112" t="str">
        <f>'3.4_LC'!A648</f>
        <v>LC-20</v>
      </c>
      <c r="B69" s="112" t="str">
        <f>'3.4_LC'!B648</f>
        <v>LC-4 + Seismic Sx=0.3,Sz=1,Sy=0.3</v>
      </c>
      <c r="C69" s="11"/>
      <c r="D69" s="11"/>
      <c r="E69" s="191"/>
      <c r="F69" s="112">
        <f>'3.4_LC'!F648</f>
        <v>1037.7798255725588</v>
      </c>
      <c r="G69" s="112">
        <f>'3.4_LC'!G648</f>
        <v>41.04011167911051</v>
      </c>
      <c r="H69" s="112">
        <f>'3.4_LC'!H648</f>
        <v>125.76431560084455</v>
      </c>
      <c r="I69" s="112">
        <f>'3.4_LC'!I648</f>
        <v>330.63405733355631</v>
      </c>
      <c r="J69" s="112">
        <f>'3.4_LC'!J648</f>
        <v>1054.8276853101574</v>
      </c>
      <c r="K69" s="226">
        <f>$F69/$Q$11+$I69*$K$8/$Q$7+$J69*$L$8/$Q$8</f>
        <v>69.097117103188111</v>
      </c>
      <c r="L69" s="226">
        <f t="shared" si="0"/>
        <v>142.34903969417127</v>
      </c>
      <c r="M69" s="226">
        <f t="shared" si="1"/>
        <v>215.60096228515442</v>
      </c>
      <c r="N69" s="255">
        <f t="shared" si="2"/>
        <v>130.32564623903187</v>
      </c>
      <c r="O69" s="226">
        <f t="shared" si="3"/>
        <v>203.57756883001503</v>
      </c>
      <c r="P69" s="260">
        <f t="shared" si="4"/>
        <v>276.82949142099818</v>
      </c>
      <c r="Q69" s="256"/>
      <c r="R69" s="260"/>
      <c r="S69" s="196">
        <f>SQRT(G69^2+H69^2)/$Q$11</f>
        <v>22.048528450003875</v>
      </c>
    </row>
    <row r="70" spans="1:19">
      <c r="A70" s="112"/>
      <c r="B70" s="112"/>
      <c r="C70" s="11"/>
      <c r="D70" s="11"/>
      <c r="E70" s="191"/>
      <c r="F70" s="112"/>
      <c r="G70" s="112"/>
      <c r="H70" s="112"/>
      <c r="I70" s="112"/>
      <c r="J70" s="112"/>
      <c r="K70" s="226"/>
      <c r="L70" s="226"/>
      <c r="M70" s="226"/>
      <c r="N70" s="255"/>
      <c r="O70" s="226"/>
      <c r="P70" s="260"/>
      <c r="Q70" s="256"/>
      <c r="R70" s="260"/>
      <c r="S70" s="196"/>
    </row>
    <row r="71" spans="1:19">
      <c r="A71" s="112" t="str">
        <f>'3.4_LC'!A668</f>
        <v>LC-21</v>
      </c>
      <c r="B71" s="112" t="str">
        <f>'3.4_LC'!B668</f>
        <v>NS HFL Span dislodge case</v>
      </c>
      <c r="C71" s="11"/>
      <c r="D71" s="11"/>
      <c r="E71" s="191"/>
      <c r="F71" s="112">
        <f>'3.4_LC'!F668</f>
        <v>554.18660533085426</v>
      </c>
      <c r="G71" s="112">
        <f>'3.4_LC'!G668</f>
        <v>17.918624686924268</v>
      </c>
      <c r="H71" s="112">
        <f>'3.4_LC'!H668</f>
        <v>3.5397182492142409</v>
      </c>
      <c r="I71" s="112">
        <f>'3.4_LC'!I668</f>
        <v>268.41259151030027</v>
      </c>
      <c r="J71" s="112">
        <f>'3.4_LC'!J668</f>
        <v>5.3297614737052639</v>
      </c>
      <c r="K71" s="226">
        <f t="shared" ref="K71:K94" si="5">$F71/$Q$11+$I71*$K$8/$Q$7+$J71*$L$8/$Q$8</f>
        <v>67.141294164810972</v>
      </c>
      <c r="L71" s="226">
        <f t="shared" si="0"/>
        <v>67.511416489373843</v>
      </c>
      <c r="M71" s="226">
        <f t="shared" si="1"/>
        <v>67.881538813936714</v>
      </c>
      <c r="N71" s="255">
        <f t="shared" si="2"/>
        <v>116.84732962968138</v>
      </c>
      <c r="O71" s="226">
        <f t="shared" si="3"/>
        <v>117.21745195424425</v>
      </c>
      <c r="P71" s="260">
        <f t="shared" si="4"/>
        <v>117.58757427880712</v>
      </c>
      <c r="Q71" s="256"/>
      <c r="R71" s="260"/>
      <c r="S71" s="196">
        <f t="shared" ref="S71:S94" si="6">SQRT(G71^2+H71^2)/$Q$11</f>
        <v>3.0441506567453449</v>
      </c>
    </row>
    <row r="72" spans="1:19">
      <c r="A72" s="112" t="str">
        <f>'3.4_LC'!A691</f>
        <v>LC-22</v>
      </c>
      <c r="B72" s="112" t="str">
        <f>'3.4_LC'!B691</f>
        <v>NS HFL No Live load</v>
      </c>
      <c r="C72" s="11"/>
      <c r="D72" s="11"/>
      <c r="E72" s="191"/>
      <c r="F72" s="112">
        <f>'3.4_LC'!F691</f>
        <v>846.84660533085423</v>
      </c>
      <c r="G72" s="112">
        <f>'3.4_LC'!G691</f>
        <v>9.13882468692427</v>
      </c>
      <c r="H72" s="112">
        <f>'3.4_LC'!H691</f>
        <v>3.5397182492142409</v>
      </c>
      <c r="I72" s="112">
        <f>'3.4_LC'!I691</f>
        <v>55.527347510300295</v>
      </c>
      <c r="J72" s="112">
        <f>'3.4_LC'!J691</f>
        <v>5.3297614737052639</v>
      </c>
      <c r="K72" s="226">
        <f t="shared" si="5"/>
        <v>135.62955749814429</v>
      </c>
      <c r="L72" s="226">
        <f t="shared" si="0"/>
        <v>135.99967982270715</v>
      </c>
      <c r="M72" s="226">
        <f t="shared" si="1"/>
        <v>136.36980214727001</v>
      </c>
      <c r="N72" s="255">
        <f t="shared" si="2"/>
        <v>145.9123996296814</v>
      </c>
      <c r="O72" s="226">
        <f t="shared" si="3"/>
        <v>146.28252195424426</v>
      </c>
      <c r="P72" s="260">
        <f t="shared" si="4"/>
        <v>146.65264427880712</v>
      </c>
      <c r="Q72" s="256"/>
      <c r="R72" s="260"/>
      <c r="S72" s="196">
        <f t="shared" si="6"/>
        <v>1.6333989947869512</v>
      </c>
    </row>
    <row r="73" spans="1:19">
      <c r="A73" s="112" t="str">
        <f>'3.4_LC'!A716</f>
        <v>LC-23</v>
      </c>
      <c r="B73" s="112" t="str">
        <f>'3.4_LC'!B716</f>
        <v>NS HFL With LL max reaction case</v>
      </c>
      <c r="C73" s="11"/>
      <c r="D73" s="11"/>
      <c r="E73" s="191"/>
      <c r="F73" s="112">
        <f>'3.4_LC'!F716</f>
        <v>987.19231961656862</v>
      </c>
      <c r="G73" s="112">
        <f>'3.4_LC'!G716</f>
        <v>35.33690240120999</v>
      </c>
      <c r="H73" s="112">
        <f>'3.4_LC'!H716</f>
        <v>3.5397182492142409</v>
      </c>
      <c r="I73" s="112">
        <f>'3.4_LC'!I716</f>
        <v>277.45988812744321</v>
      </c>
      <c r="J73" s="112">
        <f>'3.4_LC'!J716</f>
        <v>-16.436467998624199</v>
      </c>
      <c r="K73" s="226">
        <f t="shared" si="5"/>
        <v>139.98274427605077</v>
      </c>
      <c r="L73" s="226">
        <f t="shared" si="0"/>
        <v>138.84132288725743</v>
      </c>
      <c r="M73" s="226">
        <f t="shared" si="1"/>
        <v>137.6999014984641</v>
      </c>
      <c r="N73" s="255">
        <f t="shared" si="2"/>
        <v>191.36420504039211</v>
      </c>
      <c r="O73" s="226">
        <f t="shared" si="3"/>
        <v>190.22278365159877</v>
      </c>
      <c r="P73" s="260">
        <f t="shared" si="4"/>
        <v>189.08136226280544</v>
      </c>
      <c r="Q73" s="256"/>
      <c r="R73" s="260"/>
      <c r="S73" s="196">
        <f t="shared" si="6"/>
        <v>5.9189579521053011</v>
      </c>
    </row>
    <row r="74" spans="1:19">
      <c r="A74" s="112" t="str">
        <f>'3.4_LC'!A741</f>
        <v>LC-24</v>
      </c>
      <c r="B74" s="112" t="str">
        <f>'3.4_LC'!B741</f>
        <v>NS HFL With LL max moment case</v>
      </c>
      <c r="C74" s="11"/>
      <c r="D74" s="11"/>
      <c r="E74" s="191"/>
      <c r="F74" s="112">
        <f>'3.4_LC'!F741</f>
        <v>974.74609104513991</v>
      </c>
      <c r="G74" s="112">
        <f>'3.4_LC'!G741</f>
        <v>33.283850401209982</v>
      </c>
      <c r="H74" s="112">
        <f>'3.4_LC'!H741</f>
        <v>3.5397182492142409</v>
      </c>
      <c r="I74" s="112">
        <f>'3.4_LC'!I741</f>
        <v>319.39790328172887</v>
      </c>
      <c r="J74" s="112">
        <f>'3.4_LC'!J741</f>
        <v>-14.506181288199492</v>
      </c>
      <c r="K74" s="226">
        <f t="shared" si="5"/>
        <v>133.89117560793267</v>
      </c>
      <c r="L74" s="226">
        <f t="shared" si="0"/>
        <v>132.88380190736325</v>
      </c>
      <c r="M74" s="226">
        <f t="shared" si="1"/>
        <v>131.87642820679383</v>
      </c>
      <c r="N74" s="255">
        <f t="shared" si="2"/>
        <v>193.03893547491947</v>
      </c>
      <c r="O74" s="226">
        <f t="shared" si="3"/>
        <v>192.03156177435005</v>
      </c>
      <c r="P74" s="260">
        <f t="shared" si="4"/>
        <v>191.02418807378064</v>
      </c>
      <c r="Q74" s="256"/>
      <c r="R74" s="260"/>
      <c r="S74" s="196">
        <f t="shared" si="6"/>
        <v>5.5785907788764328</v>
      </c>
    </row>
    <row r="75" spans="1:19">
      <c r="K75" s="226"/>
      <c r="L75" s="226"/>
      <c r="M75" s="226"/>
      <c r="N75" s="255"/>
      <c r="O75" s="226"/>
      <c r="P75" s="260"/>
      <c r="Q75" s="256"/>
      <c r="R75" s="260"/>
      <c r="S75" s="196"/>
    </row>
    <row r="76" spans="1:19">
      <c r="A76" s="112" t="str">
        <f>'3.4_LC'!A776</f>
        <v>LC-25</v>
      </c>
      <c r="B76" s="112" t="str">
        <f>'3.4_LC'!B776</f>
        <v>LC-21 + Seismic Sx=1,Sz=0.3,Sy=-0.3 (50% seismic)</v>
      </c>
      <c r="C76" s="11"/>
      <c r="D76" s="11"/>
      <c r="E76" s="191"/>
      <c r="F76" s="112">
        <f>'3.4_LC'!F776</f>
        <v>580.17011374919184</v>
      </c>
      <c r="G76" s="112">
        <f>'3.4_LC'!G776</f>
        <v>104.58837085761958</v>
      </c>
      <c r="H76" s="112">
        <f>'3.4_LC'!H776</f>
        <v>22.429004100422837</v>
      </c>
      <c r="I76" s="112">
        <f>'3.4_LC'!I776</f>
        <v>765.65783639484573</v>
      </c>
      <c r="J76" s="112">
        <f>'3.4_LC'!J776</f>
        <v>102.38102020795534</v>
      </c>
      <c r="K76" s="226">
        <f t="shared" si="5"/>
        <v>18.690981777567899</v>
      </c>
      <c r="L76" s="226">
        <f t="shared" si="0"/>
        <v>25.800774847564796</v>
      </c>
      <c r="M76" s="226">
        <f t="shared" si="1"/>
        <v>32.910567917561693</v>
      </c>
      <c r="N76" s="255">
        <f t="shared" si="2"/>
        <v>160.47946999883561</v>
      </c>
      <c r="O76" s="226">
        <f t="shared" si="3"/>
        <v>167.58926306883251</v>
      </c>
      <c r="P76" s="260">
        <f t="shared" si="4"/>
        <v>174.69905613882941</v>
      </c>
      <c r="Q76" s="256"/>
      <c r="R76" s="260"/>
      <c r="S76" s="196">
        <f t="shared" si="6"/>
        <v>17.827715270508627</v>
      </c>
    </row>
    <row r="77" spans="1:19">
      <c r="A77" s="112" t="str">
        <f>'3.4_LC'!A811</f>
        <v>LC-26</v>
      </c>
      <c r="B77" s="112" t="str">
        <f>'3.4_LC'!B811</f>
        <v>LC-21 + Seismic Sx=0.3,Sz=1,Sy=-0.3 (50% seismic)</v>
      </c>
      <c r="C77" s="11"/>
      <c r="D77" s="11"/>
      <c r="E77" s="191"/>
      <c r="F77" s="112">
        <f>'3.4_LC'!F811</f>
        <v>580.17011374919184</v>
      </c>
      <c r="G77" s="112">
        <f>'3.4_LC'!G811</f>
        <v>43.919548538132858</v>
      </c>
      <c r="H77" s="112">
        <f>'3.4_LC'!H811</f>
        <v>66.504004419909563</v>
      </c>
      <c r="I77" s="112">
        <f>'3.4_LC'!I811</f>
        <v>415.99642738566394</v>
      </c>
      <c r="J77" s="112">
        <f>'3.4_LC'!J811</f>
        <v>328.83395725453886</v>
      </c>
      <c r="K77" s="226">
        <f t="shared" si="5"/>
        <v>35.341139761294201</v>
      </c>
      <c r="L77" s="226">
        <f t="shared" si="0"/>
        <v>58.176831237303844</v>
      </c>
      <c r="M77" s="226">
        <f t="shared" si="1"/>
        <v>81.012522713313487</v>
      </c>
      <c r="N77" s="255">
        <f t="shared" si="2"/>
        <v>112.3775152030838</v>
      </c>
      <c r="O77" s="226">
        <f t="shared" si="3"/>
        <v>135.21320667909345</v>
      </c>
      <c r="P77" s="260">
        <f t="shared" si="4"/>
        <v>158.04889815510307</v>
      </c>
      <c r="Q77" s="256"/>
      <c r="R77" s="260"/>
      <c r="S77" s="196">
        <f t="shared" si="6"/>
        <v>13.282935322013687</v>
      </c>
    </row>
    <row r="78" spans="1:19">
      <c r="A78" s="112" t="str">
        <f>'3.4_LC'!A846</f>
        <v>LC-27</v>
      </c>
      <c r="B78" s="112" t="str">
        <f>'3.4_LC'!B846</f>
        <v>LC-21 + Seismic Sx=1,Sz=0.3,Sy=0.3 (50% seismic)</v>
      </c>
      <c r="C78" s="11"/>
      <c r="D78" s="11"/>
      <c r="E78" s="191"/>
      <c r="F78" s="112">
        <f>'3.4_LC'!F846</f>
        <v>601.481150201932</v>
      </c>
      <c r="G78" s="112">
        <f>'3.4_LC'!G846</f>
        <v>104.58837085761958</v>
      </c>
      <c r="H78" s="112">
        <f>'3.4_LC'!H846</f>
        <v>22.429004100422837</v>
      </c>
      <c r="I78" s="112">
        <f>'3.4_LC'!I846</f>
        <v>770.19994379484581</v>
      </c>
      <c r="J78" s="112">
        <f>'3.4_LC'!J846</f>
        <v>102.38102020795534</v>
      </c>
      <c r="K78" s="226">
        <f t="shared" si="5"/>
        <v>21.82225568635792</v>
      </c>
      <c r="L78" s="226">
        <f t="shared" si="0"/>
        <v>28.932048756354817</v>
      </c>
      <c r="M78" s="226">
        <f t="shared" si="1"/>
        <v>36.041841826351714</v>
      </c>
      <c r="N78" s="255">
        <f t="shared" si="2"/>
        <v>164.45187490762561</v>
      </c>
      <c r="O78" s="226">
        <f t="shared" si="3"/>
        <v>171.56166797762251</v>
      </c>
      <c r="P78" s="260">
        <f t="shared" si="4"/>
        <v>178.6714610476194</v>
      </c>
      <c r="Q78" s="256"/>
      <c r="R78" s="260"/>
      <c r="S78" s="196">
        <f t="shared" si="6"/>
        <v>17.827715270508627</v>
      </c>
    </row>
    <row r="79" spans="1:19">
      <c r="A79" s="112" t="str">
        <f>'3.4_LC'!A881</f>
        <v>LC-28</v>
      </c>
      <c r="B79" s="112" t="str">
        <f>'3.4_LC'!B881</f>
        <v>LC-21 + Seismic Sx=0.3,Sz=1,Sy=0.3 (50% seismic)</v>
      </c>
      <c r="C79" s="11"/>
      <c r="D79" s="11"/>
      <c r="E79" s="191"/>
      <c r="F79" s="112">
        <f>'3.4_LC'!F881</f>
        <v>601.481150201932</v>
      </c>
      <c r="G79" s="112">
        <f>'3.4_LC'!G881</f>
        <v>43.919548538132858</v>
      </c>
      <c r="H79" s="112">
        <f>'3.4_LC'!H881</f>
        <v>66.504004419909563</v>
      </c>
      <c r="I79" s="112">
        <f>'3.4_LC'!I881</f>
        <v>420.5385347856639</v>
      </c>
      <c r="J79" s="112">
        <f>'3.4_LC'!J881</f>
        <v>328.83395725453886</v>
      </c>
      <c r="K79" s="226">
        <f t="shared" si="5"/>
        <v>38.472413670084222</v>
      </c>
      <c r="L79" s="226">
        <f t="shared" si="0"/>
        <v>61.308105146093865</v>
      </c>
      <c r="M79" s="226">
        <f t="shared" si="1"/>
        <v>84.143796622103508</v>
      </c>
      <c r="N79" s="255">
        <f t="shared" si="2"/>
        <v>116.3499201118738</v>
      </c>
      <c r="O79" s="226">
        <f t="shared" si="3"/>
        <v>139.18561158788344</v>
      </c>
      <c r="P79" s="260">
        <f t="shared" si="4"/>
        <v>162.02130306389307</v>
      </c>
      <c r="Q79" s="256"/>
      <c r="R79" s="260"/>
      <c r="S79" s="196">
        <f t="shared" si="6"/>
        <v>13.282935322013687</v>
      </c>
    </row>
    <row r="80" spans="1:19">
      <c r="K80" s="226"/>
      <c r="L80" s="226"/>
      <c r="M80" s="226"/>
      <c r="N80" s="255"/>
      <c r="O80" s="226"/>
      <c r="P80" s="260"/>
      <c r="Q80" s="256"/>
      <c r="R80" s="260"/>
      <c r="S80" s="196"/>
    </row>
    <row r="81" spans="1:19">
      <c r="A81" s="112" t="str">
        <f>'3.4_LC'!A921</f>
        <v>LC-29</v>
      </c>
      <c r="B81" s="112" t="str">
        <f>'3.4_LC'!B921</f>
        <v>LC-22 + Seismic Sx=1,Sz=0.3,Sy=-0.3</v>
      </c>
      <c r="C81" s="11"/>
      <c r="D81" s="11"/>
      <c r="E81" s="191"/>
      <c r="F81" s="112">
        <f>'3.4_LC'!F921</f>
        <v>852.69241152282154</v>
      </c>
      <c r="G81" s="112">
        <f>'3.4_LC'!G921</f>
        <v>182.4783170283149</v>
      </c>
      <c r="H81" s="112">
        <f>'3.4_LC'!H921</f>
        <v>55.541565951631426</v>
      </c>
      <c r="I81" s="112">
        <f>'3.4_LC'!I921</f>
        <v>1054.5599446793913</v>
      </c>
      <c r="J81" s="112">
        <f>'3.4_LC'!J921</f>
        <v>329.36246781997829</v>
      </c>
      <c r="K81" s="226">
        <f t="shared" si="5"/>
        <v>21.598568999694805</v>
      </c>
      <c r="L81" s="226">
        <f t="shared" si="0"/>
        <v>44.470962598304411</v>
      </c>
      <c r="M81" s="226">
        <f t="shared" si="1"/>
        <v>67.343356196914016</v>
      </c>
      <c r="N81" s="255">
        <f t="shared" si="2"/>
        <v>216.88744764402645</v>
      </c>
      <c r="O81" s="226">
        <f t="shared" si="3"/>
        <v>239.75984124263607</v>
      </c>
      <c r="P81" s="260">
        <f t="shared" si="4"/>
        <v>262.63223484124569</v>
      </c>
      <c r="Q81" s="256"/>
      <c r="R81" s="260"/>
      <c r="S81" s="196">
        <f t="shared" si="6"/>
        <v>31.790635297313941</v>
      </c>
    </row>
    <row r="82" spans="1:19">
      <c r="A82" s="112" t="str">
        <f>'3.4_LC'!A961</f>
        <v>LC-30</v>
      </c>
      <c r="B82" s="112" t="str">
        <f>'3.4_LC'!B961</f>
        <v>LC-22 + Seismic Sx=0.3,Sz=1,Sy=-0.3</v>
      </c>
      <c r="C82" s="11"/>
      <c r="D82" s="11"/>
      <c r="E82" s="191"/>
      <c r="F82" s="112">
        <f>'3.4_LC'!F961</f>
        <v>852.69241152282154</v>
      </c>
      <c r="G82" s="112">
        <f>'3.4_LC'!G961</f>
        <v>61.140672389341454</v>
      </c>
      <c r="H82" s="112">
        <f>'3.4_LC'!H961</f>
        <v>176.87921059060486</v>
      </c>
      <c r="I82" s="112">
        <f>'3.4_LC'!I961</f>
        <v>355.23712666102756</v>
      </c>
      <c r="J82" s="112">
        <f>'3.4_LC'!J961</f>
        <v>1085.4387826279487</v>
      </c>
      <c r="K82" s="226">
        <f t="shared" si="5"/>
        <v>33.845382139730532</v>
      </c>
      <c r="L82" s="226">
        <f t="shared" si="0"/>
        <v>109.22307537778252</v>
      </c>
      <c r="M82" s="226">
        <f t="shared" si="1"/>
        <v>184.60076861583451</v>
      </c>
      <c r="N82" s="255">
        <f t="shared" si="2"/>
        <v>99.630035225105985</v>
      </c>
      <c r="O82" s="226">
        <f t="shared" si="3"/>
        <v>175.00772846315797</v>
      </c>
      <c r="P82" s="260">
        <f t="shared" si="4"/>
        <v>250.38542170120996</v>
      </c>
      <c r="Q82" s="256"/>
      <c r="R82" s="260"/>
      <c r="S82" s="196">
        <f t="shared" si="6"/>
        <v>31.191361410642887</v>
      </c>
    </row>
    <row r="83" spans="1:19">
      <c r="A83" s="112" t="str">
        <f>'3.4_LC'!A1001</f>
        <v>LC-31</v>
      </c>
      <c r="B83" s="112" t="str">
        <f>'3.4_LC'!B1001</f>
        <v>LC-22 + Seismic Sx=1,Sz=0.3,Sy=0.3</v>
      </c>
      <c r="C83" s="11"/>
      <c r="D83" s="11"/>
      <c r="E83" s="191"/>
      <c r="F83" s="112">
        <f>'3.4_LC'!F1001</f>
        <v>914.27885242830223</v>
      </c>
      <c r="G83" s="112">
        <f>'3.4_LC'!G1001</f>
        <v>182.4783170283149</v>
      </c>
      <c r="H83" s="112">
        <f>'3.4_LC'!H1001</f>
        <v>55.541565951631426</v>
      </c>
      <c r="I83" s="112">
        <f>'3.4_LC'!I1001</f>
        <v>1054.5599446793913</v>
      </c>
      <c r="J83" s="112">
        <f>'3.4_LC'!J1001</f>
        <v>329.36246781997829</v>
      </c>
      <c r="K83" s="226">
        <f t="shared" si="5"/>
        <v>31.862975817274929</v>
      </c>
      <c r="L83" s="226">
        <f t="shared" si="0"/>
        <v>54.735369415884534</v>
      </c>
      <c r="M83" s="226">
        <f t="shared" si="1"/>
        <v>77.607763014494139</v>
      </c>
      <c r="N83" s="255">
        <f t="shared" si="2"/>
        <v>227.1518544616066</v>
      </c>
      <c r="O83" s="226">
        <f t="shared" si="3"/>
        <v>250.02424806021622</v>
      </c>
      <c r="P83" s="260">
        <f t="shared" si="4"/>
        <v>272.89664165882584</v>
      </c>
      <c r="Q83" s="256"/>
      <c r="R83" s="260"/>
      <c r="S83" s="196">
        <f t="shared" si="6"/>
        <v>31.790635297313941</v>
      </c>
    </row>
    <row r="84" spans="1:19">
      <c r="A84" s="112" t="str">
        <f>'3.4_LC'!A1041</f>
        <v>LC-32</v>
      </c>
      <c r="B84" s="112" t="str">
        <f>'3.4_LC'!B1041</f>
        <v>LC-22 + Seismic Sx=0.3,Sz=1,Sy=0.3</v>
      </c>
      <c r="C84" s="11"/>
      <c r="D84" s="11"/>
      <c r="E84" s="191"/>
      <c r="F84" s="112">
        <f>'3.4_LC'!F1041</f>
        <v>914.27885242830223</v>
      </c>
      <c r="G84" s="112">
        <f>'3.4_LC'!G1041</f>
        <v>61.140672389341454</v>
      </c>
      <c r="H84" s="112">
        <f>'3.4_LC'!H1041</f>
        <v>176.87921059060486</v>
      </c>
      <c r="I84" s="112">
        <f>'3.4_LC'!I1041</f>
        <v>355.23712666102756</v>
      </c>
      <c r="J84" s="112">
        <f>'3.4_LC'!J1041</f>
        <v>1085.4387826279487</v>
      </c>
      <c r="K84" s="226">
        <f t="shared" si="5"/>
        <v>44.109788957310656</v>
      </c>
      <c r="L84" s="226">
        <f t="shared" si="0"/>
        <v>119.48748219536265</v>
      </c>
      <c r="M84" s="226">
        <f t="shared" si="1"/>
        <v>194.86517543341463</v>
      </c>
      <c r="N84" s="255">
        <f t="shared" si="2"/>
        <v>109.89444204268611</v>
      </c>
      <c r="O84" s="226">
        <f t="shared" si="3"/>
        <v>185.2721352807381</v>
      </c>
      <c r="P84" s="260">
        <f t="shared" si="4"/>
        <v>260.64982851879006</v>
      </c>
      <c r="Q84" s="256"/>
      <c r="R84" s="260"/>
      <c r="S84" s="196">
        <f t="shared" si="6"/>
        <v>31.191361410642887</v>
      </c>
    </row>
    <row r="85" spans="1:19">
      <c r="K85" s="226"/>
      <c r="L85" s="226"/>
      <c r="M85" s="226"/>
      <c r="N85" s="255"/>
      <c r="O85" s="226"/>
      <c r="P85" s="260"/>
      <c r="Q85" s="256"/>
      <c r="R85" s="260"/>
      <c r="S85" s="196"/>
    </row>
    <row r="86" spans="1:19">
      <c r="A86" s="112" t="str">
        <f>'3.4_LC'!A1087</f>
        <v>LC-33</v>
      </c>
      <c r="B86" s="112" t="str">
        <f>'3.4_LC'!B1087</f>
        <v>LC-23 + Seismic Sx=1,Sz=0.3,Sy=-0.3</v>
      </c>
      <c r="C86" s="11"/>
      <c r="D86" s="11"/>
      <c r="E86" s="191"/>
      <c r="F86" s="112">
        <f>'3.4_LC'!F1087</f>
        <v>879.85211415139281</v>
      </c>
      <c r="G86" s="112">
        <f>'3.4_LC'!G1087</f>
        <v>181.17911702831489</v>
      </c>
      <c r="H86" s="112">
        <f>'3.4_LC'!H1087</f>
        <v>56.905726294488566</v>
      </c>
      <c r="I86" s="112">
        <f>'3.4_LC'!I1087</f>
        <v>1044.7725793856771</v>
      </c>
      <c r="J86" s="112">
        <f>'3.4_LC'!J1087</f>
        <v>340.10828525192164</v>
      </c>
      <c r="K86" s="226">
        <f t="shared" si="5"/>
        <v>26.285186309989729</v>
      </c>
      <c r="L86" s="226">
        <f t="shared" si="0"/>
        <v>49.903817230262064</v>
      </c>
      <c r="M86" s="226">
        <f t="shared" si="1"/>
        <v>73.522448150534402</v>
      </c>
      <c r="N86" s="255">
        <f t="shared" si="2"/>
        <v>219.7615898999299</v>
      </c>
      <c r="O86" s="226">
        <f t="shared" si="3"/>
        <v>243.38022082020223</v>
      </c>
      <c r="P86" s="260">
        <f t="shared" si="4"/>
        <v>266.99885174047455</v>
      </c>
      <c r="Q86" s="256"/>
      <c r="R86" s="260"/>
      <c r="S86" s="196">
        <f t="shared" si="6"/>
        <v>31.650932113825249</v>
      </c>
    </row>
    <row r="87" spans="1:19">
      <c r="A87" s="112" t="str">
        <f>'3.4_LC'!A1133</f>
        <v>LC-34</v>
      </c>
      <c r="B87" s="112" t="str">
        <f>'3.4_LC'!B1133</f>
        <v>LC-23 + Seismic Sx=0.3,Sz=1,Sy=-0.3</v>
      </c>
      <c r="C87" s="11"/>
      <c r="D87" s="11"/>
      <c r="E87" s="191"/>
      <c r="F87" s="112">
        <f>'3.4_LC'!F1133</f>
        <v>879.85211415139281</v>
      </c>
      <c r="G87" s="112">
        <f>'3.4_LC'!G1133</f>
        <v>59.841472389341455</v>
      </c>
      <c r="H87" s="112">
        <f>'3.4_LC'!H1133</f>
        <v>181.426411733462</v>
      </c>
      <c r="I87" s="112">
        <f>'3.4_LC'!I1133</f>
        <v>345.44976136731327</v>
      </c>
      <c r="J87" s="112">
        <f>'3.4_LC'!J1133</f>
        <v>1131.086642431892</v>
      </c>
      <c r="K87" s="226">
        <f t="shared" si="5"/>
        <v>36.108246507525465</v>
      </c>
      <c r="L87" s="226">
        <f t="shared" si="0"/>
        <v>114.65593000974017</v>
      </c>
      <c r="M87" s="226">
        <f t="shared" si="1"/>
        <v>193.20361351195487</v>
      </c>
      <c r="N87" s="255">
        <f t="shared" si="2"/>
        <v>100.08042453850939</v>
      </c>
      <c r="O87" s="226">
        <f t="shared" si="3"/>
        <v>178.6281080407241</v>
      </c>
      <c r="P87" s="260">
        <f t="shared" si="4"/>
        <v>257.17579154293878</v>
      </c>
      <c r="Q87" s="256"/>
      <c r="R87" s="260"/>
      <c r="S87" s="196">
        <f t="shared" si="6"/>
        <v>31.840114762933528</v>
      </c>
    </row>
    <row r="88" spans="1:19">
      <c r="A88" s="112" t="str">
        <f>'3.4_LC'!A1179</f>
        <v>LC-35</v>
      </c>
      <c r="B88" s="112" t="str">
        <f>'3.4_LC'!B1179</f>
        <v>LC-23 + Seismic Sx=1,Sz=0.3,Sy=0.3</v>
      </c>
      <c r="C88" s="11"/>
      <c r="D88" s="11"/>
      <c r="E88" s="191"/>
      <c r="F88" s="112">
        <f>'3.4_LC'!F1179</f>
        <v>943.25743551401649</v>
      </c>
      <c r="G88" s="112">
        <f>'3.4_LC'!G1179</f>
        <v>181.17911702831489</v>
      </c>
      <c r="H88" s="112">
        <f>'3.4_LC'!H1179</f>
        <v>56.905726294488566</v>
      </c>
      <c r="I88" s="112">
        <f>'3.4_LC'!I1179</f>
        <v>1044.8375408302486</v>
      </c>
      <c r="J88" s="112">
        <f>'3.4_LC'!J1179</f>
        <v>339.82619491796027</v>
      </c>
      <c r="K88" s="226">
        <f t="shared" si="5"/>
        <v>36.866314528380656</v>
      </c>
      <c r="L88" s="226">
        <f t="shared" si="0"/>
        <v>60.465355842127892</v>
      </c>
      <c r="M88" s="226">
        <f t="shared" si="1"/>
        <v>84.064397155875128</v>
      </c>
      <c r="N88" s="255">
        <f t="shared" si="2"/>
        <v>230.35474801546366</v>
      </c>
      <c r="O88" s="226">
        <f t="shared" si="3"/>
        <v>253.95378932921091</v>
      </c>
      <c r="P88" s="260">
        <f t="shared" si="4"/>
        <v>277.55283064295816</v>
      </c>
      <c r="Q88" s="256"/>
      <c r="R88" s="260"/>
      <c r="S88" s="196">
        <f t="shared" si="6"/>
        <v>31.650932113825249</v>
      </c>
    </row>
    <row r="89" spans="1:19">
      <c r="A89" s="112" t="str">
        <f>'3.4_LC'!A1225</f>
        <v>LC-36</v>
      </c>
      <c r="B89" s="112" t="str">
        <f>'3.4_LC'!B1225</f>
        <v>LC-23 + Seismic Sx=0.3,Sz=1,Sy=0.3</v>
      </c>
      <c r="C89" s="11"/>
      <c r="D89" s="11"/>
      <c r="E89" s="191"/>
      <c r="F89" s="112">
        <f>'3.4_LC'!F1225</f>
        <v>943.25743551401649</v>
      </c>
      <c r="G89" s="112">
        <f>'3.4_LC'!G1225</f>
        <v>59.841472389341455</v>
      </c>
      <c r="H89" s="112">
        <f>'3.4_LC'!H1225</f>
        <v>181.426411733462</v>
      </c>
      <c r="I89" s="112">
        <f>'3.4_LC'!I1225</f>
        <v>345.51472281188467</v>
      </c>
      <c r="J89" s="112">
        <f>'3.4_LC'!J1225</f>
        <v>1130.8045520979308</v>
      </c>
      <c r="K89" s="226">
        <f t="shared" si="5"/>
        <v>46.68937472591638</v>
      </c>
      <c r="L89" s="226">
        <f t="shared" si="0"/>
        <v>125.21746862160602</v>
      </c>
      <c r="M89" s="226">
        <f t="shared" si="1"/>
        <v>203.74556251729564</v>
      </c>
      <c r="N89" s="255">
        <f t="shared" si="2"/>
        <v>110.67358265404314</v>
      </c>
      <c r="O89" s="226">
        <f t="shared" si="3"/>
        <v>189.20167654973278</v>
      </c>
      <c r="P89" s="260">
        <f t="shared" si="4"/>
        <v>267.72977044542245</v>
      </c>
      <c r="Q89" s="256"/>
      <c r="R89" s="260"/>
      <c r="S89" s="196">
        <f t="shared" si="6"/>
        <v>31.840114762933528</v>
      </c>
    </row>
    <row r="90" spans="1:19">
      <c r="K90" s="226"/>
      <c r="L90" s="226"/>
      <c r="M90" s="226"/>
      <c r="N90" s="255"/>
      <c r="O90" s="226"/>
      <c r="P90" s="260"/>
      <c r="Q90" s="256"/>
      <c r="R90" s="260"/>
      <c r="S90" s="196"/>
    </row>
    <row r="91" spans="1:19">
      <c r="A91" s="112" t="str">
        <f>'3.4_LC'!A1270</f>
        <v>LC-37</v>
      </c>
      <c r="B91" s="112" t="str">
        <f>'3.4_LC'!B1270</f>
        <v>LC-24 + Seismic Sx=1,Sz=0.3,Sy=-0.3</v>
      </c>
      <c r="C91" s="11"/>
      <c r="D91" s="11"/>
      <c r="E91" s="191"/>
      <c r="F91" s="112">
        <f>'3.4_LC'!F1270</f>
        <v>877.44351999825005</v>
      </c>
      <c r="G91" s="112">
        <f>'3.4_LC'!G1270</f>
        <v>181.17911702831489</v>
      </c>
      <c r="H91" s="112">
        <f>'3.4_LC'!H1270</f>
        <v>50.972731929467606</v>
      </c>
      <c r="I91" s="112">
        <f>'3.4_LC'!I1270</f>
        <v>1056.1781229171058</v>
      </c>
      <c r="J91" s="112">
        <f>'3.4_LC'!J1270</f>
        <v>327.90148016191205</v>
      </c>
      <c r="K91" s="226">
        <f t="shared" si="5"/>
        <v>25.675379903547277</v>
      </c>
      <c r="L91" s="226">
        <f t="shared" si="0"/>
        <v>48.446316025902277</v>
      </c>
      <c r="M91" s="226">
        <f t="shared" si="1"/>
        <v>71.217252148257273</v>
      </c>
      <c r="N91" s="255">
        <f t="shared" si="2"/>
        <v>221.26392118449274</v>
      </c>
      <c r="O91" s="226">
        <f t="shared" si="3"/>
        <v>244.03485730684775</v>
      </c>
      <c r="P91" s="260">
        <f t="shared" si="4"/>
        <v>266.80579342920277</v>
      </c>
      <c r="Q91" s="256"/>
      <c r="R91" s="260"/>
      <c r="S91" s="196">
        <f t="shared" si="6"/>
        <v>31.36881494924236</v>
      </c>
    </row>
    <row r="92" spans="1:19">
      <c r="A92" s="112" t="str">
        <f>'3.4_LC'!A1315</f>
        <v>LC-38</v>
      </c>
      <c r="B92" s="112" t="str">
        <f>'3.4_LC'!B1315</f>
        <v>LC-24 + Seismic Sx=0.3,Sz=1,Sy=-0.3</v>
      </c>
      <c r="C92" s="11"/>
      <c r="D92" s="11"/>
      <c r="E92" s="191"/>
      <c r="F92" s="112">
        <f>'3.4_LC'!F1315</f>
        <v>877.44351999825005</v>
      </c>
      <c r="G92" s="112">
        <f>'3.4_LC'!G1315</f>
        <v>59.841472389341455</v>
      </c>
      <c r="H92" s="112">
        <f>'3.4_LC'!H1315</f>
        <v>161.6497638500588</v>
      </c>
      <c r="I92" s="112">
        <f>'3.4_LC'!I1315</f>
        <v>356.85530489874179</v>
      </c>
      <c r="J92" s="112">
        <f>'3.4_LC'!J1315</f>
        <v>1089.5256776020572</v>
      </c>
      <c r="K92" s="226">
        <f t="shared" si="5"/>
        <v>37.536923416348657</v>
      </c>
      <c r="L92" s="226">
        <f t="shared" si="0"/>
        <v>113.1984288053804</v>
      </c>
      <c r="M92" s="226">
        <f t="shared" si="1"/>
        <v>188.85993419441215</v>
      </c>
      <c r="N92" s="255">
        <f t="shared" si="2"/>
        <v>103.62123913833788</v>
      </c>
      <c r="O92" s="226">
        <f t="shared" si="3"/>
        <v>179.28274452736963</v>
      </c>
      <c r="P92" s="260">
        <f t="shared" si="4"/>
        <v>254.94424991640136</v>
      </c>
      <c r="Q92" s="256"/>
      <c r="R92" s="260"/>
      <c r="S92" s="196">
        <f t="shared" si="6"/>
        <v>28.728445045568076</v>
      </c>
    </row>
    <row r="93" spans="1:19">
      <c r="A93" s="112" t="str">
        <f>'3.4_LC'!A1360</f>
        <v>LC-39</v>
      </c>
      <c r="B93" s="112" t="str">
        <f>'3.4_LC'!B1360</f>
        <v>LC-24 + Seismic Sx=1,Sz=0.3,Sy=0.3</v>
      </c>
      <c r="C93" s="11"/>
      <c r="D93" s="11"/>
      <c r="E93" s="191"/>
      <c r="F93" s="112">
        <f>'3.4_LC'!F1360</f>
        <v>940.68753823858799</v>
      </c>
      <c r="G93" s="112">
        <f>'3.4_LC'!G1360</f>
        <v>181.17911702831489</v>
      </c>
      <c r="H93" s="112">
        <f>'3.4_LC'!H1360</f>
        <v>50.972731929467606</v>
      </c>
      <c r="I93" s="112">
        <f>'3.4_LC'!I1360</f>
        <v>1057.0069115845342</v>
      </c>
      <c r="J93" s="112">
        <f>'3.4_LC'!J1360</f>
        <v>327.64440634371778</v>
      </c>
      <c r="K93" s="226">
        <f t="shared" si="5"/>
        <v>36.157162267327408</v>
      </c>
      <c r="L93" s="226">
        <f t="shared" si="0"/>
        <v>58.9102460411967</v>
      </c>
      <c r="M93" s="226">
        <f t="shared" si="1"/>
        <v>81.663329815065993</v>
      </c>
      <c r="N93" s="255">
        <f t="shared" si="2"/>
        <v>231.89918293112999</v>
      </c>
      <c r="O93" s="226">
        <f t="shared" si="3"/>
        <v>254.65226670499928</v>
      </c>
      <c r="P93" s="260">
        <f t="shared" si="4"/>
        <v>277.40535047886857</v>
      </c>
      <c r="Q93" s="256"/>
      <c r="R93" s="260"/>
      <c r="S93" s="196">
        <f t="shared" si="6"/>
        <v>31.36881494924236</v>
      </c>
    </row>
    <row r="94" spans="1:19">
      <c r="A94" s="112" t="str">
        <f>'3.4_LC'!A1405</f>
        <v>LC-40</v>
      </c>
      <c r="B94" s="112" t="str">
        <f>'3.4_LC'!B1405</f>
        <v>LC-24 + Seismic Sx=0.3,Sz=1,Sy=0.3</v>
      </c>
      <c r="C94" s="11"/>
      <c r="D94" s="11"/>
      <c r="E94" s="191"/>
      <c r="F94" s="112">
        <f>'3.4_LC'!F1405</f>
        <v>940.68753823858799</v>
      </c>
      <c r="G94" s="112">
        <f>'3.4_LC'!G1405</f>
        <v>59.841472389341455</v>
      </c>
      <c r="H94" s="112">
        <f>'3.4_LC'!H1405</f>
        <v>161.6497638500588</v>
      </c>
      <c r="I94" s="112">
        <f>'3.4_LC'!I1405</f>
        <v>357.68409356617042</v>
      </c>
      <c r="J94" s="112">
        <f>'3.4_LC'!J1405</f>
        <v>1089.2686037838628</v>
      </c>
      <c r="K94" s="226">
        <f t="shared" si="5"/>
        <v>48.018705780128784</v>
      </c>
      <c r="L94" s="226">
        <f t="shared" si="0"/>
        <v>123.66235882067481</v>
      </c>
      <c r="M94" s="226">
        <f t="shared" si="1"/>
        <v>199.30601186122084</v>
      </c>
      <c r="N94" s="255">
        <f t="shared" si="2"/>
        <v>114.25650088497515</v>
      </c>
      <c r="O94" s="226">
        <f t="shared" si="3"/>
        <v>189.90015392552118</v>
      </c>
      <c r="P94" s="260">
        <f t="shared" si="4"/>
        <v>265.54380696606722</v>
      </c>
      <c r="Q94" s="256"/>
      <c r="R94" s="260"/>
      <c r="S94" s="196">
        <f t="shared" si="6"/>
        <v>28.728445045568076</v>
      </c>
    </row>
  </sheetData>
  <mergeCells count="3">
    <mergeCell ref="S43:S44"/>
    <mergeCell ref="F43:J43"/>
    <mergeCell ref="K43:R43"/>
  </mergeCells>
  <pageMargins left="0.70866141732283505" right="0.70866141732283505" top="0.74803149606299202" bottom="0.74803149606299202" header="0.31496062992126" footer="0.31496062992126"/>
  <pageSetup paperSize="9" scale="88" orientation="landscape" blackAndWhite="1" r:id="rId1"/>
  <rowBreaks count="2" manualBreakCount="2">
    <brk id="37" max="18" man="1"/>
    <brk id="75" max="18" man="1"/>
  </rowBreaks>
  <drawing r:id="rId2"/>
  <legacyDrawing r:id="rId3"/>
  <oleObjects>
    <oleObject progId="Equation.3" shapeId="108740" r:id="rId4"/>
  </oleObjects>
</worksheet>
</file>

<file path=xl/worksheets/sheet2.xml><?xml version="1.0" encoding="utf-8"?>
<worksheet xmlns="http://schemas.openxmlformats.org/spreadsheetml/2006/main" xmlns:r="http://schemas.openxmlformats.org/officeDocument/2006/relationships">
  <sheetPr codeName="Sheet3"/>
  <dimension ref="G15:G16"/>
  <sheetViews>
    <sheetView view="pageBreakPreview" zoomScale="60" workbookViewId="0">
      <selection activeCell="I29" sqref="I29"/>
    </sheetView>
  </sheetViews>
  <sheetFormatPr defaultRowHeight="15"/>
  <sheetData>
    <row r="15" spans="7:7" ht="46.5">
      <c r="G15" s="1281" t="s">
        <v>1781</v>
      </c>
    </row>
    <row r="16" spans="7:7" ht="46.5">
      <c r="G16" s="1281"/>
    </row>
  </sheetData>
  <pageMargins left="0.7" right="0.7" top="0.75" bottom="0.75" header="0.3" footer="0.3"/>
  <pageSetup paperSize="8" orientation="portrait" r:id="rId1"/>
</worksheet>
</file>

<file path=xl/worksheets/sheet20.xml><?xml version="1.0" encoding="utf-8"?>
<worksheet xmlns="http://schemas.openxmlformats.org/spreadsheetml/2006/main" xmlns:r="http://schemas.openxmlformats.org/officeDocument/2006/relationships">
  <sheetPr codeName="Sheet23">
    <tabColor theme="4" tint="0.59999389629810485"/>
  </sheetPr>
  <dimension ref="A1:AO78"/>
  <sheetViews>
    <sheetView view="pageBreakPreview" zoomScaleSheetLayoutView="100" workbookViewId="0">
      <selection activeCell="M33" sqref="M33"/>
    </sheetView>
  </sheetViews>
  <sheetFormatPr defaultColWidth="7.7109375" defaultRowHeight="15"/>
  <cols>
    <col min="1" max="2" width="7.7109375" style="1"/>
    <col min="3" max="3" width="8.7109375" style="1" customWidth="1"/>
    <col min="4" max="16384" width="7.7109375" style="1"/>
  </cols>
  <sheetData>
    <row r="1" spans="1:38">
      <c r="A1" s="533" t="s">
        <v>794</v>
      </c>
      <c r="B1" s="82"/>
      <c r="C1" s="82"/>
      <c r="D1" s="82"/>
      <c r="E1" s="82"/>
      <c r="F1" s="82"/>
      <c r="G1" s="82"/>
      <c r="V1" s="404" t="s">
        <v>774</v>
      </c>
      <c r="W1" s="404" t="s">
        <v>1567</v>
      </c>
    </row>
    <row r="2" spans="1:38">
      <c r="A2" s="533" t="s">
        <v>754</v>
      </c>
      <c r="B2" s="11"/>
      <c r="C2" s="11"/>
      <c r="D2" s="11"/>
      <c r="E2" s="8"/>
      <c r="I2" s="534" t="s">
        <v>755</v>
      </c>
      <c r="J2" s="11"/>
      <c r="K2" s="82"/>
      <c r="L2" s="414"/>
      <c r="M2" s="414"/>
      <c r="N2" s="414"/>
      <c r="O2" s="404" t="s">
        <v>770</v>
      </c>
      <c r="P2" s="404" t="s">
        <v>1521</v>
      </c>
      <c r="R2" s="8" t="s">
        <v>771</v>
      </c>
      <c r="S2" s="8"/>
      <c r="T2" s="414"/>
      <c r="V2" s="404">
        <v>0</v>
      </c>
      <c r="W2" s="404">
        <v>1.98</v>
      </c>
    </row>
    <row r="3" spans="1:38" ht="18.75">
      <c r="A3" s="82"/>
      <c r="B3" s="11"/>
      <c r="C3" s="293"/>
      <c r="D3" s="293"/>
      <c r="E3" s="293"/>
      <c r="I3" s="414"/>
      <c r="J3" s="11"/>
      <c r="K3" s="11"/>
      <c r="L3" s="414"/>
      <c r="M3" s="414"/>
      <c r="N3" s="414"/>
      <c r="O3" s="404">
        <v>0</v>
      </c>
      <c r="P3" s="404">
        <v>2.2000000000000002</v>
      </c>
      <c r="R3" s="430" t="s">
        <v>774</v>
      </c>
      <c r="S3" s="134" t="s">
        <v>2</v>
      </c>
      <c r="V3" s="404">
        <v>0.25</v>
      </c>
      <c r="W3" s="404">
        <v>1.9</v>
      </c>
      <c r="Y3" s="8"/>
      <c r="AA3" s="82" t="s">
        <v>1454</v>
      </c>
      <c r="AB3" s="1" t="s">
        <v>1525</v>
      </c>
      <c r="AE3" s="8"/>
      <c r="AF3" s="8"/>
      <c r="AH3" s="1" t="s">
        <v>1526</v>
      </c>
      <c r="AI3" s="1" t="s">
        <v>1</v>
      </c>
      <c r="AJ3" s="4">
        <v>25</v>
      </c>
      <c r="AK3" s="1" t="s">
        <v>1528</v>
      </c>
    </row>
    <row r="4" spans="1:38" ht="18.75">
      <c r="A4" s="82" t="s">
        <v>142</v>
      </c>
      <c r="B4" s="296" t="s">
        <v>1</v>
      </c>
      <c r="C4" s="535">
        <f>GEN!H23*10</f>
        <v>323082.4972296583</v>
      </c>
      <c r="D4" s="11" t="s">
        <v>756</v>
      </c>
      <c r="E4" s="295"/>
      <c r="I4" s="536" t="s">
        <v>757</v>
      </c>
      <c r="J4" s="11"/>
      <c r="K4" s="11"/>
      <c r="L4" s="296" t="s">
        <v>757</v>
      </c>
      <c r="M4" s="296"/>
      <c r="N4" s="296"/>
      <c r="O4" s="404">
        <v>0.25</v>
      </c>
      <c r="P4" s="404">
        <v>2.15</v>
      </c>
      <c r="R4" s="426">
        <v>0</v>
      </c>
      <c r="S4" s="136">
        <v>0.82</v>
      </c>
      <c r="V4" s="404">
        <v>0.5</v>
      </c>
      <c r="W4" s="404">
        <v>1.82</v>
      </c>
      <c r="Z4" s="1" t="s">
        <v>1526</v>
      </c>
      <c r="AA4" s="1" t="s">
        <v>1527</v>
      </c>
      <c r="AB4" s="1" t="s">
        <v>1034</v>
      </c>
      <c r="AE4" s="82" t="s">
        <v>1454</v>
      </c>
      <c r="AF4" s="296" t="s">
        <v>1</v>
      </c>
      <c r="AG4" s="77">
        <f>AJ4</f>
        <v>0.35599999999999998</v>
      </c>
      <c r="AH4" s="11" t="s">
        <v>759</v>
      </c>
      <c r="AI4" s="1" t="s">
        <v>1</v>
      </c>
      <c r="AJ4" s="1">
        <f>data_polation(AJ3,Z5:AB10,3)*10^3/10^4</f>
        <v>0.35599999999999998</v>
      </c>
      <c r="AK4" s="1" t="s">
        <v>1529</v>
      </c>
      <c r="AL4" s="1" t="s">
        <v>1530</v>
      </c>
    </row>
    <row r="5" spans="1:38" ht="17.25">
      <c r="A5" s="82" t="s">
        <v>132</v>
      </c>
      <c r="B5" s="296" t="s">
        <v>1</v>
      </c>
      <c r="C5" s="535">
        <f>PI()*(H6*100)^4/64</f>
        <v>10178760.197630929</v>
      </c>
      <c r="D5" s="11" t="s">
        <v>758</v>
      </c>
      <c r="I5" s="11"/>
      <c r="J5" s="11"/>
      <c r="K5" s="11"/>
      <c r="L5" s="296"/>
      <c r="M5" s="296"/>
      <c r="N5" s="296"/>
      <c r="O5" s="404">
        <v>0.5</v>
      </c>
      <c r="P5" s="404">
        <v>2.0699999999999998</v>
      </c>
      <c r="R5" s="426">
        <v>0.5</v>
      </c>
      <c r="S5" s="136">
        <v>0.9</v>
      </c>
      <c r="V5" s="404">
        <v>1</v>
      </c>
      <c r="W5" s="404">
        <v>1.69</v>
      </c>
      <c r="Z5" s="1">
        <v>0</v>
      </c>
      <c r="AA5" s="1">
        <v>0.2</v>
      </c>
      <c r="AB5" s="1">
        <v>0.05</v>
      </c>
      <c r="AE5" s="537"/>
      <c r="AF5" s="85"/>
      <c r="AG5" s="537"/>
      <c r="AH5" s="537"/>
    </row>
    <row r="6" spans="1:38">
      <c r="H6" s="524">
        <f>GEN!F97</f>
        <v>1.2</v>
      </c>
      <c r="I6" s="11"/>
      <c r="J6" s="11"/>
      <c r="K6" s="11"/>
      <c r="L6" s="296"/>
      <c r="M6" s="296"/>
      <c r="N6" s="296"/>
      <c r="O6" s="404">
        <v>1</v>
      </c>
      <c r="P6" s="404">
        <v>2.02</v>
      </c>
      <c r="R6" s="426">
        <v>1</v>
      </c>
      <c r="S6" s="136">
        <v>0.93</v>
      </c>
      <c r="V6" s="404">
        <v>2</v>
      </c>
      <c r="W6" s="404">
        <v>1.53</v>
      </c>
      <c r="Z6" s="1">
        <v>4</v>
      </c>
      <c r="AA6" s="1">
        <v>0.4</v>
      </c>
      <c r="AB6" s="1">
        <v>0.2</v>
      </c>
      <c r="AE6" s="82" t="s">
        <v>51</v>
      </c>
      <c r="AF6" s="296" t="s">
        <v>1</v>
      </c>
      <c r="AG6" s="535">
        <f>(C4*C5/AG4)^(1/5)</f>
        <v>391.84261238262303</v>
      </c>
      <c r="AH6" s="535" t="s">
        <v>766</v>
      </c>
    </row>
    <row r="7" spans="1:38" ht="18">
      <c r="A7" s="1" t="s">
        <v>1632</v>
      </c>
      <c r="E7" s="537"/>
      <c r="J7" s="11"/>
      <c r="K7" s="11"/>
      <c r="L7" s="296" t="s">
        <v>760</v>
      </c>
      <c r="M7" s="296"/>
      <c r="N7" s="296"/>
      <c r="O7" s="404">
        <v>2</v>
      </c>
      <c r="P7" s="404">
        <v>1.95</v>
      </c>
      <c r="R7" s="426">
        <v>1.5</v>
      </c>
      <c r="S7" s="136">
        <v>0.94</v>
      </c>
      <c r="V7" s="404">
        <v>3</v>
      </c>
      <c r="W7" s="404">
        <v>1.51</v>
      </c>
      <c r="Z7" s="1">
        <v>10</v>
      </c>
      <c r="AA7" s="1">
        <v>2.5</v>
      </c>
      <c r="AB7" s="1">
        <v>1.4</v>
      </c>
      <c r="AJ7" s="8"/>
    </row>
    <row r="8" spans="1:38" ht="18.75">
      <c r="A8" s="1" t="s">
        <v>1633</v>
      </c>
      <c r="B8" s="1" t="s">
        <v>1</v>
      </c>
      <c r="C8" s="1">
        <f>(0.94+0.68)/2</f>
        <v>0.81</v>
      </c>
      <c r="D8" s="1" t="s">
        <v>1634</v>
      </c>
      <c r="E8" s="11"/>
      <c r="I8" s="11"/>
      <c r="J8" s="11"/>
      <c r="K8" s="11"/>
      <c r="L8" s="11"/>
      <c r="M8" s="11"/>
      <c r="N8" s="11"/>
      <c r="O8" s="404">
        <v>3</v>
      </c>
      <c r="P8" s="404">
        <v>1.9</v>
      </c>
      <c r="R8" s="429">
        <v>2</v>
      </c>
      <c r="S8" s="137">
        <v>0.95</v>
      </c>
      <c r="V8" s="404">
        <v>4</v>
      </c>
      <c r="W8" s="404">
        <v>1.5</v>
      </c>
      <c r="Z8" s="1">
        <v>35</v>
      </c>
      <c r="AA8" s="1">
        <v>7.5</v>
      </c>
      <c r="AB8" s="1">
        <v>5</v>
      </c>
    </row>
    <row r="9" spans="1:38" ht="18">
      <c r="A9" s="1138" t="s">
        <v>1635</v>
      </c>
      <c r="H9" s="528"/>
      <c r="I9" s="536" t="s">
        <v>761</v>
      </c>
      <c r="O9" s="404">
        <v>4</v>
      </c>
      <c r="P9" s="404">
        <v>1.88</v>
      </c>
      <c r="V9" s="404">
        <v>6</v>
      </c>
      <c r="W9" s="404">
        <v>1.5</v>
      </c>
      <c r="Z9" s="1">
        <v>100</v>
      </c>
      <c r="AA9" s="1">
        <v>20</v>
      </c>
      <c r="AB9" s="1">
        <v>12</v>
      </c>
    </row>
    <row r="10" spans="1:38">
      <c r="O10" s="404">
        <v>6</v>
      </c>
      <c r="P10" s="404">
        <v>1.87</v>
      </c>
      <c r="R10" s="8"/>
      <c r="S10" s="8"/>
      <c r="V10" s="404">
        <v>8</v>
      </c>
      <c r="W10" s="404">
        <v>1.5</v>
      </c>
      <c r="Z10" s="1">
        <v>150</v>
      </c>
      <c r="AA10" s="1">
        <v>20</v>
      </c>
      <c r="AB10" s="1">
        <v>12</v>
      </c>
      <c r="AI10" s="8"/>
      <c r="AJ10" s="8"/>
    </row>
    <row r="11" spans="1:38">
      <c r="A11" s="1" t="s">
        <v>1558</v>
      </c>
      <c r="B11" s="296"/>
      <c r="C11" s="296"/>
      <c r="D11" s="11"/>
      <c r="O11" s="404">
        <v>8</v>
      </c>
      <c r="P11" s="404">
        <v>1.86</v>
      </c>
      <c r="R11" s="8"/>
      <c r="S11" s="8"/>
      <c r="V11" s="404">
        <v>10</v>
      </c>
      <c r="W11" s="404">
        <v>1.5</v>
      </c>
      <c r="AI11" s="8"/>
      <c r="AJ11" s="8"/>
    </row>
    <row r="12" spans="1:38" ht="17.25">
      <c r="A12" s="82" t="s">
        <v>1559</v>
      </c>
      <c r="B12" s="12" t="s">
        <v>1</v>
      </c>
      <c r="C12" s="77">
        <f>0.9+0.9/0.5*(C8-0.5)</f>
        <v>1.4580000000000002</v>
      </c>
      <c r="D12" s="11" t="s">
        <v>759</v>
      </c>
      <c r="E12" s="1138"/>
      <c r="O12" s="33">
        <v>10</v>
      </c>
      <c r="P12" s="33">
        <v>1.85</v>
      </c>
      <c r="R12" s="8"/>
      <c r="S12" s="8"/>
      <c r="V12" s="404">
        <v>20</v>
      </c>
      <c r="W12" s="404">
        <v>1.5</v>
      </c>
      <c r="Z12" s="8"/>
      <c r="AA12" s="8"/>
      <c r="AG12" s="8"/>
      <c r="AH12" s="8"/>
      <c r="AI12" s="8"/>
      <c r="AJ12" s="8"/>
    </row>
    <row r="13" spans="1:38">
      <c r="A13" s="82"/>
      <c r="B13" s="296"/>
      <c r="C13" s="1138" t="s">
        <v>1636</v>
      </c>
      <c r="D13" s="1138"/>
      <c r="E13" s="1138"/>
      <c r="F13" s="8"/>
      <c r="G13" s="8"/>
      <c r="V13" s="404"/>
      <c r="W13" s="404"/>
      <c r="Z13" s="8"/>
      <c r="AA13" s="8"/>
      <c r="AH13" s="8"/>
    </row>
    <row r="14" spans="1:38">
      <c r="A14" s="8"/>
      <c r="B14" s="8"/>
      <c r="C14" s="1138"/>
      <c r="D14" s="1138"/>
    </row>
    <row r="15" spans="1:38">
      <c r="A15" s="537" t="s">
        <v>1560</v>
      </c>
      <c r="E15" s="1140" t="s">
        <v>1562</v>
      </c>
    </row>
    <row r="16" spans="1:38">
      <c r="A16" s="1" t="s">
        <v>609</v>
      </c>
      <c r="B16" s="1139" t="s">
        <v>1</v>
      </c>
      <c r="C16" s="537" t="s">
        <v>1561</v>
      </c>
      <c r="D16" s="537"/>
      <c r="E16" s="1141"/>
    </row>
    <row r="17" spans="1:31" ht="17.25">
      <c r="B17" s="1139" t="s">
        <v>1</v>
      </c>
      <c r="C17" s="546">
        <f>C12*0.3/1.5/(H6)</f>
        <v>0.24300000000000002</v>
      </c>
      <c r="D17" s="11" t="s">
        <v>759</v>
      </c>
    </row>
    <row r="18" spans="1:31" ht="18.75">
      <c r="A18" s="537"/>
      <c r="P18" s="82" t="s">
        <v>1454</v>
      </c>
      <c r="Q18" s="296" t="s">
        <v>1</v>
      </c>
      <c r="R18" s="1">
        <v>1.5</v>
      </c>
      <c r="S18" s="1" t="s">
        <v>1622</v>
      </c>
    </row>
    <row r="19" spans="1:31" ht="17.25">
      <c r="A19" s="1" t="s">
        <v>1563</v>
      </c>
      <c r="B19" s="1139" t="s">
        <v>1</v>
      </c>
      <c r="C19" s="537">
        <f>C17*H6*1000/10</f>
        <v>29.160000000000004</v>
      </c>
      <c r="D19" s="11" t="s">
        <v>756</v>
      </c>
      <c r="R19" s="1220">
        <f>R18/9.8*10^6/(10^2)^3</f>
        <v>0.15306122448979589</v>
      </c>
      <c r="S19" s="11" t="s">
        <v>759</v>
      </c>
      <c r="U19" s="1137"/>
    </row>
    <row r="20" spans="1:31">
      <c r="A20" s="1" t="s">
        <v>1564</v>
      </c>
      <c r="R20" s="291" t="s">
        <v>1619</v>
      </c>
      <c r="U20" s="1137"/>
    </row>
    <row r="21" spans="1:31" ht="18.75">
      <c r="P21" s="82" t="s">
        <v>1571</v>
      </c>
      <c r="Q21" s="1087"/>
      <c r="R21" s="537"/>
      <c r="S21" s="537"/>
      <c r="U21" s="1137"/>
    </row>
    <row r="22" spans="1:31" ht="17.25">
      <c r="A22" s="82" t="s">
        <v>1565</v>
      </c>
      <c r="B22" s="12" t="s">
        <v>1</v>
      </c>
      <c r="C22" s="82" t="s">
        <v>1566</v>
      </c>
      <c r="P22" s="82" t="s">
        <v>51</v>
      </c>
      <c r="Q22" s="296" t="s">
        <v>1</v>
      </c>
      <c r="R22" s="1142">
        <f>(C4*C5/R19)^(1/5)</f>
        <v>463.90454358604291</v>
      </c>
      <c r="S22" s="535" t="s">
        <v>766</v>
      </c>
      <c r="U22" s="1137"/>
    </row>
    <row r="23" spans="1:31">
      <c r="A23" s="535"/>
      <c r="B23" s="535" t="s">
        <v>1</v>
      </c>
      <c r="C23" s="1142">
        <f>(C4*C5/C17/(H6*1000/10))^(1/4)</f>
        <v>579.5023461585032</v>
      </c>
      <c r="D23" s="535" t="s">
        <v>766</v>
      </c>
      <c r="U23" s="1137"/>
    </row>
    <row r="24" spans="1:31">
      <c r="U24" s="1137"/>
    </row>
    <row r="25" spans="1:31">
      <c r="U25" s="1137"/>
    </row>
    <row r="26" spans="1:31">
      <c r="F26" s="528" t="s">
        <v>1418</v>
      </c>
      <c r="H26" s="529" t="s">
        <v>1579</v>
      </c>
      <c r="J26" s="82"/>
      <c r="U26" s="1137"/>
      <c r="AE26" s="8"/>
    </row>
    <row r="27" spans="1:31" ht="18">
      <c r="A27" s="82" t="s">
        <v>762</v>
      </c>
      <c r="B27" s="11"/>
      <c r="C27" s="11"/>
      <c r="D27" s="11"/>
      <c r="E27" s="296" t="s">
        <v>1</v>
      </c>
      <c r="F27" s="118">
        <v>0</v>
      </c>
      <c r="G27" s="11" t="s">
        <v>2</v>
      </c>
      <c r="H27" s="1059">
        <f>(GEN!K147-GEN!F95)</f>
        <v>3.2999999999999972</v>
      </c>
      <c r="I27" s="11" t="s">
        <v>2</v>
      </c>
      <c r="J27" s="82"/>
      <c r="U27" s="1137"/>
      <c r="AE27" s="8"/>
    </row>
    <row r="28" spans="1:31">
      <c r="A28" s="82" t="s">
        <v>763</v>
      </c>
      <c r="B28" s="11"/>
      <c r="C28" s="11"/>
      <c r="D28" s="11"/>
      <c r="E28" s="296" t="s">
        <v>1</v>
      </c>
      <c r="F28" s="118">
        <f>GEN!F91</f>
        <v>20</v>
      </c>
      <c r="G28" s="11" t="s">
        <v>2</v>
      </c>
      <c r="H28" s="528">
        <f>F28</f>
        <v>20</v>
      </c>
      <c r="I28" s="11" t="s">
        <v>2</v>
      </c>
      <c r="J28" s="82"/>
      <c r="U28" s="1137"/>
      <c r="AE28" s="8"/>
    </row>
    <row r="29" spans="1:31" ht="18">
      <c r="A29" s="11" t="s">
        <v>764</v>
      </c>
      <c r="B29" s="11"/>
      <c r="C29" s="11"/>
      <c r="D29" s="11"/>
      <c r="E29" s="296" t="s">
        <v>1</v>
      </c>
      <c r="F29" s="1131">
        <f>F28-F27</f>
        <v>20</v>
      </c>
      <c r="G29" s="11" t="s">
        <v>2</v>
      </c>
      <c r="H29" s="1131">
        <f>H28-H27</f>
        <v>16.700000000000003</v>
      </c>
      <c r="I29" s="11" t="s">
        <v>2</v>
      </c>
      <c r="J29" s="82"/>
      <c r="U29" s="1137"/>
      <c r="AE29" s="8"/>
    </row>
    <row r="30" spans="1:31" ht="18">
      <c r="A30" s="82" t="s">
        <v>1637</v>
      </c>
      <c r="B30" s="8"/>
      <c r="C30" s="8"/>
      <c r="D30" s="8"/>
      <c r="E30" s="296" t="s">
        <v>1</v>
      </c>
      <c r="F30" s="304">
        <f>F27/(C23/100)</f>
        <v>0</v>
      </c>
      <c r="G30" s="538"/>
      <c r="H30" s="79">
        <f>H27/(C23/100)</f>
        <v>0.56945412246827976</v>
      </c>
      <c r="I30" s="538"/>
      <c r="J30" s="82"/>
      <c r="U30" s="1137"/>
      <c r="AE30" s="8"/>
    </row>
    <row r="31" spans="1:31" ht="18">
      <c r="A31" s="82" t="s">
        <v>1638</v>
      </c>
      <c r="B31" s="8"/>
      <c r="C31" s="536"/>
      <c r="E31" s="296" t="s">
        <v>1</v>
      </c>
      <c r="F31" s="1133">
        <f>IF(F30=0,W2,data_polation(F30,V2:W12,2))</f>
        <v>1.98</v>
      </c>
      <c r="G31" s="539"/>
      <c r="H31" s="79">
        <f>IF(H30=0,W2,data_polation(H30,V2:W12,2))</f>
        <v>1.8019419281582474</v>
      </c>
      <c r="I31" s="539"/>
      <c r="J31" s="82"/>
      <c r="U31" s="1137"/>
      <c r="AE31" s="8"/>
    </row>
    <row r="32" spans="1:31">
      <c r="A32" s="82"/>
      <c r="B32" s="8"/>
      <c r="C32" s="8"/>
      <c r="D32" s="296"/>
      <c r="E32" s="296"/>
      <c r="F32" s="296"/>
      <c r="G32" s="8"/>
      <c r="H32" s="528"/>
      <c r="I32" s="8"/>
      <c r="J32" s="82"/>
      <c r="AE32" s="8"/>
    </row>
    <row r="33" spans="1:41">
      <c r="A33" s="11" t="s">
        <v>776</v>
      </c>
      <c r="B33" s="11"/>
      <c r="C33" s="11"/>
      <c r="D33" s="296" t="s">
        <v>2</v>
      </c>
      <c r="E33" s="296" t="s">
        <v>1</v>
      </c>
      <c r="F33" s="1134">
        <f>IF(F30=0,S4,data_polation(F30,$R$4:$S$8,2))</f>
        <v>0.82</v>
      </c>
      <c r="H33" s="79">
        <f>IF(H30=0,S4,data_polation(H30,$R$4:$S$8,2))</f>
        <v>0.90416724734809684</v>
      </c>
      <c r="J33" s="82"/>
      <c r="AE33" s="8"/>
    </row>
    <row r="34" spans="1:41">
      <c r="F34" s="528"/>
      <c r="H34" s="528"/>
      <c r="J34" s="82"/>
      <c r="AE34" s="8"/>
    </row>
    <row r="35" spans="1:41" ht="18">
      <c r="A35" s="11" t="s">
        <v>765</v>
      </c>
      <c r="B35" s="8"/>
      <c r="C35" s="11"/>
      <c r="E35" s="296" t="s">
        <v>1</v>
      </c>
      <c r="F35" s="304">
        <f>R22*F31</f>
        <v>918.5309963003649</v>
      </c>
      <c r="G35" s="11" t="s">
        <v>766</v>
      </c>
      <c r="H35" s="79">
        <f>R22*H31</f>
        <v>835.92904775080592</v>
      </c>
      <c r="I35" s="11" t="s">
        <v>766</v>
      </c>
      <c r="J35" s="82"/>
      <c r="AE35" s="8"/>
    </row>
    <row r="36" spans="1:41">
      <c r="A36" s="11"/>
      <c r="B36" s="8"/>
      <c r="C36" s="11"/>
      <c r="E36" s="296" t="s">
        <v>1</v>
      </c>
      <c r="F36" s="1133">
        <f>F35/100</f>
        <v>9.1853099630036485</v>
      </c>
      <c r="G36" s="11" t="s">
        <v>2</v>
      </c>
      <c r="H36" s="1133">
        <f>H35/100</f>
        <v>8.3592904775080594</v>
      </c>
      <c r="I36" s="11" t="s">
        <v>2</v>
      </c>
      <c r="J36" s="82"/>
      <c r="AE36" s="8"/>
    </row>
    <row r="37" spans="1:41">
      <c r="F37" s="528"/>
      <c r="H37" s="528"/>
      <c r="J37" s="82"/>
      <c r="AE37" s="8"/>
    </row>
    <row r="38" spans="1:41" ht="18">
      <c r="A38" s="11" t="s">
        <v>767</v>
      </c>
      <c r="E38" s="541" t="s">
        <v>1</v>
      </c>
      <c r="F38" s="1132">
        <f>F27+F36</f>
        <v>9.1853099630036485</v>
      </c>
      <c r="G38" s="542" t="s">
        <v>2</v>
      </c>
      <c r="H38" s="1132">
        <f>H27+H36</f>
        <v>11.659290477508057</v>
      </c>
      <c r="I38" s="542" t="s">
        <v>2</v>
      </c>
      <c r="J38" s="82"/>
      <c r="AE38" s="8"/>
    </row>
    <row r="39" spans="1:41">
      <c r="AE39" s="8"/>
      <c r="AO39" s="8"/>
    </row>
    <row r="40" spans="1:41">
      <c r="A40" s="23"/>
      <c r="B40" s="24"/>
      <c r="C40" s="24"/>
      <c r="D40" s="24"/>
      <c r="E40" s="24"/>
      <c r="F40" s="24"/>
      <c r="G40" s="1595" t="s">
        <v>1420</v>
      </c>
      <c r="H40" s="1589"/>
      <c r="I40" s="1589"/>
      <c r="J40" s="1596"/>
      <c r="K40" s="1595" t="s">
        <v>1421</v>
      </c>
      <c r="L40" s="1589"/>
      <c r="M40" s="1589"/>
      <c r="N40" s="1596"/>
      <c r="O40" s="924"/>
      <c r="P40" s="924"/>
      <c r="Q40" s="924"/>
      <c r="R40" s="924"/>
      <c r="S40" s="924"/>
      <c r="T40" s="924"/>
      <c r="U40" s="924"/>
      <c r="V40" s="924"/>
      <c r="AE40" s="8"/>
      <c r="AO40" s="8"/>
    </row>
    <row r="41" spans="1:41">
      <c r="A41" s="616" t="s">
        <v>1419</v>
      </c>
      <c r="B41" s="651"/>
      <c r="C41" s="651"/>
      <c r="D41" s="651"/>
      <c r="E41" s="976"/>
      <c r="F41" s="977"/>
      <c r="G41" s="978" t="s">
        <v>1418</v>
      </c>
      <c r="H41" s="227"/>
      <c r="I41" s="371" t="s">
        <v>1034</v>
      </c>
      <c r="J41" s="657"/>
      <c r="K41" s="978" t="s">
        <v>1418</v>
      </c>
      <c r="L41" s="227"/>
      <c r="M41" s="371" t="s">
        <v>1034</v>
      </c>
      <c r="N41" s="657"/>
      <c r="O41" s="11"/>
      <c r="P41" s="11"/>
      <c r="Q41" s="11"/>
      <c r="R41" s="11"/>
      <c r="S41" s="11"/>
      <c r="T41" s="11"/>
      <c r="U41" s="11"/>
      <c r="V41" s="11"/>
      <c r="W41" s="82"/>
      <c r="AE41" s="8"/>
      <c r="AO41" s="8"/>
    </row>
    <row r="42" spans="1:41">
      <c r="A42" s="112" t="s">
        <v>768</v>
      </c>
      <c r="B42" s="11"/>
      <c r="C42" s="11"/>
      <c r="D42" s="11"/>
      <c r="E42" s="536" t="s">
        <v>769</v>
      </c>
      <c r="F42" s="924" t="s">
        <v>1</v>
      </c>
      <c r="G42" s="1183">
        <f>'3.4_LC_sum'!N23</f>
        <v>5.3418796190476199</v>
      </c>
      <c r="H42" s="82" t="s">
        <v>134</v>
      </c>
      <c r="I42" s="1183">
        <f>'3.4_LC_sum'!N32</f>
        <v>5.9189579521053011</v>
      </c>
      <c r="J42" s="141" t="s">
        <v>134</v>
      </c>
      <c r="K42" s="1025">
        <f>'3.4_LC_sum'!Q23</f>
        <v>22.112431989678267</v>
      </c>
      <c r="L42" s="82" t="s">
        <v>134</v>
      </c>
      <c r="M42" s="975">
        <f>'3.4_LC_sum'!Q32</f>
        <v>31.840114762933528</v>
      </c>
      <c r="N42" s="141" t="s">
        <v>134</v>
      </c>
      <c r="O42" s="82"/>
      <c r="P42" s="82"/>
      <c r="Q42" s="82"/>
      <c r="R42" s="82"/>
      <c r="S42" s="82"/>
      <c r="T42" s="82"/>
      <c r="U42" s="82"/>
      <c r="V42" s="82"/>
      <c r="W42" s="82"/>
      <c r="AE42" s="8"/>
      <c r="AO42" s="8"/>
    </row>
    <row r="43" spans="1:41" ht="18">
      <c r="A43" s="112" t="s">
        <v>767</v>
      </c>
      <c r="B43" s="26"/>
      <c r="C43" s="26"/>
      <c r="D43" s="26"/>
      <c r="E43" s="26"/>
      <c r="F43" s="924" t="s">
        <v>1</v>
      </c>
      <c r="G43" s="194">
        <f>F38</f>
        <v>9.1853099630036485</v>
      </c>
      <c r="H43" s="26" t="s">
        <v>2</v>
      </c>
      <c r="I43" s="194">
        <f>H38</f>
        <v>11.659290477508057</v>
      </c>
      <c r="J43" s="26" t="s">
        <v>2</v>
      </c>
      <c r="K43" s="194">
        <f>F38</f>
        <v>9.1853099630036485</v>
      </c>
      <c r="L43" s="26" t="s">
        <v>2</v>
      </c>
      <c r="M43" s="194">
        <f>H38</f>
        <v>11.659290477508057</v>
      </c>
      <c r="N43" s="26" t="s">
        <v>2</v>
      </c>
      <c r="O43" s="26"/>
      <c r="P43" s="26"/>
      <c r="Q43" s="26"/>
      <c r="R43" s="26"/>
      <c r="S43" s="26"/>
      <c r="T43" s="26"/>
      <c r="U43" s="26"/>
      <c r="V43" s="26"/>
      <c r="W43" s="82"/>
      <c r="AE43" s="8"/>
      <c r="AO43" s="8"/>
    </row>
    <row r="44" spans="1:41">
      <c r="A44" s="112"/>
      <c r="B44" s="26"/>
      <c r="C44" s="26"/>
      <c r="D44" s="26"/>
      <c r="E44" s="26"/>
      <c r="F44" s="924"/>
      <c r="G44" s="65"/>
      <c r="H44" s="26"/>
      <c r="I44" s="65"/>
      <c r="J44" s="27"/>
      <c r="K44" s="154"/>
      <c r="L44" s="26"/>
      <c r="M44" s="65"/>
      <c r="N44" s="27"/>
      <c r="O44" s="26"/>
      <c r="P44" s="26"/>
      <c r="Q44" s="26"/>
      <c r="R44" s="26"/>
      <c r="S44" s="26"/>
      <c r="T44" s="26"/>
      <c r="U44" s="26"/>
      <c r="V44" s="26"/>
      <c r="W44" s="293"/>
      <c r="AE44" s="8"/>
      <c r="AO44" s="8"/>
    </row>
    <row r="45" spans="1:41" ht="17.25">
      <c r="A45" s="112" t="s">
        <v>772</v>
      </c>
      <c r="B45" s="26"/>
      <c r="C45" s="26"/>
      <c r="D45" s="26" t="s">
        <v>773</v>
      </c>
      <c r="E45" s="26"/>
      <c r="F45" s="819" t="s">
        <v>1</v>
      </c>
      <c r="G45" s="1184">
        <f>G42*1000*(G43*100)^3/12/$C$4/$C$5*10</f>
        <v>1.0490253567578642</v>
      </c>
      <c r="H45" s="82" t="s">
        <v>5</v>
      </c>
      <c r="I45" s="1184">
        <f>I42*1000*(I43*100)^3/12/$C$4/$C$5*10</f>
        <v>2.3772347052464671</v>
      </c>
      <c r="J45" s="141" t="s">
        <v>5</v>
      </c>
      <c r="K45" s="1026">
        <f>K42*1000*(K43*100)^3/12/$C$4/$C$5*10</f>
        <v>4.3423857351715949</v>
      </c>
      <c r="L45" s="82" t="s">
        <v>5</v>
      </c>
      <c r="M45" s="1068">
        <f>M42*1000*(M43*100)^3/12/$C$4/$C$5*10</f>
        <v>12.787964781292875</v>
      </c>
      <c r="N45" s="141" t="s">
        <v>5</v>
      </c>
      <c r="O45" s="82"/>
      <c r="P45" s="82"/>
      <c r="Q45" s="82"/>
      <c r="R45" s="82"/>
      <c r="S45" s="82"/>
      <c r="T45" s="82"/>
      <c r="U45" s="82"/>
      <c r="V45" s="82"/>
      <c r="W45" s="293"/>
      <c r="AE45" s="8"/>
      <c r="AO45" s="8"/>
    </row>
    <row r="46" spans="1:41">
      <c r="A46" s="25"/>
      <c r="B46" s="26"/>
      <c r="C46" s="26"/>
      <c r="D46" s="26"/>
      <c r="E46" s="26"/>
      <c r="F46" s="26"/>
      <c r="G46" s="25"/>
      <c r="H46" s="26"/>
      <c r="I46" s="25"/>
      <c r="J46" s="27"/>
      <c r="K46" s="25"/>
      <c r="L46" s="26"/>
      <c r="M46" s="25"/>
      <c r="N46" s="27"/>
      <c r="O46" s="26"/>
      <c r="P46" s="26"/>
      <c r="Q46" s="26"/>
      <c r="R46" s="26"/>
      <c r="S46" s="26"/>
      <c r="T46" s="26"/>
      <c r="U46" s="26"/>
      <c r="V46" s="26"/>
    </row>
    <row r="47" spans="1:41">
      <c r="A47" s="112" t="s">
        <v>775</v>
      </c>
      <c r="B47" s="11"/>
      <c r="C47" s="11"/>
      <c r="D47" s="11"/>
      <c r="E47" s="26"/>
      <c r="F47" s="296" t="s">
        <v>1</v>
      </c>
      <c r="G47" s="1182">
        <v>12</v>
      </c>
      <c r="H47" s="82" t="s">
        <v>5</v>
      </c>
      <c r="I47" s="1182">
        <v>12</v>
      </c>
      <c r="J47" s="141" t="s">
        <v>5</v>
      </c>
      <c r="K47" s="547"/>
      <c r="L47" s="82"/>
      <c r="M47" s="979"/>
      <c r="N47" s="141"/>
      <c r="O47" s="82"/>
      <c r="P47" s="82"/>
      <c r="Q47" s="82"/>
      <c r="R47" s="82"/>
      <c r="S47" s="82"/>
      <c r="T47" s="82"/>
      <c r="U47" s="82"/>
      <c r="V47" s="82"/>
    </row>
    <row r="48" spans="1:41">
      <c r="A48" s="25"/>
      <c r="B48" s="26"/>
      <c r="C48" s="26"/>
      <c r="D48" s="26"/>
      <c r="E48" s="26"/>
      <c r="F48" s="26"/>
      <c r="G48" s="25"/>
      <c r="H48" s="26"/>
      <c r="I48" s="25"/>
      <c r="J48" s="27"/>
      <c r="K48" s="25"/>
      <c r="L48" s="26"/>
      <c r="M48" s="25"/>
      <c r="N48" s="27"/>
      <c r="O48" s="26"/>
      <c r="P48" s="26"/>
      <c r="Q48" s="26"/>
      <c r="R48" s="26"/>
      <c r="S48" s="26"/>
      <c r="T48" s="26"/>
      <c r="U48" s="26"/>
      <c r="V48" s="26"/>
    </row>
    <row r="49" spans="1:22">
      <c r="A49" s="25" t="s">
        <v>125</v>
      </c>
      <c r="B49" s="26"/>
      <c r="C49" s="26"/>
      <c r="D49" s="26"/>
      <c r="E49" s="26"/>
      <c r="F49" s="26"/>
      <c r="G49" s="1185" t="str">
        <f>IF(G45&lt;G47,"OK","REVISE")</f>
        <v>OK</v>
      </c>
      <c r="H49" s="26"/>
      <c r="I49" s="1185" t="str">
        <f>IF(I45&lt;I47,"OK","REVISE")</f>
        <v>OK</v>
      </c>
      <c r="J49" s="27"/>
      <c r="K49" s="1647" t="s">
        <v>1520</v>
      </c>
      <c r="L49" s="1648"/>
      <c r="M49" s="1648"/>
      <c r="N49" s="1649"/>
      <c r="O49" s="1136"/>
      <c r="P49" s="1136"/>
      <c r="Q49" s="1136"/>
      <c r="R49" s="1136"/>
      <c r="S49" s="1136"/>
      <c r="T49" s="1136"/>
      <c r="U49" s="1136"/>
      <c r="V49" s="1136"/>
    </row>
    <row r="50" spans="1:22">
      <c r="A50" s="28"/>
      <c r="B50" s="15"/>
      <c r="C50" s="15"/>
      <c r="D50" s="15"/>
      <c r="E50" s="15"/>
      <c r="F50" s="15"/>
      <c r="G50" s="28"/>
      <c r="H50" s="15"/>
      <c r="I50" s="28"/>
      <c r="J50" s="22"/>
      <c r="K50" s="1650"/>
      <c r="L50" s="1651"/>
      <c r="M50" s="1651"/>
      <c r="N50" s="1652"/>
      <c r="O50" s="1136"/>
      <c r="P50" s="1136"/>
      <c r="Q50" s="1136"/>
      <c r="R50" s="1136"/>
      <c r="S50" s="1136"/>
      <c r="T50" s="1136"/>
      <c r="U50" s="1136"/>
      <c r="V50" s="1136"/>
    </row>
    <row r="55" spans="1:22">
      <c r="A55" s="1" t="s">
        <v>1782</v>
      </c>
    </row>
    <row r="57" spans="1:22" ht="17.25">
      <c r="A57" s="1" t="s">
        <v>1783</v>
      </c>
      <c r="B57" s="1" t="s">
        <v>1</v>
      </c>
      <c r="C57" s="15" t="s">
        <v>1784</v>
      </c>
      <c r="D57" s="1" t="s">
        <v>54</v>
      </c>
      <c r="E57" s="15" t="s">
        <v>1788</v>
      </c>
      <c r="F57" s="1" t="s">
        <v>54</v>
      </c>
      <c r="G57" s="15" t="s">
        <v>1786</v>
      </c>
    </row>
    <row r="58" spans="1:22" ht="18.75">
      <c r="C58" s="1" t="s">
        <v>1785</v>
      </c>
      <c r="E58" s="1" t="s">
        <v>1787</v>
      </c>
      <c r="G58" s="1" t="s">
        <v>1785</v>
      </c>
    </row>
    <row r="61" spans="1:22">
      <c r="A61" s="1" t="s">
        <v>27</v>
      </c>
      <c r="B61" s="1" t="s">
        <v>1</v>
      </c>
      <c r="C61" s="14">
        <f>M42</f>
        <v>31.840114762933528</v>
      </c>
      <c r="D61" s="1" t="s">
        <v>34</v>
      </c>
    </row>
    <row r="63" spans="1:22">
      <c r="A63" s="1" t="s">
        <v>849</v>
      </c>
      <c r="B63" s="1" t="s">
        <v>1</v>
      </c>
      <c r="C63" s="150">
        <f>C61*H38/2*0.82</f>
        <v>152.20559021187617</v>
      </c>
      <c r="D63" s="1" t="s">
        <v>77</v>
      </c>
    </row>
    <row r="65" spans="1:6">
      <c r="A65" s="1" t="s">
        <v>133</v>
      </c>
      <c r="B65" s="1" t="s">
        <v>1</v>
      </c>
      <c r="C65" s="1">
        <f>H6</f>
        <v>1.2</v>
      </c>
      <c r="D65" s="1" t="s">
        <v>2</v>
      </c>
    </row>
    <row r="67" spans="1:6" ht="17.25">
      <c r="A67" s="1" t="s">
        <v>1791</v>
      </c>
      <c r="C67" s="1" t="s">
        <v>1</v>
      </c>
      <c r="D67" s="1">
        <v>830</v>
      </c>
      <c r="E67" s="1" t="s">
        <v>71</v>
      </c>
    </row>
    <row r="69" spans="1:6" ht="18.75">
      <c r="A69" s="1" t="s">
        <v>1789</v>
      </c>
      <c r="B69" s="1" t="s">
        <v>1</v>
      </c>
      <c r="C69" s="1" t="s">
        <v>1792</v>
      </c>
      <c r="E69" s="1" t="s">
        <v>1790</v>
      </c>
      <c r="F69" s="1" t="s">
        <v>71</v>
      </c>
    </row>
    <row r="70" spans="1:6" ht="17.25">
      <c r="E70" s="1">
        <v>300</v>
      </c>
      <c r="F70" s="1" t="s">
        <v>71</v>
      </c>
    </row>
    <row r="72" spans="1:6" ht="17.25">
      <c r="B72" s="1" t="s">
        <v>1</v>
      </c>
      <c r="C72" s="1" t="s">
        <v>1792</v>
      </c>
      <c r="E72" s="1">
        <f>D67*0.33</f>
        <v>273.90000000000003</v>
      </c>
      <c r="F72" s="1" t="s">
        <v>71</v>
      </c>
    </row>
    <row r="73" spans="1:6" ht="17.25">
      <c r="E73" s="1">
        <v>300</v>
      </c>
      <c r="F73" s="1" t="s">
        <v>71</v>
      </c>
    </row>
    <row r="75" spans="1:6" ht="17.25">
      <c r="B75" s="1" t="s">
        <v>1</v>
      </c>
      <c r="C75" s="1">
        <f>MIN(E72,E73)</f>
        <v>273.90000000000003</v>
      </c>
      <c r="D75" s="1" t="s">
        <v>71</v>
      </c>
    </row>
    <row r="78" spans="1:6">
      <c r="A78" s="1" t="s">
        <v>1793</v>
      </c>
      <c r="B78" s="1" t="s">
        <v>1</v>
      </c>
      <c r="C78" s="41">
        <f>2*C61/C75/C65+SQRT(4*C61^2/C75^2/C65^2+6*C63/C75/C65)</f>
        <v>1.8718471559885019</v>
      </c>
      <c r="D78" s="1" t="s">
        <v>2</v>
      </c>
    </row>
  </sheetData>
  <mergeCells count="3">
    <mergeCell ref="G40:J40"/>
    <mergeCell ref="K40:N40"/>
    <mergeCell ref="K49:N50"/>
  </mergeCells>
  <pageMargins left="0.70866141732283505" right="0.70866141732283505" top="0.74803149606299202" bottom="0.74803149606299202" header="0.31496062992126" footer="0.31496062992126"/>
  <pageSetup paperSize="9" scale="80" orientation="portrait" blackAndWhite="1" r:id="rId1"/>
  <drawing r:id="rId2"/>
</worksheet>
</file>

<file path=xl/worksheets/sheet21.xml><?xml version="1.0" encoding="utf-8"?>
<worksheet xmlns="http://schemas.openxmlformats.org/spreadsheetml/2006/main" xmlns:r="http://schemas.openxmlformats.org/officeDocument/2006/relationships">
  <sheetPr codeName="Sheet10">
    <tabColor theme="5" tint="0.59999389629810485"/>
  </sheetPr>
  <dimension ref="A1:BS112"/>
  <sheetViews>
    <sheetView view="pageBreakPreview" zoomScaleSheetLayoutView="100" workbookViewId="0">
      <selection activeCell="M33" sqref="M33"/>
    </sheetView>
  </sheetViews>
  <sheetFormatPr defaultColWidth="7.7109375" defaultRowHeight="15"/>
  <cols>
    <col min="1" max="2" width="7.7109375" style="1"/>
    <col min="3" max="3" width="7.7109375" style="1" customWidth="1"/>
    <col min="4" max="4" width="9.5703125" style="1" bestFit="1" customWidth="1"/>
    <col min="5" max="6" width="7.7109375" style="1"/>
    <col min="7" max="7" width="7.85546875" style="1" bestFit="1" customWidth="1"/>
    <col min="8" max="8" width="7.85546875" style="1" customWidth="1"/>
    <col min="9" max="9" width="7.7109375" style="1" customWidth="1"/>
    <col min="10" max="10" width="7.7109375" style="1"/>
    <col min="11" max="11" width="7.7109375" style="116"/>
    <col min="12" max="12" width="7.7109375" style="270"/>
    <col min="13" max="39" width="7.7109375" style="87"/>
    <col min="40" max="16384" width="7.7109375" style="1"/>
  </cols>
  <sheetData>
    <row r="1" spans="1:71">
      <c r="A1" s="9" t="s">
        <v>213</v>
      </c>
    </row>
    <row r="2" spans="1:71">
      <c r="A2" s="9" t="s">
        <v>255</v>
      </c>
      <c r="O2" s="1"/>
      <c r="P2" s="1"/>
      <c r="Q2" s="1"/>
      <c r="R2" s="1"/>
      <c r="S2" s="1"/>
      <c r="T2" s="1"/>
      <c r="U2" s="1"/>
      <c r="V2" s="1"/>
      <c r="W2" s="1"/>
    </row>
    <row r="3" spans="1:71">
      <c r="A3" s="9" t="s">
        <v>218</v>
      </c>
      <c r="O3" s="1"/>
      <c r="P3" s="1"/>
      <c r="Q3" s="1"/>
      <c r="R3" s="1"/>
      <c r="S3" s="1"/>
      <c r="T3" s="1"/>
      <c r="U3" s="1"/>
      <c r="V3" s="1"/>
      <c r="W3" s="1"/>
    </row>
    <row r="4" spans="1:71">
      <c r="A4" s="84"/>
      <c r="C4" s="84"/>
      <c r="E4" s="84"/>
      <c r="F4" s="84"/>
      <c r="G4" s="84"/>
      <c r="H4" s="84"/>
      <c r="I4" s="84"/>
      <c r="J4" s="84"/>
      <c r="O4" s="1"/>
      <c r="P4" s="1"/>
      <c r="Q4" s="1"/>
      <c r="R4" s="1"/>
      <c r="S4" s="1"/>
      <c r="T4" s="1"/>
      <c r="U4" s="1"/>
      <c r="V4" s="1"/>
      <c r="W4" s="1"/>
    </row>
    <row r="5" spans="1:71">
      <c r="A5" s="811" t="s">
        <v>232</v>
      </c>
      <c r="B5" s="31"/>
      <c r="C5" s="215">
        <f>ROW(A10)</f>
        <v>10</v>
      </c>
      <c r="O5" s="1"/>
      <c r="P5" s="1"/>
      <c r="Q5" s="1"/>
      <c r="R5" s="1"/>
      <c r="S5" s="1"/>
      <c r="T5" s="1"/>
      <c r="U5" s="1"/>
      <c r="V5" s="1"/>
      <c r="W5" s="1"/>
      <c r="X5" s="149"/>
      <c r="Y5" s="149"/>
      <c r="Z5" s="149"/>
      <c r="AA5" s="149"/>
      <c r="AB5" s="149"/>
      <c r="AC5" s="149"/>
      <c r="AD5" s="149"/>
      <c r="AE5" s="149"/>
      <c r="AF5" s="149"/>
      <c r="AG5" s="149"/>
      <c r="AH5" s="149"/>
      <c r="AI5" s="149"/>
      <c r="AJ5" s="149"/>
      <c r="AK5" s="149"/>
      <c r="AL5" s="149"/>
      <c r="AM5" s="149"/>
    </row>
    <row r="6" spans="1:71">
      <c r="A6" s="225" t="s">
        <v>231</v>
      </c>
      <c r="B6" s="15"/>
      <c r="C6" s="216">
        <f>ROW(A103)</f>
        <v>103</v>
      </c>
      <c r="M6" s="149"/>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W6" s="7"/>
    </row>
    <row r="7" spans="1:71">
      <c r="A7" s="225" t="s">
        <v>220</v>
      </c>
      <c r="B7" s="1290" t="s">
        <v>1</v>
      </c>
      <c r="C7" s="216">
        <f>COUNTA(M10:BS10)+COUNTBLANK(M10:BS10)</f>
        <v>59</v>
      </c>
    </row>
    <row r="8" spans="1:71">
      <c r="A8" s="225" t="s">
        <v>592</v>
      </c>
      <c r="B8" s="1290"/>
      <c r="C8" s="216">
        <f>ROW('3.4D_LC_sum'!A30)+1</f>
        <v>31</v>
      </c>
      <c r="M8" s="381"/>
    </row>
    <row r="9" spans="1:71">
      <c r="A9" s="84"/>
      <c r="M9" s="382" t="s">
        <v>252</v>
      </c>
      <c r="N9" s="383"/>
      <c r="O9" s="383"/>
      <c r="P9" s="383"/>
      <c r="Q9" s="383"/>
      <c r="R9" s="382" t="s">
        <v>253</v>
      </c>
      <c r="S9" s="383"/>
      <c r="T9" s="383"/>
      <c r="U9" s="383"/>
      <c r="V9" s="383"/>
      <c r="W9" s="382" t="s">
        <v>593</v>
      </c>
      <c r="X9" s="383"/>
      <c r="Y9" s="383"/>
      <c r="Z9" s="383"/>
      <c r="AA9" s="383"/>
      <c r="AB9" s="383"/>
      <c r="AC9" s="383"/>
      <c r="AD9" s="383"/>
      <c r="AE9" s="383"/>
      <c r="AF9" s="383"/>
      <c r="AG9" s="383"/>
      <c r="AH9" s="383"/>
      <c r="AI9" s="383"/>
      <c r="AJ9" s="383"/>
      <c r="AK9" s="383"/>
      <c r="AL9" s="383"/>
      <c r="AM9" s="383"/>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1"/>
    </row>
    <row r="10" spans="1:71">
      <c r="A10" s="811" t="str">
        <f>M10</f>
        <v>LC-1</v>
      </c>
      <c r="B10" s="31" t="str">
        <f>VLOOKUP(A10,LC_DEF_2!A45:B92,2,FALSE)</f>
        <v>NS LWL Span dislodge case Comb-1</v>
      </c>
      <c r="C10" s="31"/>
      <c r="D10" s="31"/>
      <c r="E10" s="32"/>
      <c r="F10" s="1599" t="s">
        <v>742</v>
      </c>
      <c r="G10" s="1635"/>
      <c r="H10" s="1635"/>
      <c r="I10" s="1635"/>
      <c r="J10" s="1600"/>
      <c r="K10" s="73"/>
      <c r="L10" s="272"/>
      <c r="M10" s="413" t="s">
        <v>122</v>
      </c>
      <c r="N10" s="413" t="s">
        <v>123</v>
      </c>
      <c r="O10" s="413" t="s">
        <v>126</v>
      </c>
      <c r="P10" s="413" t="s">
        <v>214</v>
      </c>
      <c r="Q10" s="384"/>
      <c r="R10" s="384" t="s">
        <v>215</v>
      </c>
      <c r="S10" s="384" t="s">
        <v>216</v>
      </c>
      <c r="T10" s="384" t="s">
        <v>222</v>
      </c>
      <c r="U10" s="384" t="s">
        <v>223</v>
      </c>
      <c r="V10" s="384"/>
      <c r="W10" s="413" t="s">
        <v>224</v>
      </c>
      <c r="X10" s="413" t="s">
        <v>225</v>
      </c>
      <c r="Y10" s="413" t="s">
        <v>230</v>
      </c>
      <c r="Z10" s="413" t="s">
        <v>238</v>
      </c>
      <c r="AA10" s="413"/>
      <c r="AB10" s="980" t="s">
        <v>239</v>
      </c>
      <c r="AC10" s="384" t="s">
        <v>240</v>
      </c>
      <c r="AD10" s="384" t="s">
        <v>241</v>
      </c>
      <c r="AE10" s="384" t="s">
        <v>242</v>
      </c>
      <c r="AF10" s="413"/>
      <c r="AG10" s="413" t="s">
        <v>243</v>
      </c>
      <c r="AH10" s="413" t="s">
        <v>244</v>
      </c>
      <c r="AI10" s="413" t="s">
        <v>668</v>
      </c>
      <c r="AJ10" s="413" t="s">
        <v>669</v>
      </c>
      <c r="AK10" s="413"/>
      <c r="AL10" s="413" t="s">
        <v>682</v>
      </c>
      <c r="AM10" s="413" t="s">
        <v>683</v>
      </c>
      <c r="AN10" s="382" t="s">
        <v>245</v>
      </c>
      <c r="AO10" s="384" t="s">
        <v>684</v>
      </c>
      <c r="AP10" s="23"/>
      <c r="AQ10" s="384" t="s">
        <v>1162</v>
      </c>
      <c r="AR10" s="384" t="s">
        <v>1163</v>
      </c>
      <c r="AS10" s="384" t="s">
        <v>1164</v>
      </c>
      <c r="AT10" s="384" t="s">
        <v>1165</v>
      </c>
      <c r="AU10" s="24"/>
      <c r="AV10" s="998" t="s">
        <v>1166</v>
      </c>
      <c r="AW10" s="998" t="s">
        <v>1167</v>
      </c>
      <c r="AX10" s="998" t="s">
        <v>1168</v>
      </c>
      <c r="AY10" s="998" t="s">
        <v>1169</v>
      </c>
      <c r="AZ10" s="24"/>
      <c r="BA10" s="999" t="s">
        <v>1170</v>
      </c>
      <c r="BB10" s="999" t="s">
        <v>1171</v>
      </c>
      <c r="BC10" s="999" t="s">
        <v>1172</v>
      </c>
      <c r="BD10" s="999" t="s">
        <v>1173</v>
      </c>
      <c r="BE10" s="968"/>
      <c r="BF10" s="999" t="s">
        <v>1174</v>
      </c>
      <c r="BG10" s="999" t="s">
        <v>1175</v>
      </c>
      <c r="BH10" s="999" t="s">
        <v>1176</v>
      </c>
      <c r="BI10" s="999" t="s">
        <v>1177</v>
      </c>
      <c r="BJ10" s="967"/>
      <c r="BK10" s="999" t="s">
        <v>1422</v>
      </c>
      <c r="BL10" s="999" t="s">
        <v>1423</v>
      </c>
      <c r="BM10" s="999" t="s">
        <v>1424</v>
      </c>
      <c r="BN10" s="999" t="s">
        <v>1425</v>
      </c>
      <c r="BO10" s="967"/>
      <c r="BP10" s="999" t="s">
        <v>1426</v>
      </c>
      <c r="BQ10" s="999" t="s">
        <v>1427</v>
      </c>
      <c r="BR10" s="999" t="s">
        <v>1428</v>
      </c>
      <c r="BS10" s="999" t="s">
        <v>1429</v>
      </c>
    </row>
    <row r="11" spans="1:71" ht="18">
      <c r="A11" s="25" t="s">
        <v>73</v>
      </c>
      <c r="B11" s="26" t="s">
        <v>74</v>
      </c>
      <c r="C11" s="26"/>
      <c r="D11" s="26"/>
      <c r="E11" s="27"/>
      <c r="F11" s="58" t="s">
        <v>23</v>
      </c>
      <c r="G11" s="58" t="s">
        <v>87</v>
      </c>
      <c r="H11" s="58" t="s">
        <v>212</v>
      </c>
      <c r="I11" s="58" t="s">
        <v>80</v>
      </c>
      <c r="J11" s="58" t="s">
        <v>81</v>
      </c>
      <c r="K11" s="273"/>
      <c r="L11" s="293"/>
      <c r="M11" s="376"/>
      <c r="N11" s="376"/>
      <c r="O11" s="385"/>
      <c r="P11" s="385"/>
      <c r="Q11" s="495"/>
      <c r="R11" s="495"/>
      <c r="S11" s="495"/>
      <c r="T11" s="495"/>
      <c r="U11" s="495"/>
      <c r="V11" s="495"/>
      <c r="W11" s="385"/>
      <c r="X11" s="385"/>
      <c r="Y11" s="385"/>
      <c r="Z11" s="385"/>
      <c r="AA11" s="385"/>
      <c r="AB11" s="376"/>
      <c r="AC11" s="385"/>
      <c r="AD11" s="385"/>
      <c r="AE11" s="385"/>
      <c r="AF11" s="385"/>
      <c r="AG11" s="385"/>
      <c r="AH11" s="385"/>
      <c r="AI11" s="385"/>
      <c r="AJ11" s="385"/>
      <c r="AK11" s="385"/>
      <c r="AL11" s="385"/>
      <c r="AM11" s="385"/>
      <c r="AN11" s="25"/>
      <c r="AO11" s="34"/>
      <c r="AP11" s="25"/>
      <c r="AQ11" s="25"/>
      <c r="AR11" s="26"/>
      <c r="AS11" s="26"/>
      <c r="AT11" s="27"/>
      <c r="AU11" s="26"/>
      <c r="AV11" s="25"/>
      <c r="AW11" s="26"/>
      <c r="AX11" s="26"/>
      <c r="AY11" s="27"/>
      <c r="AZ11" s="26"/>
      <c r="BA11" s="25"/>
      <c r="BB11" s="26"/>
      <c r="BC11" s="26"/>
      <c r="BD11" s="27"/>
      <c r="BE11" s="27"/>
      <c r="BF11" s="25"/>
      <c r="BG11" s="26"/>
      <c r="BH11" s="26"/>
      <c r="BI11" s="27"/>
      <c r="BJ11" s="26"/>
      <c r="BK11" s="25"/>
      <c r="BL11" s="26"/>
      <c r="BM11" s="26"/>
      <c r="BN11" s="27"/>
      <c r="BO11" s="26"/>
      <c r="BP11" s="25"/>
      <c r="BQ11" s="26"/>
      <c r="BR11" s="26"/>
      <c r="BS11" s="27"/>
    </row>
    <row r="12" spans="1:71">
      <c r="A12" s="25"/>
      <c r="B12" s="26"/>
      <c r="C12" s="26"/>
      <c r="D12" s="26"/>
      <c r="E12" s="27"/>
      <c r="F12" s="36" t="s">
        <v>34</v>
      </c>
      <c r="G12" s="36" t="s">
        <v>34</v>
      </c>
      <c r="H12" s="36" t="s">
        <v>34</v>
      </c>
      <c r="I12" s="36" t="s">
        <v>77</v>
      </c>
      <c r="J12" s="36" t="s">
        <v>77</v>
      </c>
      <c r="K12" s="74"/>
      <c r="L12" s="75"/>
      <c r="M12" s="376"/>
      <c r="N12" s="376"/>
      <c r="O12" s="385"/>
      <c r="P12" s="385"/>
      <c r="Q12" s="376"/>
      <c r="R12" s="376"/>
      <c r="S12" s="376"/>
      <c r="T12" s="376"/>
      <c r="U12" s="376"/>
      <c r="V12" s="376"/>
      <c r="W12" s="385"/>
      <c r="X12" s="385"/>
      <c r="Y12" s="385"/>
      <c r="Z12" s="385"/>
      <c r="AA12" s="385"/>
      <c r="AB12" s="376"/>
      <c r="AC12" s="385"/>
      <c r="AD12" s="385"/>
      <c r="AE12" s="385"/>
      <c r="AF12" s="385"/>
      <c r="AG12" s="385"/>
      <c r="AH12" s="385"/>
      <c r="AI12" s="385"/>
      <c r="AJ12" s="385"/>
      <c r="AK12" s="385"/>
      <c r="AL12" s="385"/>
      <c r="AM12" s="385"/>
      <c r="AN12" s="28"/>
      <c r="AO12" s="58"/>
      <c r="AP12" s="28"/>
      <c r="AQ12" s="28"/>
      <c r="AR12" s="15"/>
      <c r="AS12" s="15"/>
      <c r="AT12" s="22"/>
      <c r="AU12" s="15"/>
      <c r="AV12" s="28"/>
      <c r="AW12" s="15"/>
      <c r="AX12" s="15"/>
      <c r="AY12" s="22"/>
      <c r="AZ12" s="15"/>
      <c r="BA12" s="28"/>
      <c r="BB12" s="15"/>
      <c r="BC12" s="15"/>
      <c r="BD12" s="22"/>
      <c r="BE12" s="22"/>
      <c r="BF12" s="28"/>
      <c r="BG12" s="15"/>
      <c r="BH12" s="15"/>
      <c r="BI12" s="22"/>
      <c r="BJ12" s="15"/>
      <c r="BK12" s="28"/>
      <c r="BL12" s="15"/>
      <c r="BM12" s="15"/>
      <c r="BN12" s="22"/>
      <c r="BO12" s="15"/>
      <c r="BP12" s="28"/>
      <c r="BQ12" s="15"/>
      <c r="BR12" s="15"/>
      <c r="BS12" s="22"/>
    </row>
    <row r="13" spans="1:71">
      <c r="A13" s="261"/>
      <c r="B13" s="262"/>
      <c r="C13" s="262"/>
      <c r="D13" s="262"/>
      <c r="E13" s="263"/>
      <c r="F13" s="264"/>
      <c r="G13" s="263"/>
      <c r="H13" s="264"/>
      <c r="I13" s="264"/>
      <c r="J13" s="264"/>
      <c r="K13" s="261"/>
      <c r="L13" s="262"/>
      <c r="M13" s="377"/>
      <c r="N13" s="377"/>
      <c r="O13" s="377"/>
      <c r="P13" s="377"/>
      <c r="Q13" s="264"/>
      <c r="R13" s="377"/>
      <c r="S13" s="377"/>
      <c r="T13" s="377"/>
      <c r="U13" s="377"/>
      <c r="V13" s="264"/>
      <c r="W13" s="377"/>
      <c r="X13" s="377"/>
      <c r="Y13" s="377"/>
      <c r="Z13" s="377"/>
      <c r="AA13" s="377"/>
      <c r="AB13" s="377"/>
      <c r="AC13" s="377"/>
      <c r="AD13" s="377"/>
      <c r="AE13" s="377"/>
      <c r="AF13" s="377"/>
      <c r="AG13" s="377"/>
      <c r="AH13" s="377"/>
      <c r="AI13" s="377"/>
      <c r="AJ13" s="377"/>
      <c r="AK13" s="377"/>
      <c r="AL13" s="377"/>
      <c r="AM13" s="377"/>
      <c r="AN13" s="377"/>
      <c r="AO13" s="377"/>
      <c r="AP13" s="377"/>
      <c r="AQ13" s="698"/>
      <c r="AR13" s="698"/>
      <c r="AS13" s="698"/>
      <c r="AT13" s="698"/>
      <c r="AU13" s="377"/>
      <c r="AV13" s="698"/>
      <c r="AW13" s="698"/>
      <c r="AX13" s="698"/>
      <c r="AY13" s="698"/>
      <c r="AZ13" s="377"/>
      <c r="BA13" s="698"/>
      <c r="BB13" s="698"/>
      <c r="BC13" s="698"/>
      <c r="BD13" s="698"/>
      <c r="BE13" s="377"/>
      <c r="BF13" s="377"/>
      <c r="BG13" s="377"/>
      <c r="BH13" s="377"/>
      <c r="BI13" s="377"/>
      <c r="BJ13" s="377"/>
      <c r="BK13" s="377"/>
      <c r="BL13" s="377"/>
      <c r="BM13" s="377"/>
      <c r="BN13" s="377"/>
      <c r="BO13" s="377"/>
      <c r="BP13" s="377"/>
      <c r="BQ13" s="377"/>
      <c r="BR13" s="377"/>
      <c r="BS13" s="377"/>
    </row>
    <row r="14" spans="1:71">
      <c r="A14" s="25" t="s">
        <v>88</v>
      </c>
      <c r="B14" s="26" t="s">
        <v>75</v>
      </c>
      <c r="C14" s="26"/>
      <c r="D14" s="26"/>
      <c r="E14" s="27"/>
      <c r="F14" s="195">
        <f>SF!F14</f>
        <v>365.08803866482532</v>
      </c>
      <c r="G14" s="210"/>
      <c r="H14" s="34"/>
      <c r="I14" s="195">
        <f>SF!I14</f>
        <v>0</v>
      </c>
      <c r="J14" s="195">
        <f>SF!J14</f>
        <v>0</v>
      </c>
      <c r="K14" s="265"/>
      <c r="L14" s="266"/>
      <c r="M14" s="268">
        <v>1.35</v>
      </c>
      <c r="N14" s="268">
        <v>1.35</v>
      </c>
      <c r="O14" s="268">
        <v>1.35</v>
      </c>
      <c r="P14" s="268">
        <v>1.35</v>
      </c>
      <c r="Q14" s="267"/>
      <c r="R14" s="268">
        <v>1</v>
      </c>
      <c r="S14" s="268">
        <v>1</v>
      </c>
      <c r="T14" s="268">
        <v>1</v>
      </c>
      <c r="U14" s="268">
        <v>1</v>
      </c>
      <c r="V14" s="267"/>
      <c r="W14" s="268">
        <v>1.35</v>
      </c>
      <c r="X14" s="268">
        <v>1.35</v>
      </c>
      <c r="Y14" s="268">
        <v>1.35</v>
      </c>
      <c r="Z14" s="268">
        <v>1.35</v>
      </c>
      <c r="AA14" s="268"/>
      <c r="AB14" s="268">
        <v>1.35</v>
      </c>
      <c r="AC14" s="268">
        <v>1.35</v>
      </c>
      <c r="AD14" s="268">
        <v>1.35</v>
      </c>
      <c r="AE14" s="268">
        <v>1.35</v>
      </c>
      <c r="AF14" s="268"/>
      <c r="AG14" s="268">
        <v>1.35</v>
      </c>
      <c r="AH14" s="268">
        <v>1.35</v>
      </c>
      <c r="AI14" s="268">
        <v>1.35</v>
      </c>
      <c r="AJ14" s="268">
        <v>1.35</v>
      </c>
      <c r="AK14" s="268"/>
      <c r="AL14" s="268">
        <v>1.35</v>
      </c>
      <c r="AM14" s="268">
        <v>1.35</v>
      </c>
      <c r="AN14" s="268">
        <v>1.35</v>
      </c>
      <c r="AO14" s="268">
        <v>1.35</v>
      </c>
      <c r="AP14" s="268"/>
      <c r="AQ14" s="699">
        <v>1.35</v>
      </c>
      <c r="AR14" s="699">
        <v>1.35</v>
      </c>
      <c r="AS14" s="699">
        <v>1.35</v>
      </c>
      <c r="AT14" s="699">
        <v>1.35</v>
      </c>
      <c r="AU14" s="268"/>
      <c r="AV14" s="477">
        <v>1</v>
      </c>
      <c r="AW14" s="477">
        <v>1</v>
      </c>
      <c r="AX14" s="477">
        <v>1</v>
      </c>
      <c r="AY14" s="477">
        <v>1</v>
      </c>
      <c r="AZ14" s="268"/>
      <c r="BA14" s="699">
        <v>1.35</v>
      </c>
      <c r="BB14" s="699">
        <v>1.35</v>
      </c>
      <c r="BC14" s="699">
        <v>1.35</v>
      </c>
      <c r="BD14" s="699">
        <v>1.35</v>
      </c>
      <c r="BE14" s="268"/>
      <c r="BF14" s="699">
        <v>1.35</v>
      </c>
      <c r="BG14" s="699">
        <v>1.35</v>
      </c>
      <c r="BH14" s="699">
        <v>1.35</v>
      </c>
      <c r="BI14" s="699">
        <v>1.35</v>
      </c>
      <c r="BJ14" s="268"/>
      <c r="BK14" s="699">
        <v>1.35</v>
      </c>
      <c r="BL14" s="699">
        <v>1.35</v>
      </c>
      <c r="BM14" s="699">
        <v>1.35</v>
      </c>
      <c r="BN14" s="699">
        <v>1.35</v>
      </c>
      <c r="BO14" s="268"/>
      <c r="BP14" s="699">
        <v>1.35</v>
      </c>
      <c r="BQ14" s="699">
        <v>1.35</v>
      </c>
      <c r="BR14" s="699">
        <v>1.35</v>
      </c>
      <c r="BS14" s="699">
        <v>1.35</v>
      </c>
    </row>
    <row r="15" spans="1:71">
      <c r="A15" s="25"/>
      <c r="B15" s="26"/>
      <c r="C15" s="26"/>
      <c r="D15" s="26"/>
      <c r="E15" s="27"/>
      <c r="F15" s="196"/>
      <c r="G15" s="210"/>
      <c r="H15" s="34"/>
      <c r="I15" s="196"/>
      <c r="J15" s="34"/>
      <c r="K15" s="265"/>
      <c r="L15" s="266"/>
      <c r="M15" s="268"/>
      <c r="N15" s="268"/>
      <c r="O15" s="268"/>
      <c r="P15" s="268"/>
      <c r="Q15" s="267"/>
      <c r="R15" s="268"/>
      <c r="S15" s="268"/>
      <c r="T15" s="268"/>
      <c r="U15" s="268"/>
      <c r="V15" s="267"/>
      <c r="W15" s="268"/>
      <c r="X15" s="268"/>
      <c r="Y15" s="268"/>
      <c r="Z15" s="268"/>
      <c r="AA15" s="268"/>
      <c r="AB15" s="268"/>
      <c r="AC15" s="268"/>
      <c r="AD15" s="268"/>
      <c r="AE15" s="268"/>
      <c r="AF15" s="268"/>
      <c r="AG15" s="268"/>
      <c r="AH15" s="268"/>
      <c r="AI15" s="268"/>
      <c r="AJ15" s="268"/>
      <c r="AK15" s="268"/>
      <c r="AL15" s="268"/>
      <c r="AM15" s="268"/>
      <c r="AN15" s="268"/>
      <c r="AO15" s="268"/>
      <c r="AP15" s="268"/>
      <c r="AQ15" s="699"/>
      <c r="AR15" s="699"/>
      <c r="AS15" s="699"/>
      <c r="AT15" s="699"/>
      <c r="AU15" s="268"/>
      <c r="AV15" s="477"/>
      <c r="AW15" s="477"/>
      <c r="AX15" s="477"/>
      <c r="AY15" s="477"/>
      <c r="AZ15" s="268"/>
      <c r="BA15" s="699"/>
      <c r="BB15" s="699"/>
      <c r="BC15" s="699"/>
      <c r="BD15" s="699"/>
      <c r="BE15" s="268"/>
      <c r="BF15" s="268"/>
      <c r="BG15" s="268"/>
      <c r="BH15" s="268"/>
      <c r="BI15" s="268"/>
      <c r="BJ15" s="268"/>
      <c r="BK15" s="268"/>
      <c r="BL15" s="268"/>
      <c r="BM15" s="268"/>
      <c r="BN15" s="268"/>
      <c r="BO15" s="268"/>
      <c r="BP15" s="268"/>
      <c r="BQ15" s="268"/>
      <c r="BR15" s="268"/>
      <c r="BS15" s="268"/>
    </row>
    <row r="16" spans="1:71">
      <c r="A16" s="25" t="s">
        <v>90</v>
      </c>
      <c r="B16" s="26" t="s">
        <v>249</v>
      </c>
      <c r="C16" s="26"/>
      <c r="D16" s="26"/>
      <c r="E16" s="27"/>
      <c r="F16" s="195">
        <f>SF!F16</f>
        <v>36.639026644707663</v>
      </c>
      <c r="G16" s="210"/>
      <c r="H16" s="34"/>
      <c r="I16" s="195">
        <f>SF!I16</f>
        <v>0</v>
      </c>
      <c r="J16" s="195">
        <f>SF!J16</f>
        <v>0</v>
      </c>
      <c r="K16" s="265"/>
      <c r="L16" s="266"/>
      <c r="M16" s="268">
        <v>1.35</v>
      </c>
      <c r="N16" s="268">
        <v>1.35</v>
      </c>
      <c r="O16" s="268">
        <v>1.35</v>
      </c>
      <c r="P16" s="268">
        <v>1.35</v>
      </c>
      <c r="Q16" s="267"/>
      <c r="R16" s="268">
        <v>1</v>
      </c>
      <c r="S16" s="268">
        <v>1</v>
      </c>
      <c r="T16" s="268">
        <v>1</v>
      </c>
      <c r="U16" s="268">
        <v>1</v>
      </c>
      <c r="V16" s="267"/>
      <c r="W16" s="268">
        <v>1.35</v>
      </c>
      <c r="X16" s="268">
        <v>1.35</v>
      </c>
      <c r="Y16" s="268">
        <v>1.35</v>
      </c>
      <c r="Z16" s="268">
        <v>1.35</v>
      </c>
      <c r="AA16" s="268"/>
      <c r="AB16" s="268">
        <v>1.35</v>
      </c>
      <c r="AC16" s="268">
        <v>1.35</v>
      </c>
      <c r="AD16" s="268">
        <v>1.35</v>
      </c>
      <c r="AE16" s="268">
        <v>1.35</v>
      </c>
      <c r="AF16" s="268"/>
      <c r="AG16" s="268">
        <v>1.35</v>
      </c>
      <c r="AH16" s="268">
        <v>1.35</v>
      </c>
      <c r="AI16" s="268">
        <v>1.35</v>
      </c>
      <c r="AJ16" s="268">
        <v>1.35</v>
      </c>
      <c r="AK16" s="268"/>
      <c r="AL16" s="268">
        <v>1.35</v>
      </c>
      <c r="AM16" s="268">
        <v>1.35</v>
      </c>
      <c r="AN16" s="268">
        <v>1.35</v>
      </c>
      <c r="AO16" s="268">
        <v>1.35</v>
      </c>
      <c r="AP16" s="268"/>
      <c r="AQ16" s="699">
        <v>0</v>
      </c>
      <c r="AR16" s="699">
        <v>0</v>
      </c>
      <c r="AS16" s="699">
        <v>0</v>
      </c>
      <c r="AT16" s="699">
        <v>0</v>
      </c>
      <c r="AU16" s="268"/>
      <c r="AV16" s="477">
        <v>0</v>
      </c>
      <c r="AW16" s="477">
        <v>0</v>
      </c>
      <c r="AX16" s="477">
        <v>0</v>
      </c>
      <c r="AY16" s="477">
        <v>0</v>
      </c>
      <c r="AZ16" s="268"/>
      <c r="BA16" s="699">
        <v>1.35</v>
      </c>
      <c r="BB16" s="699">
        <v>1.35</v>
      </c>
      <c r="BC16" s="699">
        <v>1.35</v>
      </c>
      <c r="BD16" s="699">
        <v>1.35</v>
      </c>
      <c r="BE16" s="268"/>
      <c r="BF16" s="699">
        <v>1.35</v>
      </c>
      <c r="BG16" s="699">
        <v>1.35</v>
      </c>
      <c r="BH16" s="699">
        <v>1.35</v>
      </c>
      <c r="BI16" s="699">
        <v>1.35</v>
      </c>
      <c r="BJ16" s="268"/>
      <c r="BK16" s="699">
        <v>1.35</v>
      </c>
      <c r="BL16" s="699">
        <v>1.35</v>
      </c>
      <c r="BM16" s="699">
        <v>1.35</v>
      </c>
      <c r="BN16" s="699">
        <v>1.35</v>
      </c>
      <c r="BO16" s="268"/>
      <c r="BP16" s="699">
        <v>1.35</v>
      </c>
      <c r="BQ16" s="699">
        <v>1.35</v>
      </c>
      <c r="BR16" s="699">
        <v>1.35</v>
      </c>
      <c r="BS16" s="699">
        <v>1.35</v>
      </c>
    </row>
    <row r="17" spans="1:71">
      <c r="A17" s="25"/>
      <c r="B17" s="26"/>
      <c r="C17" s="26"/>
      <c r="D17" s="26"/>
      <c r="E17" s="27"/>
      <c r="F17" s="34"/>
      <c r="G17" s="27"/>
      <c r="H17" s="34"/>
      <c r="I17" s="34"/>
      <c r="J17" s="34"/>
      <c r="K17" s="265"/>
      <c r="L17" s="266"/>
      <c r="M17" s="268"/>
      <c r="N17" s="268"/>
      <c r="O17" s="268"/>
      <c r="P17" s="268"/>
      <c r="Q17" s="267"/>
      <c r="R17" s="268"/>
      <c r="S17" s="268"/>
      <c r="T17" s="268"/>
      <c r="U17" s="268"/>
      <c r="V17" s="267"/>
      <c r="W17" s="268"/>
      <c r="X17" s="268"/>
      <c r="Y17" s="268"/>
      <c r="Z17" s="268"/>
      <c r="AA17" s="268"/>
      <c r="AB17" s="268"/>
      <c r="AC17" s="268"/>
      <c r="AD17" s="268"/>
      <c r="AE17" s="268"/>
      <c r="AF17" s="268"/>
      <c r="AG17" s="268"/>
      <c r="AH17" s="268"/>
      <c r="AI17" s="268"/>
      <c r="AJ17" s="268"/>
      <c r="AK17" s="268"/>
      <c r="AL17" s="268"/>
      <c r="AM17" s="268"/>
      <c r="AN17" s="268"/>
      <c r="AO17" s="268"/>
      <c r="AP17" s="268"/>
      <c r="AQ17" s="699"/>
      <c r="AR17" s="699"/>
      <c r="AS17" s="699"/>
      <c r="AT17" s="699"/>
      <c r="AU17" s="268"/>
      <c r="AV17" s="477"/>
      <c r="AW17" s="477"/>
      <c r="AX17" s="477"/>
      <c r="AY17" s="477"/>
      <c r="AZ17" s="268"/>
      <c r="BA17" s="699"/>
      <c r="BB17" s="699"/>
      <c r="BC17" s="699"/>
      <c r="BD17" s="699"/>
      <c r="BE17" s="268"/>
      <c r="BF17" s="268"/>
      <c r="BG17" s="268"/>
      <c r="BH17" s="268"/>
      <c r="BI17" s="268"/>
      <c r="BJ17" s="268"/>
      <c r="BK17" s="268"/>
      <c r="BL17" s="268"/>
      <c r="BM17" s="268"/>
      <c r="BN17" s="268"/>
      <c r="BO17" s="268"/>
      <c r="BP17" s="268"/>
      <c r="BQ17" s="268"/>
      <c r="BR17" s="268"/>
      <c r="BS17" s="268"/>
    </row>
    <row r="18" spans="1:71">
      <c r="A18" s="25" t="s">
        <v>966</v>
      </c>
      <c r="B18" s="26"/>
      <c r="C18" s="26"/>
      <c r="D18" s="26"/>
      <c r="E18" s="27"/>
      <c r="F18" s="34"/>
      <c r="G18" s="27"/>
      <c r="H18" s="34"/>
      <c r="I18" s="34"/>
      <c r="J18" s="34"/>
      <c r="K18" s="112"/>
      <c r="L18" s="11"/>
      <c r="M18" s="376"/>
      <c r="N18" s="376"/>
      <c r="O18" s="376"/>
      <c r="P18" s="376"/>
      <c r="Q18" s="89"/>
      <c r="R18" s="376"/>
      <c r="S18" s="376"/>
      <c r="T18" s="376"/>
      <c r="U18" s="376"/>
      <c r="V18" s="89"/>
      <c r="W18" s="376"/>
      <c r="X18" s="376"/>
      <c r="Y18" s="376"/>
      <c r="Z18" s="376"/>
      <c r="AA18" s="376"/>
      <c r="AB18" s="376"/>
      <c r="AC18" s="376"/>
      <c r="AD18" s="376"/>
      <c r="AE18" s="376"/>
      <c r="AF18" s="376"/>
      <c r="AG18" s="376"/>
      <c r="AH18" s="376"/>
      <c r="AI18" s="376"/>
      <c r="AJ18" s="376"/>
      <c r="AK18" s="376"/>
      <c r="AL18" s="376"/>
      <c r="AM18" s="376"/>
      <c r="AN18" s="376"/>
      <c r="AO18" s="376"/>
      <c r="AP18" s="376"/>
      <c r="AQ18" s="700"/>
      <c r="AR18" s="700"/>
      <c r="AS18" s="700"/>
      <c r="AT18" s="700"/>
      <c r="AU18" s="376"/>
      <c r="AV18" s="823"/>
      <c r="AW18" s="823"/>
      <c r="AX18" s="823"/>
      <c r="AY18" s="823"/>
      <c r="AZ18" s="376"/>
      <c r="BA18" s="700"/>
      <c r="BB18" s="700"/>
      <c r="BC18" s="700"/>
      <c r="BD18" s="700"/>
      <c r="BE18" s="376"/>
      <c r="BF18" s="376"/>
      <c r="BG18" s="376"/>
      <c r="BH18" s="376"/>
      <c r="BI18" s="376"/>
      <c r="BJ18" s="376"/>
      <c r="BK18" s="376"/>
      <c r="BL18" s="376"/>
      <c r="BM18" s="376"/>
      <c r="BN18" s="376"/>
      <c r="BO18" s="376"/>
      <c r="BP18" s="376"/>
      <c r="BQ18" s="376"/>
      <c r="BR18" s="376"/>
      <c r="BS18" s="376"/>
    </row>
    <row r="19" spans="1:71">
      <c r="A19" s="25" t="s">
        <v>250</v>
      </c>
      <c r="B19" s="26" t="s">
        <v>967</v>
      </c>
      <c r="C19" s="26"/>
      <c r="D19" s="26"/>
      <c r="E19" s="27"/>
      <c r="F19" s="195">
        <f>SF!F19</f>
        <v>230</v>
      </c>
      <c r="G19" s="27"/>
      <c r="H19" s="34"/>
      <c r="I19" s="195">
        <f>SF!I19</f>
        <v>-115</v>
      </c>
      <c r="J19" s="195">
        <f>SF!J19</f>
        <v>0</v>
      </c>
      <c r="K19" s="112"/>
      <c r="L19" s="11"/>
      <c r="M19" s="376">
        <v>0</v>
      </c>
      <c r="N19" s="268">
        <v>1.35</v>
      </c>
      <c r="O19" s="268">
        <v>1.35</v>
      </c>
      <c r="P19" s="268">
        <v>1.35</v>
      </c>
      <c r="Q19" s="89"/>
      <c r="R19" s="376">
        <v>0</v>
      </c>
      <c r="S19" s="268">
        <v>1</v>
      </c>
      <c r="T19" s="268">
        <v>1</v>
      </c>
      <c r="U19" s="268">
        <v>1</v>
      </c>
      <c r="V19" s="89"/>
      <c r="W19" s="376">
        <v>0</v>
      </c>
      <c r="X19" s="376">
        <v>0</v>
      </c>
      <c r="Y19" s="376">
        <v>0</v>
      </c>
      <c r="Z19" s="376">
        <v>0</v>
      </c>
      <c r="AA19" s="376"/>
      <c r="AB19" s="268">
        <v>1.35</v>
      </c>
      <c r="AC19" s="268">
        <v>1.35</v>
      </c>
      <c r="AD19" s="268">
        <v>1.35</v>
      </c>
      <c r="AE19" s="268">
        <v>1.35</v>
      </c>
      <c r="AF19" s="376"/>
      <c r="AG19" s="268">
        <v>1.35</v>
      </c>
      <c r="AH19" s="268">
        <v>1.35</v>
      </c>
      <c r="AI19" s="268">
        <v>1.35</v>
      </c>
      <c r="AJ19" s="268">
        <v>1.35</v>
      </c>
      <c r="AK19" s="376"/>
      <c r="AL19" s="268">
        <v>1.35</v>
      </c>
      <c r="AM19" s="268">
        <v>1.35</v>
      </c>
      <c r="AN19" s="268">
        <v>1.35</v>
      </c>
      <c r="AO19" s="268">
        <v>1.35</v>
      </c>
      <c r="AP19" s="376"/>
      <c r="AQ19" s="700">
        <v>0</v>
      </c>
      <c r="AR19" s="700">
        <v>1.35</v>
      </c>
      <c r="AS19" s="700">
        <v>1.35</v>
      </c>
      <c r="AT19" s="700">
        <v>1.35</v>
      </c>
      <c r="AU19" s="376"/>
      <c r="AV19" s="823">
        <v>0</v>
      </c>
      <c r="AW19" s="823">
        <v>1</v>
      </c>
      <c r="AX19" s="823">
        <v>1</v>
      </c>
      <c r="AY19" s="823">
        <v>1</v>
      </c>
      <c r="AZ19" s="376"/>
      <c r="BA19" s="700">
        <v>0</v>
      </c>
      <c r="BB19" s="700">
        <v>0</v>
      </c>
      <c r="BC19" s="700">
        <v>0</v>
      </c>
      <c r="BD19" s="700">
        <v>0</v>
      </c>
      <c r="BE19" s="376"/>
      <c r="BF19" s="376">
        <v>1.35</v>
      </c>
      <c r="BG19" s="376">
        <v>1.35</v>
      </c>
      <c r="BH19" s="376">
        <v>1.35</v>
      </c>
      <c r="BI19" s="376">
        <v>1.35</v>
      </c>
      <c r="BJ19" s="376"/>
      <c r="BK19" s="376">
        <v>1.35</v>
      </c>
      <c r="BL19" s="376">
        <v>1.35</v>
      </c>
      <c r="BM19" s="376">
        <v>1.35</v>
      </c>
      <c r="BN19" s="376">
        <v>1.35</v>
      </c>
      <c r="BO19" s="376"/>
      <c r="BP19" s="376">
        <v>1.35</v>
      </c>
      <c r="BQ19" s="376">
        <v>1.35</v>
      </c>
      <c r="BR19" s="376">
        <v>1.35</v>
      </c>
      <c r="BS19" s="376">
        <v>1.35</v>
      </c>
    </row>
    <row r="20" spans="1:71">
      <c r="A20" s="25" t="s">
        <v>251</v>
      </c>
      <c r="B20" s="26" t="s">
        <v>968</v>
      </c>
      <c r="C20" s="26"/>
      <c r="D20" s="26"/>
      <c r="E20" s="27"/>
      <c r="F20" s="195">
        <f>SF!F20</f>
        <v>20.660000000000004</v>
      </c>
      <c r="G20" s="27"/>
      <c r="H20" s="34"/>
      <c r="I20" s="195">
        <f>SF!I20</f>
        <v>-10.330000000000002</v>
      </c>
      <c r="J20" s="195">
        <f>SF!J20</f>
        <v>0</v>
      </c>
      <c r="K20" s="112"/>
      <c r="L20" s="11"/>
      <c r="M20" s="376">
        <v>0</v>
      </c>
      <c r="N20" s="268">
        <v>1.35</v>
      </c>
      <c r="O20" s="268">
        <v>1.35</v>
      </c>
      <c r="P20" s="268">
        <v>1.35</v>
      </c>
      <c r="Q20" s="89"/>
      <c r="R20" s="376">
        <v>0</v>
      </c>
      <c r="S20" s="268">
        <v>1</v>
      </c>
      <c r="T20" s="268">
        <v>1</v>
      </c>
      <c r="U20" s="268">
        <v>1</v>
      </c>
      <c r="V20" s="89"/>
      <c r="W20" s="376">
        <v>0</v>
      </c>
      <c r="X20" s="376">
        <v>0</v>
      </c>
      <c r="Y20" s="376">
        <v>0</v>
      </c>
      <c r="Z20" s="376">
        <v>0</v>
      </c>
      <c r="AA20" s="376"/>
      <c r="AB20" s="268">
        <v>1.35</v>
      </c>
      <c r="AC20" s="268">
        <v>1.35</v>
      </c>
      <c r="AD20" s="268">
        <v>1.35</v>
      </c>
      <c r="AE20" s="268">
        <v>1.35</v>
      </c>
      <c r="AF20" s="376"/>
      <c r="AG20" s="268">
        <v>1.35</v>
      </c>
      <c r="AH20" s="268">
        <v>1.35</v>
      </c>
      <c r="AI20" s="268">
        <v>1.35</v>
      </c>
      <c r="AJ20" s="268">
        <v>1.35</v>
      </c>
      <c r="AK20" s="376"/>
      <c r="AL20" s="268">
        <v>1.35</v>
      </c>
      <c r="AM20" s="268">
        <v>1.35</v>
      </c>
      <c r="AN20" s="268">
        <v>1.35</v>
      </c>
      <c r="AO20" s="268">
        <v>1.35</v>
      </c>
      <c r="AP20" s="376"/>
      <c r="AQ20" s="700">
        <v>0</v>
      </c>
      <c r="AR20" s="699">
        <v>1.35</v>
      </c>
      <c r="AS20" s="699">
        <v>1.35</v>
      </c>
      <c r="AT20" s="699">
        <v>1.35</v>
      </c>
      <c r="AU20" s="376"/>
      <c r="AV20" s="823">
        <v>0</v>
      </c>
      <c r="AW20" s="477">
        <v>1</v>
      </c>
      <c r="AX20" s="477">
        <v>1</v>
      </c>
      <c r="AY20" s="477">
        <v>1</v>
      </c>
      <c r="AZ20" s="376"/>
      <c r="BA20" s="700">
        <v>0</v>
      </c>
      <c r="BB20" s="700">
        <v>0</v>
      </c>
      <c r="BC20" s="700">
        <v>0</v>
      </c>
      <c r="BD20" s="700">
        <v>0</v>
      </c>
      <c r="BE20" s="376"/>
      <c r="BF20" s="376">
        <v>1.35</v>
      </c>
      <c r="BG20" s="376">
        <v>1.35</v>
      </c>
      <c r="BH20" s="376">
        <v>1.35</v>
      </c>
      <c r="BI20" s="376">
        <v>1.35</v>
      </c>
      <c r="BJ20" s="376"/>
      <c r="BK20" s="376">
        <v>1.35</v>
      </c>
      <c r="BL20" s="376">
        <v>1.35</v>
      </c>
      <c r="BM20" s="376">
        <v>1.35</v>
      </c>
      <c r="BN20" s="376">
        <v>1.35</v>
      </c>
      <c r="BO20" s="376"/>
      <c r="BP20" s="376">
        <v>1.35</v>
      </c>
      <c r="BQ20" s="376">
        <v>1.35</v>
      </c>
      <c r="BR20" s="376">
        <v>1.35</v>
      </c>
      <c r="BS20" s="376">
        <v>1.35</v>
      </c>
    </row>
    <row r="21" spans="1:71">
      <c r="A21" s="25" t="s">
        <v>97</v>
      </c>
      <c r="B21" s="26" t="s">
        <v>969</v>
      </c>
      <c r="C21" s="26"/>
      <c r="D21" s="26"/>
      <c r="E21" s="27"/>
      <c r="F21" s="195">
        <f>SF!F21</f>
        <v>42</v>
      </c>
      <c r="G21" s="27"/>
      <c r="H21" s="34"/>
      <c r="I21" s="195">
        <f>SF!I21</f>
        <v>-14.858499999999999</v>
      </c>
      <c r="J21" s="195">
        <f>SF!J21</f>
        <v>0</v>
      </c>
      <c r="K21" s="112"/>
      <c r="L21" s="11"/>
      <c r="M21" s="376">
        <v>0</v>
      </c>
      <c r="N21" s="268">
        <v>1.35</v>
      </c>
      <c r="O21" s="268">
        <v>1.35</v>
      </c>
      <c r="P21" s="268">
        <v>1.35</v>
      </c>
      <c r="Q21" s="89"/>
      <c r="R21" s="376">
        <v>0</v>
      </c>
      <c r="S21" s="268">
        <v>1</v>
      </c>
      <c r="T21" s="268">
        <v>1</v>
      </c>
      <c r="U21" s="268">
        <v>1</v>
      </c>
      <c r="V21" s="89"/>
      <c r="W21" s="376">
        <v>0</v>
      </c>
      <c r="X21" s="376">
        <v>0</v>
      </c>
      <c r="Y21" s="376">
        <v>0</v>
      </c>
      <c r="Z21" s="376">
        <v>0</v>
      </c>
      <c r="AA21" s="376"/>
      <c r="AB21" s="268">
        <v>1.35</v>
      </c>
      <c r="AC21" s="268">
        <v>1.35</v>
      </c>
      <c r="AD21" s="268">
        <v>1.35</v>
      </c>
      <c r="AE21" s="268">
        <v>1.35</v>
      </c>
      <c r="AF21" s="376"/>
      <c r="AG21" s="268">
        <v>1.35</v>
      </c>
      <c r="AH21" s="268">
        <v>1.35</v>
      </c>
      <c r="AI21" s="268">
        <v>1.35</v>
      </c>
      <c r="AJ21" s="268">
        <v>1.35</v>
      </c>
      <c r="AK21" s="376"/>
      <c r="AL21" s="268">
        <v>1.35</v>
      </c>
      <c r="AM21" s="268">
        <v>1.35</v>
      </c>
      <c r="AN21" s="268">
        <v>1.35</v>
      </c>
      <c r="AO21" s="268">
        <v>1.35</v>
      </c>
      <c r="AP21" s="376"/>
      <c r="AQ21" s="700">
        <v>0</v>
      </c>
      <c r="AR21" s="699">
        <v>1.35</v>
      </c>
      <c r="AS21" s="699">
        <v>1.35</v>
      </c>
      <c r="AT21" s="699">
        <v>1.35</v>
      </c>
      <c r="AU21" s="376"/>
      <c r="AV21" s="823">
        <v>0</v>
      </c>
      <c r="AW21" s="477">
        <v>1</v>
      </c>
      <c r="AX21" s="477">
        <v>1</v>
      </c>
      <c r="AY21" s="477">
        <v>1</v>
      </c>
      <c r="AZ21" s="376"/>
      <c r="BA21" s="700">
        <v>0</v>
      </c>
      <c r="BB21" s="700">
        <v>0</v>
      </c>
      <c r="BC21" s="700">
        <v>0</v>
      </c>
      <c r="BD21" s="700">
        <v>0</v>
      </c>
      <c r="BE21" s="376"/>
      <c r="BF21" s="376">
        <v>1.35</v>
      </c>
      <c r="BG21" s="376">
        <v>1.35</v>
      </c>
      <c r="BH21" s="376">
        <v>1.35</v>
      </c>
      <c r="BI21" s="376">
        <v>1.35</v>
      </c>
      <c r="BJ21" s="376"/>
      <c r="BK21" s="376">
        <v>1.35</v>
      </c>
      <c r="BL21" s="376">
        <v>1.35</v>
      </c>
      <c r="BM21" s="376">
        <v>1.35</v>
      </c>
      <c r="BN21" s="376">
        <v>1.35</v>
      </c>
      <c r="BO21" s="376"/>
      <c r="BP21" s="376">
        <v>1.35</v>
      </c>
      <c r="BQ21" s="376">
        <v>1.35</v>
      </c>
      <c r="BR21" s="376">
        <v>1.35</v>
      </c>
      <c r="BS21" s="376">
        <v>1.35</v>
      </c>
    </row>
    <row r="22" spans="1:71">
      <c r="A22" s="25" t="s">
        <v>973</v>
      </c>
      <c r="B22" s="26"/>
      <c r="C22" s="26"/>
      <c r="D22" s="26"/>
      <c r="E22" s="27"/>
      <c r="F22" s="34"/>
      <c r="G22" s="27"/>
      <c r="H22" s="34"/>
      <c r="I22" s="34"/>
      <c r="J22" s="34"/>
      <c r="K22" s="112"/>
      <c r="L22" s="11"/>
      <c r="M22" s="376"/>
      <c r="N22" s="376"/>
      <c r="O22" s="376"/>
      <c r="P22" s="376"/>
      <c r="Q22" s="89"/>
      <c r="R22" s="376"/>
      <c r="S22" s="376"/>
      <c r="T22" s="376"/>
      <c r="U22" s="376"/>
      <c r="V22" s="89"/>
      <c r="W22" s="376"/>
      <c r="X22" s="376"/>
      <c r="Y22" s="376"/>
      <c r="Z22" s="376"/>
      <c r="AA22" s="376"/>
      <c r="AB22" s="376"/>
      <c r="AC22" s="376"/>
      <c r="AD22" s="376"/>
      <c r="AE22" s="376"/>
      <c r="AF22" s="376"/>
      <c r="AG22" s="376"/>
      <c r="AH22" s="376"/>
      <c r="AI22" s="376"/>
      <c r="AJ22" s="376"/>
      <c r="AK22" s="376"/>
      <c r="AL22" s="376"/>
      <c r="AM22" s="376"/>
      <c r="AN22" s="376"/>
      <c r="AO22" s="376"/>
      <c r="AP22" s="376"/>
      <c r="AQ22" s="700"/>
      <c r="AR22" s="700"/>
      <c r="AS22" s="700"/>
      <c r="AT22" s="700"/>
      <c r="AU22" s="376"/>
      <c r="AV22" s="823"/>
      <c r="AW22" s="823"/>
      <c r="AX22" s="823"/>
      <c r="AY22" s="823"/>
      <c r="AZ22" s="376"/>
      <c r="BA22" s="700"/>
      <c r="BB22" s="700"/>
      <c r="BC22" s="700"/>
      <c r="BD22" s="700"/>
      <c r="BE22" s="376"/>
      <c r="BF22" s="376"/>
      <c r="BG22" s="376"/>
      <c r="BH22" s="376"/>
      <c r="BI22" s="376"/>
      <c r="BJ22" s="376"/>
      <c r="BK22" s="376"/>
      <c r="BL22" s="376"/>
      <c r="BM22" s="376"/>
      <c r="BN22" s="376"/>
      <c r="BO22" s="376"/>
      <c r="BP22" s="376"/>
      <c r="BQ22" s="376"/>
      <c r="BR22" s="376"/>
      <c r="BS22" s="376"/>
    </row>
    <row r="23" spans="1:71">
      <c r="A23" s="25" t="s">
        <v>250</v>
      </c>
      <c r="B23" s="26" t="s">
        <v>970</v>
      </c>
      <c r="C23" s="26"/>
      <c r="D23" s="26"/>
      <c r="E23" s="27"/>
      <c r="F23" s="195">
        <f>SF!F23</f>
        <v>230</v>
      </c>
      <c r="G23" s="27"/>
      <c r="H23" s="34"/>
      <c r="I23" s="195">
        <f>SF!I23</f>
        <v>115</v>
      </c>
      <c r="J23" s="195">
        <f>SF!J23</f>
        <v>0</v>
      </c>
      <c r="K23" s="112"/>
      <c r="L23" s="11"/>
      <c r="M23" s="376">
        <v>1.35</v>
      </c>
      <c r="N23" s="268">
        <v>1.35</v>
      </c>
      <c r="O23" s="268">
        <v>1.35</v>
      </c>
      <c r="P23" s="268">
        <v>1.35</v>
      </c>
      <c r="Q23" s="89"/>
      <c r="R23" s="376">
        <v>1</v>
      </c>
      <c r="S23" s="268">
        <v>1</v>
      </c>
      <c r="T23" s="268">
        <v>1</v>
      </c>
      <c r="U23" s="268">
        <v>1</v>
      </c>
      <c r="V23" s="89"/>
      <c r="W23" s="268">
        <v>1.35</v>
      </c>
      <c r="X23" s="268">
        <v>1.35</v>
      </c>
      <c r="Y23" s="268">
        <v>1.35</v>
      </c>
      <c r="Z23" s="268">
        <v>1.35</v>
      </c>
      <c r="AA23" s="376"/>
      <c r="AB23" s="268">
        <v>1.35</v>
      </c>
      <c r="AC23" s="268">
        <v>1.35</v>
      </c>
      <c r="AD23" s="268">
        <v>1.35</v>
      </c>
      <c r="AE23" s="268">
        <v>1.35</v>
      </c>
      <c r="AF23" s="376"/>
      <c r="AG23" s="268">
        <v>1.35</v>
      </c>
      <c r="AH23" s="268">
        <v>1.35</v>
      </c>
      <c r="AI23" s="268">
        <v>1.35</v>
      </c>
      <c r="AJ23" s="268">
        <v>1.35</v>
      </c>
      <c r="AK23" s="376"/>
      <c r="AL23" s="268">
        <v>1.35</v>
      </c>
      <c r="AM23" s="268">
        <v>1.35</v>
      </c>
      <c r="AN23" s="268">
        <v>1.35</v>
      </c>
      <c r="AO23" s="268">
        <v>1.35</v>
      </c>
      <c r="AP23" s="376"/>
      <c r="AQ23" s="700">
        <v>1.35</v>
      </c>
      <c r="AR23" s="700">
        <v>1.35</v>
      </c>
      <c r="AS23" s="700">
        <v>1.35</v>
      </c>
      <c r="AT23" s="700">
        <v>1.35</v>
      </c>
      <c r="AU23" s="376"/>
      <c r="AV23" s="823">
        <v>1</v>
      </c>
      <c r="AW23" s="823">
        <v>1</v>
      </c>
      <c r="AX23" s="823">
        <v>1</v>
      </c>
      <c r="AY23" s="823">
        <v>1</v>
      </c>
      <c r="AZ23" s="376"/>
      <c r="BA23" s="700">
        <v>1.35</v>
      </c>
      <c r="BB23" s="700">
        <v>1.35</v>
      </c>
      <c r="BC23" s="700">
        <v>1.35</v>
      </c>
      <c r="BD23" s="700">
        <v>1.35</v>
      </c>
      <c r="BE23" s="376"/>
      <c r="BF23" s="376">
        <v>1.35</v>
      </c>
      <c r="BG23" s="376">
        <v>1.35</v>
      </c>
      <c r="BH23" s="376">
        <v>1.35</v>
      </c>
      <c r="BI23" s="376">
        <v>1.35</v>
      </c>
      <c r="BJ23" s="376"/>
      <c r="BK23" s="376">
        <v>1.35</v>
      </c>
      <c r="BL23" s="376">
        <v>1.35</v>
      </c>
      <c r="BM23" s="376">
        <v>1.35</v>
      </c>
      <c r="BN23" s="376">
        <v>1.35</v>
      </c>
      <c r="BO23" s="376"/>
      <c r="BP23" s="376">
        <v>1.35</v>
      </c>
      <c r="BQ23" s="376">
        <v>1.35</v>
      </c>
      <c r="BR23" s="376">
        <v>1.35</v>
      </c>
      <c r="BS23" s="376">
        <v>1.35</v>
      </c>
    </row>
    <row r="24" spans="1:71">
      <c r="A24" s="25" t="s">
        <v>251</v>
      </c>
      <c r="B24" s="26" t="s">
        <v>971</v>
      </c>
      <c r="C24" s="26"/>
      <c r="D24" s="26"/>
      <c r="E24" s="27"/>
      <c r="F24" s="195">
        <f>SF!F24</f>
        <v>20.660000000000004</v>
      </c>
      <c r="G24" s="27"/>
      <c r="H24" s="34"/>
      <c r="I24" s="195">
        <f>SF!I24</f>
        <v>10.330000000000002</v>
      </c>
      <c r="J24" s="195">
        <f>SF!J24</f>
        <v>0</v>
      </c>
      <c r="K24" s="265"/>
      <c r="L24" s="266"/>
      <c r="M24" s="376">
        <v>1.75</v>
      </c>
      <c r="N24" s="268">
        <v>1.35</v>
      </c>
      <c r="O24" s="268">
        <v>1.35</v>
      </c>
      <c r="P24" s="268">
        <v>1.35</v>
      </c>
      <c r="Q24" s="267"/>
      <c r="R24" s="376">
        <v>1</v>
      </c>
      <c r="S24" s="268">
        <v>1</v>
      </c>
      <c r="T24" s="268">
        <v>1</v>
      </c>
      <c r="U24" s="268">
        <v>1</v>
      </c>
      <c r="V24" s="267"/>
      <c r="W24" s="268">
        <v>1.35</v>
      </c>
      <c r="X24" s="268">
        <v>1.35</v>
      </c>
      <c r="Y24" s="268">
        <v>1.35</v>
      </c>
      <c r="Z24" s="268">
        <v>1.35</v>
      </c>
      <c r="AA24" s="268"/>
      <c r="AB24" s="268">
        <v>1.35</v>
      </c>
      <c r="AC24" s="268">
        <v>1.35</v>
      </c>
      <c r="AD24" s="268">
        <v>1.35</v>
      </c>
      <c r="AE24" s="268">
        <v>1.35</v>
      </c>
      <c r="AF24" s="268"/>
      <c r="AG24" s="268">
        <v>1.35</v>
      </c>
      <c r="AH24" s="268">
        <v>1.35</v>
      </c>
      <c r="AI24" s="268">
        <v>1.35</v>
      </c>
      <c r="AJ24" s="268">
        <v>1.35</v>
      </c>
      <c r="AK24" s="268"/>
      <c r="AL24" s="268">
        <v>1.35</v>
      </c>
      <c r="AM24" s="268">
        <v>1.35</v>
      </c>
      <c r="AN24" s="268">
        <v>1.35</v>
      </c>
      <c r="AO24" s="268">
        <v>1.35</v>
      </c>
      <c r="AP24" s="268"/>
      <c r="AQ24" s="699">
        <v>1.35</v>
      </c>
      <c r="AR24" s="699">
        <v>1.35</v>
      </c>
      <c r="AS24" s="699">
        <v>1.35</v>
      </c>
      <c r="AT24" s="699">
        <v>1.35</v>
      </c>
      <c r="AU24" s="268"/>
      <c r="AV24" s="477">
        <v>1</v>
      </c>
      <c r="AW24" s="477">
        <v>1</v>
      </c>
      <c r="AX24" s="477">
        <v>1</v>
      </c>
      <c r="AY24" s="477">
        <v>1</v>
      </c>
      <c r="AZ24" s="268"/>
      <c r="BA24" s="700">
        <v>1.35</v>
      </c>
      <c r="BB24" s="700">
        <v>1.35</v>
      </c>
      <c r="BC24" s="700">
        <v>1.35</v>
      </c>
      <c r="BD24" s="700">
        <v>1.35</v>
      </c>
      <c r="BE24" s="268"/>
      <c r="BF24" s="376">
        <v>1.35</v>
      </c>
      <c r="BG24" s="376">
        <v>1.35</v>
      </c>
      <c r="BH24" s="376">
        <v>1.35</v>
      </c>
      <c r="BI24" s="376">
        <v>1.35</v>
      </c>
      <c r="BJ24" s="268"/>
      <c r="BK24" s="376">
        <v>1.35</v>
      </c>
      <c r="BL24" s="376">
        <v>1.35</v>
      </c>
      <c r="BM24" s="376">
        <v>1.35</v>
      </c>
      <c r="BN24" s="376">
        <v>1.35</v>
      </c>
      <c r="BO24" s="268"/>
      <c r="BP24" s="376">
        <v>1.35</v>
      </c>
      <c r="BQ24" s="376">
        <v>1.35</v>
      </c>
      <c r="BR24" s="376">
        <v>1.35</v>
      </c>
      <c r="BS24" s="376">
        <v>1.35</v>
      </c>
    </row>
    <row r="25" spans="1:71">
      <c r="A25" s="25" t="s">
        <v>97</v>
      </c>
      <c r="B25" s="26" t="s">
        <v>972</v>
      </c>
      <c r="C25" s="26"/>
      <c r="D25" s="26"/>
      <c r="E25" s="27"/>
      <c r="F25" s="195">
        <f>SF!F25</f>
        <v>42</v>
      </c>
      <c r="G25" s="27"/>
      <c r="H25" s="34"/>
      <c r="I25" s="195">
        <f>SF!I25</f>
        <v>14.858499999999999</v>
      </c>
      <c r="J25" s="195">
        <f>SF!J25</f>
        <v>0</v>
      </c>
      <c r="K25" s="112"/>
      <c r="L25" s="11"/>
      <c r="M25" s="268">
        <v>1.75</v>
      </c>
      <c r="N25" s="268">
        <v>1.75</v>
      </c>
      <c r="O25" s="268">
        <v>1.75</v>
      </c>
      <c r="P25" s="268">
        <v>1.75</v>
      </c>
      <c r="Q25" s="89"/>
      <c r="R25" s="376">
        <v>1</v>
      </c>
      <c r="S25" s="268">
        <v>1</v>
      </c>
      <c r="T25" s="268">
        <v>1</v>
      </c>
      <c r="U25" s="268">
        <v>1</v>
      </c>
      <c r="V25" s="89"/>
      <c r="W25" s="268">
        <v>1.75</v>
      </c>
      <c r="X25" s="268">
        <v>1.75</v>
      </c>
      <c r="Y25" s="268">
        <v>1.75</v>
      </c>
      <c r="Z25" s="268">
        <v>1.75</v>
      </c>
      <c r="AA25" s="376"/>
      <c r="AB25" s="268">
        <v>1.75</v>
      </c>
      <c r="AC25" s="268">
        <v>1.75</v>
      </c>
      <c r="AD25" s="268">
        <v>1.75</v>
      </c>
      <c r="AE25" s="268">
        <v>1.75</v>
      </c>
      <c r="AF25" s="376"/>
      <c r="AG25" s="268">
        <v>1.75</v>
      </c>
      <c r="AH25" s="268">
        <v>1.75</v>
      </c>
      <c r="AI25" s="268">
        <v>1.75</v>
      </c>
      <c r="AJ25" s="268">
        <v>1.75</v>
      </c>
      <c r="AK25" s="376"/>
      <c r="AL25" s="268">
        <v>1.75</v>
      </c>
      <c r="AM25" s="268">
        <v>1.75</v>
      </c>
      <c r="AN25" s="268">
        <v>1.75</v>
      </c>
      <c r="AO25" s="268">
        <v>1.75</v>
      </c>
      <c r="AP25" s="376"/>
      <c r="AQ25" s="268">
        <v>1.75</v>
      </c>
      <c r="AR25" s="268">
        <v>1.75</v>
      </c>
      <c r="AS25" s="268">
        <v>1.75</v>
      </c>
      <c r="AT25" s="268">
        <v>1.75</v>
      </c>
      <c r="AU25" s="376"/>
      <c r="AV25" s="823">
        <v>1</v>
      </c>
      <c r="AW25" s="823">
        <v>1</v>
      </c>
      <c r="AX25" s="823">
        <v>1</v>
      </c>
      <c r="AY25" s="823">
        <v>1</v>
      </c>
      <c r="AZ25" s="376"/>
      <c r="BA25" s="268">
        <v>1.75</v>
      </c>
      <c r="BB25" s="268">
        <v>1.75</v>
      </c>
      <c r="BC25" s="268">
        <v>1.75</v>
      </c>
      <c r="BD25" s="268">
        <v>1.75</v>
      </c>
      <c r="BE25" s="376"/>
      <c r="BF25" s="268">
        <v>1.75</v>
      </c>
      <c r="BG25" s="268">
        <v>1.75</v>
      </c>
      <c r="BH25" s="268">
        <v>1.75</v>
      </c>
      <c r="BI25" s="268">
        <v>1.75</v>
      </c>
      <c r="BJ25" s="376"/>
      <c r="BK25" s="268">
        <v>1.75</v>
      </c>
      <c r="BL25" s="268">
        <v>1.75</v>
      </c>
      <c r="BM25" s="268">
        <v>1.75</v>
      </c>
      <c r="BN25" s="268">
        <v>1.75</v>
      </c>
      <c r="BO25" s="376"/>
      <c r="BP25" s="268">
        <v>1.75</v>
      </c>
      <c r="BQ25" s="268">
        <v>1.75</v>
      </c>
      <c r="BR25" s="268">
        <v>1.75</v>
      </c>
      <c r="BS25" s="268">
        <v>1.75</v>
      </c>
    </row>
    <row r="26" spans="1:71">
      <c r="A26" s="25"/>
      <c r="B26" s="26"/>
      <c r="C26" s="26"/>
      <c r="D26" s="26"/>
      <c r="E26" s="27"/>
      <c r="F26" s="34"/>
      <c r="G26" s="27"/>
      <c r="H26" s="34"/>
      <c r="I26" s="34"/>
      <c r="J26" s="34"/>
      <c r="K26" s="265"/>
      <c r="L26" s="266"/>
      <c r="M26" s="268"/>
      <c r="N26" s="268"/>
      <c r="O26" s="268"/>
      <c r="P26" s="268"/>
      <c r="Q26" s="267"/>
      <c r="R26" s="268"/>
      <c r="S26" s="268"/>
      <c r="T26" s="268"/>
      <c r="U26" s="268"/>
      <c r="V26" s="267"/>
      <c r="W26" s="268"/>
      <c r="X26" s="268"/>
      <c r="Y26" s="268"/>
      <c r="Z26" s="268"/>
      <c r="AA26" s="268"/>
      <c r="AB26" s="268"/>
      <c r="AC26" s="268"/>
      <c r="AD26" s="268"/>
      <c r="AE26" s="268"/>
      <c r="AF26" s="268"/>
      <c r="AG26" s="268"/>
      <c r="AH26" s="268"/>
      <c r="AI26" s="268"/>
      <c r="AJ26" s="268"/>
      <c r="AK26" s="268"/>
      <c r="AL26" s="268"/>
      <c r="AM26" s="268"/>
      <c r="AN26" s="268"/>
      <c r="AO26" s="268"/>
      <c r="AP26" s="268"/>
      <c r="AQ26" s="699"/>
      <c r="AR26" s="699"/>
      <c r="AS26" s="699"/>
      <c r="AT26" s="699"/>
      <c r="AU26" s="268"/>
      <c r="AV26" s="477"/>
      <c r="AW26" s="477"/>
      <c r="AX26" s="477"/>
      <c r="AY26" s="477"/>
      <c r="AZ26" s="268"/>
      <c r="BA26" s="699"/>
      <c r="BB26" s="699"/>
      <c r="BC26" s="699"/>
      <c r="BD26" s="699"/>
      <c r="BE26" s="268"/>
      <c r="BF26" s="268"/>
      <c r="BG26" s="268"/>
      <c r="BH26" s="268"/>
      <c r="BI26" s="268"/>
      <c r="BJ26" s="268"/>
      <c r="BK26" s="268"/>
      <c r="BL26" s="268"/>
      <c r="BM26" s="268"/>
      <c r="BN26" s="268"/>
      <c r="BO26" s="268"/>
      <c r="BP26" s="268"/>
      <c r="BQ26" s="268"/>
      <c r="BR26" s="268"/>
      <c r="BS26" s="268"/>
    </row>
    <row r="27" spans="1:71">
      <c r="A27" s="25" t="s">
        <v>974</v>
      </c>
      <c r="B27" s="26"/>
      <c r="C27" s="26"/>
      <c r="D27" s="26"/>
      <c r="E27" s="27"/>
      <c r="F27" s="34"/>
      <c r="G27" s="27"/>
      <c r="H27" s="34"/>
      <c r="I27" s="34"/>
      <c r="J27" s="34"/>
      <c r="K27" s="265"/>
      <c r="L27" s="266"/>
      <c r="M27" s="268"/>
      <c r="N27" s="268"/>
      <c r="O27" s="268"/>
      <c r="P27" s="268"/>
      <c r="Q27" s="267"/>
      <c r="R27" s="268"/>
      <c r="S27" s="268"/>
      <c r="T27" s="268"/>
      <c r="U27" s="268"/>
      <c r="V27" s="267"/>
      <c r="W27" s="268"/>
      <c r="X27" s="268"/>
      <c r="Y27" s="268"/>
      <c r="Z27" s="268"/>
      <c r="AA27" s="268"/>
      <c r="AB27" s="268"/>
      <c r="AC27" s="268"/>
      <c r="AD27" s="268"/>
      <c r="AE27" s="268"/>
      <c r="AF27" s="268"/>
      <c r="AG27" s="268"/>
      <c r="AH27" s="268"/>
      <c r="AI27" s="268"/>
      <c r="AJ27" s="268"/>
      <c r="AK27" s="268"/>
      <c r="AL27" s="268"/>
      <c r="AM27" s="268"/>
      <c r="AN27" s="268"/>
      <c r="AO27" s="268"/>
      <c r="AP27" s="268"/>
      <c r="AQ27" s="699"/>
      <c r="AR27" s="699"/>
      <c r="AS27" s="699"/>
      <c r="AT27" s="699"/>
      <c r="AU27" s="268"/>
      <c r="AV27" s="477"/>
      <c r="AW27" s="477"/>
      <c r="AX27" s="477"/>
      <c r="AY27" s="477"/>
      <c r="AZ27" s="268"/>
      <c r="BA27" s="699"/>
      <c r="BB27" s="699"/>
      <c r="BC27" s="699"/>
      <c r="BD27" s="699"/>
      <c r="BE27" s="268"/>
      <c r="BF27" s="268"/>
      <c r="BG27" s="268"/>
      <c r="BH27" s="268"/>
      <c r="BI27" s="268"/>
      <c r="BJ27" s="268"/>
      <c r="BK27" s="268"/>
      <c r="BL27" s="268"/>
      <c r="BM27" s="268"/>
      <c r="BN27" s="268"/>
      <c r="BO27" s="268"/>
      <c r="BP27" s="268"/>
      <c r="BQ27" s="268"/>
      <c r="BR27" s="268"/>
      <c r="BS27" s="268"/>
    </row>
    <row r="28" spans="1:71">
      <c r="A28" s="25" t="s">
        <v>975</v>
      </c>
      <c r="B28" s="26"/>
      <c r="C28" s="26"/>
      <c r="D28" s="26"/>
      <c r="E28" s="27"/>
      <c r="F28" s="34"/>
      <c r="G28" s="27"/>
      <c r="H28" s="34"/>
      <c r="I28" s="34"/>
      <c r="J28" s="34"/>
      <c r="K28" s="265"/>
      <c r="L28" s="266"/>
      <c r="M28" s="268"/>
      <c r="N28" s="268"/>
      <c r="O28" s="268"/>
      <c r="P28" s="268"/>
      <c r="Q28" s="267"/>
      <c r="R28" s="268"/>
      <c r="S28" s="268"/>
      <c r="T28" s="268"/>
      <c r="U28" s="268"/>
      <c r="V28" s="267"/>
      <c r="W28" s="268"/>
      <c r="X28" s="268"/>
      <c r="Y28" s="268"/>
      <c r="Z28" s="268"/>
      <c r="AA28" s="268"/>
      <c r="AB28" s="268"/>
      <c r="AC28" s="268"/>
      <c r="AD28" s="268"/>
      <c r="AE28" s="268"/>
      <c r="AF28" s="268"/>
      <c r="AG28" s="268"/>
      <c r="AH28" s="268"/>
      <c r="AI28" s="268"/>
      <c r="AJ28" s="268"/>
      <c r="AK28" s="268"/>
      <c r="AL28" s="268"/>
      <c r="AM28" s="268"/>
      <c r="AN28" s="268"/>
      <c r="AO28" s="268"/>
      <c r="AP28" s="268"/>
      <c r="AQ28" s="699"/>
      <c r="AR28" s="699"/>
      <c r="AS28" s="699"/>
      <c r="AT28" s="699"/>
      <c r="AU28" s="268"/>
      <c r="AV28" s="477"/>
      <c r="AW28" s="477"/>
      <c r="AX28" s="477"/>
      <c r="AY28" s="477"/>
      <c r="AZ28" s="268"/>
      <c r="BA28" s="699"/>
      <c r="BB28" s="699"/>
      <c r="BC28" s="699"/>
      <c r="BD28" s="699"/>
      <c r="BE28" s="268"/>
      <c r="BF28" s="268"/>
      <c r="BG28" s="268"/>
      <c r="BH28" s="268"/>
      <c r="BI28" s="268"/>
      <c r="BJ28" s="268"/>
      <c r="BK28" s="268"/>
      <c r="BL28" s="268"/>
      <c r="BM28" s="268"/>
      <c r="BN28" s="268"/>
      <c r="BO28" s="268"/>
      <c r="BP28" s="268"/>
      <c r="BQ28" s="268"/>
      <c r="BR28" s="268"/>
      <c r="BS28" s="268"/>
    </row>
    <row r="29" spans="1:71">
      <c r="A29" s="25" t="s">
        <v>976</v>
      </c>
      <c r="B29" s="26" t="s">
        <v>978</v>
      </c>
      <c r="C29" s="26"/>
      <c r="D29" s="26"/>
      <c r="E29" s="27"/>
      <c r="F29" s="195">
        <f>SF!F29</f>
        <v>65.160399999999996</v>
      </c>
      <c r="G29" s="27"/>
      <c r="H29" s="34"/>
      <c r="I29" s="195">
        <f>SF!I29</f>
        <v>-32.580199999999998</v>
      </c>
      <c r="J29" s="195">
        <f>SF!J29</f>
        <v>-10.105732306306301</v>
      </c>
      <c r="K29" s="112"/>
      <c r="L29" s="11"/>
      <c r="M29" s="268">
        <v>0</v>
      </c>
      <c r="N29" s="268">
        <v>0</v>
      </c>
      <c r="O29" s="268">
        <v>1.5</v>
      </c>
      <c r="P29" s="268">
        <v>0</v>
      </c>
      <c r="Q29" s="89"/>
      <c r="R29" s="268">
        <v>0</v>
      </c>
      <c r="S29" s="268">
        <v>0</v>
      </c>
      <c r="T29" s="268">
        <v>1.3</v>
      </c>
      <c r="U29" s="268">
        <v>0</v>
      </c>
      <c r="V29" s="89"/>
      <c r="W29" s="268">
        <v>0</v>
      </c>
      <c r="X29" s="268">
        <v>0</v>
      </c>
      <c r="Y29" s="268">
        <v>0</v>
      </c>
      <c r="Z29" s="268">
        <v>0</v>
      </c>
      <c r="AA29" s="268"/>
      <c r="AB29" s="268">
        <v>0</v>
      </c>
      <c r="AC29" s="268">
        <v>0</v>
      </c>
      <c r="AD29" s="268">
        <v>0</v>
      </c>
      <c r="AE29" s="268">
        <v>0</v>
      </c>
      <c r="AF29" s="268"/>
      <c r="AG29" s="268">
        <v>0.2</v>
      </c>
      <c r="AH29" s="268">
        <v>0.2</v>
      </c>
      <c r="AI29" s="268">
        <v>0.2</v>
      </c>
      <c r="AJ29" s="268">
        <v>0.2</v>
      </c>
      <c r="AK29" s="268"/>
      <c r="AL29" s="268">
        <v>0</v>
      </c>
      <c r="AM29" s="268">
        <v>0</v>
      </c>
      <c r="AN29" s="268">
        <v>0</v>
      </c>
      <c r="AO29" s="268">
        <v>0</v>
      </c>
      <c r="AP29" s="268"/>
      <c r="AQ29" s="699">
        <v>0</v>
      </c>
      <c r="AR29" s="699">
        <v>0</v>
      </c>
      <c r="AS29" s="699">
        <v>1.5</v>
      </c>
      <c r="AT29" s="699">
        <v>0</v>
      </c>
      <c r="AU29" s="268"/>
      <c r="AV29" s="477">
        <v>0</v>
      </c>
      <c r="AW29" s="477">
        <v>0</v>
      </c>
      <c r="AX29" s="477">
        <v>1.3</v>
      </c>
      <c r="AY29" s="477">
        <v>0</v>
      </c>
      <c r="AZ29" s="268"/>
      <c r="BA29" s="699">
        <v>0</v>
      </c>
      <c r="BB29" s="699">
        <v>0</v>
      </c>
      <c r="BC29" s="699">
        <v>0</v>
      </c>
      <c r="BD29" s="699">
        <v>0</v>
      </c>
      <c r="BE29" s="268"/>
      <c r="BF29" s="268">
        <v>0</v>
      </c>
      <c r="BG29" s="268">
        <v>0</v>
      </c>
      <c r="BH29" s="268">
        <v>0</v>
      </c>
      <c r="BI29" s="268">
        <v>0</v>
      </c>
      <c r="BJ29" s="268"/>
      <c r="BK29" s="268">
        <v>0.2</v>
      </c>
      <c r="BL29" s="268">
        <v>0.2</v>
      </c>
      <c r="BM29" s="268">
        <v>0.2</v>
      </c>
      <c r="BN29" s="268">
        <v>0.2</v>
      </c>
      <c r="BO29" s="268"/>
      <c r="BP29" s="268">
        <v>0</v>
      </c>
      <c r="BQ29" s="268">
        <v>0</v>
      </c>
      <c r="BR29" s="268">
        <v>0</v>
      </c>
      <c r="BS29" s="268">
        <v>0</v>
      </c>
    </row>
    <row r="30" spans="1:71">
      <c r="A30" s="25" t="s">
        <v>977</v>
      </c>
      <c r="B30" s="26" t="s">
        <v>979</v>
      </c>
      <c r="C30" s="26"/>
      <c r="D30" s="26"/>
      <c r="E30" s="27"/>
      <c r="F30" s="195">
        <f>SF!F30</f>
        <v>75.185314285714313</v>
      </c>
      <c r="G30" s="27"/>
      <c r="H30" s="34"/>
      <c r="I30" s="195">
        <f>SF!I30</f>
        <v>37.592657142857156</v>
      </c>
      <c r="J30" s="195">
        <f>SF!J30</f>
        <v>-11.660497166023164</v>
      </c>
      <c r="K30" s="271"/>
      <c r="L30" s="266"/>
      <c r="M30" s="268">
        <v>0</v>
      </c>
      <c r="N30" s="268">
        <v>0</v>
      </c>
      <c r="O30" s="268">
        <v>1.5</v>
      </c>
      <c r="P30" s="268">
        <v>0</v>
      </c>
      <c r="Q30" s="267"/>
      <c r="R30" s="268">
        <v>0</v>
      </c>
      <c r="S30" s="268">
        <v>0</v>
      </c>
      <c r="T30" s="268">
        <v>1.3</v>
      </c>
      <c r="U30" s="268">
        <v>0</v>
      </c>
      <c r="V30" s="267"/>
      <c r="W30" s="268">
        <v>0</v>
      </c>
      <c r="X30" s="268">
        <v>0</v>
      </c>
      <c r="Y30" s="268">
        <v>0</v>
      </c>
      <c r="Z30" s="268">
        <v>0</v>
      </c>
      <c r="AA30" s="268"/>
      <c r="AB30" s="268">
        <v>0</v>
      </c>
      <c r="AC30" s="268">
        <v>0</v>
      </c>
      <c r="AD30" s="268">
        <v>0</v>
      </c>
      <c r="AE30" s="268">
        <v>0</v>
      </c>
      <c r="AF30" s="268"/>
      <c r="AG30" s="268">
        <v>0.2</v>
      </c>
      <c r="AH30" s="268">
        <v>0.2</v>
      </c>
      <c r="AI30" s="268">
        <v>0.2</v>
      </c>
      <c r="AJ30" s="268">
        <v>0.2</v>
      </c>
      <c r="AK30" s="268"/>
      <c r="AL30" s="268">
        <v>0</v>
      </c>
      <c r="AM30" s="268">
        <v>0</v>
      </c>
      <c r="AN30" s="268">
        <v>0</v>
      </c>
      <c r="AO30" s="268">
        <v>0</v>
      </c>
      <c r="AP30" s="268"/>
      <c r="AQ30" s="699">
        <v>0</v>
      </c>
      <c r="AR30" s="699">
        <v>0</v>
      </c>
      <c r="AS30" s="699">
        <v>1.5</v>
      </c>
      <c r="AT30" s="699">
        <v>0</v>
      </c>
      <c r="AU30" s="268"/>
      <c r="AV30" s="477">
        <v>0</v>
      </c>
      <c r="AW30" s="477">
        <v>0</v>
      </c>
      <c r="AX30" s="477">
        <v>1.3</v>
      </c>
      <c r="AY30" s="477">
        <v>0</v>
      </c>
      <c r="AZ30" s="268"/>
      <c r="BA30" s="699">
        <v>0</v>
      </c>
      <c r="BB30" s="699">
        <v>0</v>
      </c>
      <c r="BC30" s="699">
        <v>0</v>
      </c>
      <c r="BD30" s="699">
        <v>0</v>
      </c>
      <c r="BE30" s="268"/>
      <c r="BF30" s="268">
        <v>0</v>
      </c>
      <c r="BG30" s="268">
        <v>0</v>
      </c>
      <c r="BH30" s="268">
        <v>0</v>
      </c>
      <c r="BI30" s="268">
        <v>0</v>
      </c>
      <c r="BJ30" s="268"/>
      <c r="BK30" s="268">
        <v>0.2</v>
      </c>
      <c r="BL30" s="268">
        <v>0.2</v>
      </c>
      <c r="BM30" s="268">
        <v>0.2</v>
      </c>
      <c r="BN30" s="268">
        <v>0.2</v>
      </c>
      <c r="BO30" s="268"/>
      <c r="BP30" s="268">
        <v>0</v>
      </c>
      <c r="BQ30" s="268">
        <v>0</v>
      </c>
      <c r="BR30" s="268">
        <v>0</v>
      </c>
      <c r="BS30" s="268">
        <v>0</v>
      </c>
    </row>
    <row r="31" spans="1:71">
      <c r="A31" s="25"/>
      <c r="B31" s="26"/>
      <c r="C31" s="26"/>
      <c r="D31" s="26"/>
      <c r="E31" s="27"/>
      <c r="F31" s="34"/>
      <c r="G31" s="27"/>
      <c r="H31" s="34"/>
      <c r="I31" s="34"/>
      <c r="J31" s="34"/>
      <c r="K31" s="265"/>
      <c r="L31" s="266"/>
      <c r="M31" s="268"/>
      <c r="N31" s="268"/>
      <c r="O31" s="268"/>
      <c r="P31" s="268"/>
      <c r="Q31" s="267"/>
      <c r="R31" s="268"/>
      <c r="S31" s="268"/>
      <c r="T31" s="268"/>
      <c r="U31" s="268"/>
      <c r="V31" s="267"/>
      <c r="W31" s="268"/>
      <c r="X31" s="268"/>
      <c r="Y31" s="268"/>
      <c r="Z31" s="268"/>
      <c r="AA31" s="268"/>
      <c r="AB31" s="268"/>
      <c r="AC31" s="268"/>
      <c r="AD31" s="268"/>
      <c r="AE31" s="268"/>
      <c r="AF31" s="268"/>
      <c r="AG31" s="268"/>
      <c r="AH31" s="268"/>
      <c r="AI31" s="268"/>
      <c r="AJ31" s="268"/>
      <c r="AK31" s="268"/>
      <c r="AL31" s="268"/>
      <c r="AM31" s="268"/>
      <c r="AN31" s="268"/>
      <c r="AO31" s="268"/>
      <c r="AP31" s="268"/>
      <c r="AQ31" s="699"/>
      <c r="AR31" s="699"/>
      <c r="AS31" s="699"/>
      <c r="AT31" s="699"/>
      <c r="AU31" s="268"/>
      <c r="AV31" s="477"/>
      <c r="AW31" s="477"/>
      <c r="AX31" s="477"/>
      <c r="AY31" s="477"/>
      <c r="AZ31" s="268"/>
      <c r="BA31" s="699"/>
      <c r="BB31" s="699"/>
      <c r="BC31" s="699"/>
      <c r="BD31" s="699"/>
      <c r="BE31" s="268"/>
      <c r="BF31" s="268"/>
      <c r="BG31" s="268"/>
      <c r="BH31" s="268"/>
      <c r="BI31" s="268"/>
      <c r="BJ31" s="268"/>
      <c r="BK31" s="268"/>
      <c r="BL31" s="268"/>
      <c r="BM31" s="268"/>
      <c r="BN31" s="268"/>
      <c r="BO31" s="268"/>
      <c r="BP31" s="268"/>
      <c r="BQ31" s="268"/>
      <c r="BR31" s="268"/>
      <c r="BS31" s="268"/>
    </row>
    <row r="32" spans="1:71">
      <c r="A32" s="25" t="s">
        <v>980</v>
      </c>
      <c r="B32" s="26"/>
      <c r="C32" s="26"/>
      <c r="D32" s="26"/>
      <c r="E32" s="27"/>
      <c r="F32" s="34"/>
      <c r="G32" s="27"/>
      <c r="H32" s="34"/>
      <c r="I32" s="34"/>
      <c r="J32" s="34"/>
      <c r="K32" s="265"/>
      <c r="L32" s="266"/>
      <c r="M32" s="376"/>
      <c r="N32" s="376"/>
      <c r="O32" s="376"/>
      <c r="P32" s="376"/>
      <c r="Q32" s="267"/>
      <c r="R32" s="376"/>
      <c r="S32" s="376"/>
      <c r="T32" s="376"/>
      <c r="U32" s="376"/>
      <c r="V32" s="267"/>
      <c r="W32" s="376"/>
      <c r="X32" s="376"/>
      <c r="Y32" s="376"/>
      <c r="Z32" s="376"/>
      <c r="AA32" s="376"/>
      <c r="AB32" s="376"/>
      <c r="AC32" s="376"/>
      <c r="AD32" s="376"/>
      <c r="AE32" s="376"/>
      <c r="AF32" s="376"/>
      <c r="AG32" s="376"/>
      <c r="AH32" s="376"/>
      <c r="AI32" s="376"/>
      <c r="AJ32" s="376"/>
      <c r="AK32" s="376"/>
      <c r="AL32" s="376"/>
      <c r="AM32" s="376"/>
      <c r="AN32" s="376"/>
      <c r="AO32" s="376"/>
      <c r="AP32" s="376"/>
      <c r="AQ32" s="700"/>
      <c r="AR32" s="700"/>
      <c r="AS32" s="700"/>
      <c r="AT32" s="700"/>
      <c r="AU32" s="376"/>
      <c r="AV32" s="823"/>
      <c r="AW32" s="823"/>
      <c r="AX32" s="823"/>
      <c r="AY32" s="823"/>
      <c r="AZ32" s="376"/>
      <c r="BA32" s="700"/>
      <c r="BB32" s="700"/>
      <c r="BC32" s="700"/>
      <c r="BD32" s="700"/>
      <c r="BE32" s="376"/>
      <c r="BF32" s="376"/>
      <c r="BG32" s="376"/>
      <c r="BH32" s="376"/>
      <c r="BI32" s="376"/>
      <c r="BJ32" s="376"/>
      <c r="BK32" s="376"/>
      <c r="BL32" s="376"/>
      <c r="BM32" s="376"/>
      <c r="BN32" s="376"/>
      <c r="BO32" s="376"/>
      <c r="BP32" s="376"/>
      <c r="BQ32" s="376"/>
      <c r="BR32" s="376"/>
      <c r="BS32" s="376"/>
    </row>
    <row r="33" spans="1:71">
      <c r="A33" s="25" t="s">
        <v>976</v>
      </c>
      <c r="B33" s="26" t="s">
        <v>981</v>
      </c>
      <c r="C33" s="26"/>
      <c r="D33" s="26"/>
      <c r="E33" s="27"/>
      <c r="F33" s="195">
        <f>SF!F33</f>
        <v>0</v>
      </c>
      <c r="G33" s="27"/>
      <c r="H33" s="34"/>
      <c r="I33" s="195">
        <f>SF!I33</f>
        <v>0</v>
      </c>
      <c r="J33" s="195">
        <f>SF!J33</f>
        <v>0</v>
      </c>
      <c r="K33" s="265"/>
      <c r="L33" s="266"/>
      <c r="M33" s="376">
        <v>0</v>
      </c>
      <c r="N33" s="376">
        <v>0</v>
      </c>
      <c r="O33" s="376">
        <v>0</v>
      </c>
      <c r="P33" s="268">
        <v>1.5</v>
      </c>
      <c r="Q33" s="267"/>
      <c r="R33" s="376">
        <v>0</v>
      </c>
      <c r="S33" s="376">
        <v>0</v>
      </c>
      <c r="T33" s="376">
        <v>0</v>
      </c>
      <c r="U33" s="268">
        <v>1.3</v>
      </c>
      <c r="V33" s="267"/>
      <c r="W33" s="376">
        <v>0</v>
      </c>
      <c r="X33" s="376">
        <v>0</v>
      </c>
      <c r="Y33" s="376">
        <v>0</v>
      </c>
      <c r="Z33" s="376">
        <v>0</v>
      </c>
      <c r="AA33" s="376"/>
      <c r="AB33" s="376">
        <v>0</v>
      </c>
      <c r="AC33" s="376">
        <v>0</v>
      </c>
      <c r="AD33" s="376">
        <v>0</v>
      </c>
      <c r="AE33" s="376">
        <v>0</v>
      </c>
      <c r="AF33" s="376"/>
      <c r="AG33" s="376">
        <v>0</v>
      </c>
      <c r="AH33" s="376">
        <v>0</v>
      </c>
      <c r="AI33" s="376">
        <v>0</v>
      </c>
      <c r="AJ33" s="376">
        <v>0</v>
      </c>
      <c r="AK33" s="376"/>
      <c r="AL33" s="376">
        <v>0.2</v>
      </c>
      <c r="AM33" s="376">
        <v>0.2</v>
      </c>
      <c r="AN33" s="376">
        <v>0.2</v>
      </c>
      <c r="AO33" s="376">
        <v>0.2</v>
      </c>
      <c r="AP33" s="376"/>
      <c r="AQ33" s="700">
        <v>0</v>
      </c>
      <c r="AR33" s="700">
        <v>0</v>
      </c>
      <c r="AS33" s="700">
        <v>0</v>
      </c>
      <c r="AT33" s="700">
        <v>1.5</v>
      </c>
      <c r="AU33" s="376"/>
      <c r="AV33" s="823">
        <v>0</v>
      </c>
      <c r="AW33" s="823">
        <v>0</v>
      </c>
      <c r="AX33" s="823">
        <v>0</v>
      </c>
      <c r="AY33" s="823">
        <v>1.3</v>
      </c>
      <c r="AZ33" s="376"/>
      <c r="BA33" s="700">
        <v>0</v>
      </c>
      <c r="BB33" s="700">
        <v>0</v>
      </c>
      <c r="BC33" s="700">
        <v>0</v>
      </c>
      <c r="BD33" s="700">
        <v>0</v>
      </c>
      <c r="BE33" s="376"/>
      <c r="BF33" s="376">
        <v>0</v>
      </c>
      <c r="BG33" s="376">
        <v>0</v>
      </c>
      <c r="BH33" s="376">
        <v>0</v>
      </c>
      <c r="BI33" s="376">
        <v>0</v>
      </c>
      <c r="BJ33" s="376"/>
      <c r="BK33" s="376">
        <v>0</v>
      </c>
      <c r="BL33" s="376">
        <v>0</v>
      </c>
      <c r="BM33" s="376">
        <v>0</v>
      </c>
      <c r="BN33" s="376">
        <v>0</v>
      </c>
      <c r="BO33" s="376"/>
      <c r="BP33" s="376">
        <v>0.2</v>
      </c>
      <c r="BQ33" s="376">
        <v>0.2</v>
      </c>
      <c r="BR33" s="376">
        <v>0.2</v>
      </c>
      <c r="BS33" s="376">
        <v>0.2</v>
      </c>
    </row>
    <row r="34" spans="1:71">
      <c r="A34" s="25" t="s">
        <v>977</v>
      </c>
      <c r="B34" s="26" t="s">
        <v>982</v>
      </c>
      <c r="C34" s="26"/>
      <c r="D34" s="26"/>
      <c r="E34" s="27"/>
      <c r="F34" s="195">
        <f>SF!F34</f>
        <v>127.89948571428575</v>
      </c>
      <c r="G34" s="27"/>
      <c r="H34" s="34"/>
      <c r="I34" s="195">
        <f>SF!I34</f>
        <v>63.949742857142873</v>
      </c>
      <c r="J34" s="195">
        <f>SF!J34</f>
        <v>-19.835942761904757</v>
      </c>
      <c r="K34" s="271"/>
      <c r="L34" s="266"/>
      <c r="M34" s="376">
        <v>0</v>
      </c>
      <c r="N34" s="376">
        <v>0</v>
      </c>
      <c r="O34" s="376">
        <v>0</v>
      </c>
      <c r="P34" s="268">
        <v>1.5</v>
      </c>
      <c r="Q34" s="267"/>
      <c r="R34" s="376">
        <v>0</v>
      </c>
      <c r="S34" s="376">
        <v>0</v>
      </c>
      <c r="T34" s="376">
        <v>0</v>
      </c>
      <c r="U34" s="268">
        <v>1.3</v>
      </c>
      <c r="V34" s="267"/>
      <c r="W34" s="376">
        <v>0</v>
      </c>
      <c r="X34" s="376">
        <v>0</v>
      </c>
      <c r="Y34" s="376">
        <v>0</v>
      </c>
      <c r="Z34" s="376">
        <v>0</v>
      </c>
      <c r="AA34" s="376"/>
      <c r="AB34" s="376">
        <v>0</v>
      </c>
      <c r="AC34" s="376">
        <v>0</v>
      </c>
      <c r="AD34" s="376">
        <v>0</v>
      </c>
      <c r="AE34" s="376">
        <v>0</v>
      </c>
      <c r="AF34" s="376"/>
      <c r="AG34" s="376">
        <v>0</v>
      </c>
      <c r="AH34" s="376">
        <v>0</v>
      </c>
      <c r="AI34" s="376">
        <v>0</v>
      </c>
      <c r="AJ34" s="376">
        <v>0</v>
      </c>
      <c r="AK34" s="376"/>
      <c r="AL34" s="376">
        <v>0.2</v>
      </c>
      <c r="AM34" s="376">
        <v>0.2</v>
      </c>
      <c r="AN34" s="376">
        <v>0.2</v>
      </c>
      <c r="AO34" s="376">
        <v>0.2</v>
      </c>
      <c r="AP34" s="376"/>
      <c r="AQ34" s="700">
        <v>0</v>
      </c>
      <c r="AR34" s="700">
        <v>0</v>
      </c>
      <c r="AS34" s="700">
        <v>0</v>
      </c>
      <c r="AT34" s="700">
        <v>1.5</v>
      </c>
      <c r="AU34" s="376"/>
      <c r="AV34" s="823">
        <v>0</v>
      </c>
      <c r="AW34" s="823">
        <v>0</v>
      </c>
      <c r="AX34" s="823">
        <v>0</v>
      </c>
      <c r="AY34" s="823">
        <v>1.3</v>
      </c>
      <c r="AZ34" s="376"/>
      <c r="BA34" s="700">
        <v>0</v>
      </c>
      <c r="BB34" s="700">
        <v>0</v>
      </c>
      <c r="BC34" s="700">
        <v>0</v>
      </c>
      <c r="BD34" s="700">
        <v>0</v>
      </c>
      <c r="BE34" s="376"/>
      <c r="BF34" s="376">
        <v>0</v>
      </c>
      <c r="BG34" s="376">
        <v>0</v>
      </c>
      <c r="BH34" s="376">
        <v>0</v>
      </c>
      <c r="BI34" s="376">
        <v>0</v>
      </c>
      <c r="BJ34" s="376"/>
      <c r="BK34" s="376">
        <v>0</v>
      </c>
      <c r="BL34" s="376">
        <v>0</v>
      </c>
      <c r="BM34" s="376">
        <v>0</v>
      </c>
      <c r="BN34" s="376">
        <v>0</v>
      </c>
      <c r="BO34" s="376"/>
      <c r="BP34" s="376">
        <v>0.2</v>
      </c>
      <c r="BQ34" s="376">
        <v>0.2</v>
      </c>
      <c r="BR34" s="376">
        <v>0.2</v>
      </c>
      <c r="BS34" s="376">
        <v>0.2</v>
      </c>
    </row>
    <row r="35" spans="1:71">
      <c r="A35" s="25"/>
      <c r="B35" s="26"/>
      <c r="C35" s="26"/>
      <c r="D35" s="26"/>
      <c r="E35" s="27"/>
      <c r="F35" s="34"/>
      <c r="G35" s="27"/>
      <c r="H35" s="34"/>
      <c r="I35" s="34"/>
      <c r="J35" s="34"/>
      <c r="K35" s="112"/>
      <c r="L35" s="11"/>
      <c r="M35" s="376"/>
      <c r="N35" s="376"/>
      <c r="O35" s="376"/>
      <c r="P35" s="376"/>
      <c r="Q35" s="267"/>
      <c r="R35" s="376"/>
      <c r="S35" s="376"/>
      <c r="T35" s="376"/>
      <c r="U35" s="376"/>
      <c r="V35" s="267"/>
      <c r="W35" s="376"/>
      <c r="X35" s="376"/>
      <c r="Y35" s="376"/>
      <c r="Z35" s="376"/>
      <c r="AA35" s="376"/>
      <c r="AB35" s="376"/>
      <c r="AC35" s="376"/>
      <c r="AD35" s="376"/>
      <c r="AE35" s="376"/>
      <c r="AF35" s="376"/>
      <c r="AG35" s="376"/>
      <c r="AH35" s="376"/>
      <c r="AI35" s="376"/>
      <c r="AJ35" s="376"/>
      <c r="AK35" s="376"/>
      <c r="AL35" s="376"/>
      <c r="AM35" s="376"/>
      <c r="AN35" s="376"/>
      <c r="AO35" s="376"/>
      <c r="AP35" s="376"/>
      <c r="AQ35" s="700"/>
      <c r="AR35" s="700"/>
      <c r="AS35" s="700"/>
      <c r="AT35" s="700"/>
      <c r="AU35" s="376"/>
      <c r="AV35" s="823"/>
      <c r="AW35" s="823"/>
      <c r="AX35" s="823"/>
      <c r="AY35" s="823"/>
      <c r="AZ35" s="376"/>
      <c r="BA35" s="700"/>
      <c r="BB35" s="700"/>
      <c r="BC35" s="700"/>
      <c r="BD35" s="700"/>
      <c r="BE35" s="376"/>
      <c r="BF35" s="376"/>
      <c r="BG35" s="376"/>
      <c r="BH35" s="376"/>
      <c r="BI35" s="376"/>
      <c r="BJ35" s="376"/>
      <c r="BK35" s="376"/>
      <c r="BL35" s="376"/>
      <c r="BM35" s="376"/>
      <c r="BN35" s="376"/>
      <c r="BO35" s="376"/>
      <c r="BP35" s="376"/>
      <c r="BQ35" s="376"/>
      <c r="BR35" s="376"/>
      <c r="BS35" s="376"/>
    </row>
    <row r="36" spans="1:71">
      <c r="A36" s="25" t="s">
        <v>983</v>
      </c>
      <c r="B36" s="26"/>
      <c r="C36" s="26"/>
      <c r="D36" s="26"/>
      <c r="E36" s="27"/>
      <c r="F36" s="34"/>
      <c r="G36" s="27"/>
      <c r="H36" s="34"/>
      <c r="I36" s="34"/>
      <c r="J36" s="34"/>
      <c r="K36" s="265"/>
      <c r="L36" s="266"/>
      <c r="M36" s="376"/>
      <c r="N36" s="376"/>
      <c r="O36" s="376"/>
      <c r="P36" s="376"/>
      <c r="Q36" s="267"/>
      <c r="R36" s="376"/>
      <c r="S36" s="376"/>
      <c r="T36" s="376"/>
      <c r="U36" s="376"/>
      <c r="V36" s="267"/>
      <c r="W36" s="376"/>
      <c r="X36" s="376"/>
      <c r="Y36" s="376"/>
      <c r="Z36" s="376"/>
      <c r="AA36" s="376"/>
      <c r="AB36" s="376"/>
      <c r="AC36" s="376"/>
      <c r="AD36" s="376"/>
      <c r="AE36" s="376"/>
      <c r="AF36" s="376"/>
      <c r="AG36" s="376"/>
      <c r="AH36" s="376"/>
      <c r="AI36" s="376"/>
      <c r="AJ36" s="376"/>
      <c r="AK36" s="376"/>
      <c r="AL36" s="376"/>
      <c r="AM36" s="376"/>
      <c r="AN36" s="376"/>
      <c r="AO36" s="376"/>
      <c r="AP36" s="376"/>
      <c r="AQ36" s="700"/>
      <c r="AR36" s="700"/>
      <c r="AS36" s="700"/>
      <c r="AT36" s="700"/>
      <c r="AU36" s="376"/>
      <c r="AV36" s="823"/>
      <c r="AW36" s="823"/>
      <c r="AX36" s="823"/>
      <c r="AY36" s="823"/>
      <c r="AZ36" s="376"/>
      <c r="BA36" s="700"/>
      <c r="BB36" s="700"/>
      <c r="BC36" s="700"/>
      <c r="BD36" s="700"/>
      <c r="BE36" s="376"/>
      <c r="BF36" s="376"/>
      <c r="BG36" s="376"/>
      <c r="BH36" s="376"/>
      <c r="BI36" s="376"/>
      <c r="BJ36" s="376"/>
      <c r="BK36" s="376"/>
      <c r="BL36" s="376"/>
      <c r="BM36" s="376"/>
      <c r="BN36" s="376"/>
      <c r="BO36" s="376"/>
      <c r="BP36" s="376"/>
      <c r="BQ36" s="376"/>
      <c r="BR36" s="376"/>
      <c r="BS36" s="376"/>
    </row>
    <row r="37" spans="1:71">
      <c r="A37" s="25" t="s">
        <v>984</v>
      </c>
      <c r="B37" s="163" t="s">
        <v>951</v>
      </c>
      <c r="C37" s="26"/>
      <c r="D37" s="26"/>
      <c r="E37" s="27"/>
      <c r="F37" s="34"/>
      <c r="G37" s="195">
        <f>SF!G38</f>
        <v>32.051277714285717</v>
      </c>
      <c r="H37" s="34"/>
      <c r="I37" s="195">
        <f>SF!I38</f>
        <v>265.38457947428577</v>
      </c>
      <c r="J37" s="34"/>
      <c r="K37" s="265"/>
      <c r="L37" s="266"/>
      <c r="M37" s="376">
        <v>0</v>
      </c>
      <c r="N37" s="376">
        <v>0</v>
      </c>
      <c r="O37" s="376">
        <v>1.5</v>
      </c>
      <c r="P37" s="376">
        <v>0</v>
      </c>
      <c r="Q37" s="267"/>
      <c r="R37" s="376">
        <v>0</v>
      </c>
      <c r="S37" s="376">
        <v>0</v>
      </c>
      <c r="T37" s="268">
        <v>1.3</v>
      </c>
      <c r="U37" s="376">
        <v>0</v>
      </c>
      <c r="V37" s="267"/>
      <c r="W37" s="376">
        <v>0</v>
      </c>
      <c r="X37" s="376">
        <v>0</v>
      </c>
      <c r="Y37" s="376">
        <v>0</v>
      </c>
      <c r="Z37" s="376">
        <v>0</v>
      </c>
      <c r="AA37" s="376"/>
      <c r="AB37" s="376">
        <v>0</v>
      </c>
      <c r="AC37" s="376">
        <v>0</v>
      </c>
      <c r="AD37" s="376">
        <v>0</v>
      </c>
      <c r="AE37" s="376">
        <v>0</v>
      </c>
      <c r="AF37" s="376"/>
      <c r="AG37" s="376">
        <v>0</v>
      </c>
      <c r="AH37" s="376">
        <v>0</v>
      </c>
      <c r="AI37" s="376">
        <v>0</v>
      </c>
      <c r="AJ37" s="376">
        <v>0</v>
      </c>
      <c r="AK37" s="376"/>
      <c r="AL37" s="376">
        <v>0</v>
      </c>
      <c r="AM37" s="376">
        <v>0</v>
      </c>
      <c r="AN37" s="376">
        <v>0</v>
      </c>
      <c r="AO37" s="376">
        <v>0</v>
      </c>
      <c r="AP37" s="376"/>
      <c r="AQ37" s="700">
        <v>0</v>
      </c>
      <c r="AR37" s="700">
        <v>0</v>
      </c>
      <c r="AS37" s="700">
        <v>1.5</v>
      </c>
      <c r="AT37" s="700">
        <v>0</v>
      </c>
      <c r="AU37" s="376"/>
      <c r="AV37" s="823">
        <v>0</v>
      </c>
      <c r="AW37" s="823">
        <v>0</v>
      </c>
      <c r="AX37" s="823">
        <v>1.3</v>
      </c>
      <c r="AY37" s="823">
        <v>0</v>
      </c>
      <c r="AZ37" s="376"/>
      <c r="BA37" s="700">
        <v>0</v>
      </c>
      <c r="BB37" s="700">
        <v>0</v>
      </c>
      <c r="BC37" s="700">
        <v>0</v>
      </c>
      <c r="BD37" s="700">
        <v>0</v>
      </c>
      <c r="BE37" s="376"/>
      <c r="BF37" s="376">
        <v>0</v>
      </c>
      <c r="BG37" s="376">
        <v>0</v>
      </c>
      <c r="BH37" s="376">
        <v>0</v>
      </c>
      <c r="BI37" s="376">
        <v>0</v>
      </c>
      <c r="BJ37" s="376"/>
      <c r="BK37" s="376">
        <v>0</v>
      </c>
      <c r="BL37" s="376">
        <v>0</v>
      </c>
      <c r="BM37" s="376">
        <v>0</v>
      </c>
      <c r="BN37" s="376">
        <v>0</v>
      </c>
      <c r="BO37" s="376"/>
      <c r="BP37" s="376">
        <v>0</v>
      </c>
      <c r="BQ37" s="376">
        <v>0</v>
      </c>
      <c r="BR37" s="376">
        <v>0</v>
      </c>
      <c r="BS37" s="376">
        <v>0</v>
      </c>
    </row>
    <row r="38" spans="1:71">
      <c r="A38" s="25" t="s">
        <v>985</v>
      </c>
      <c r="B38" s="163" t="s">
        <v>953</v>
      </c>
      <c r="C38" s="26"/>
      <c r="D38" s="26"/>
      <c r="E38" s="27"/>
      <c r="F38" s="34"/>
      <c r="G38" s="195">
        <f>SF!G39</f>
        <v>29.998225714285713</v>
      </c>
      <c r="H38" s="34"/>
      <c r="I38" s="195">
        <f>SF!I39</f>
        <v>248.38530891428573</v>
      </c>
      <c r="J38" s="34"/>
      <c r="K38" s="265"/>
      <c r="L38" s="266"/>
      <c r="M38" s="376">
        <v>0</v>
      </c>
      <c r="N38" s="376">
        <v>0</v>
      </c>
      <c r="O38" s="376">
        <v>0</v>
      </c>
      <c r="P38" s="376">
        <v>1.5</v>
      </c>
      <c r="Q38" s="267"/>
      <c r="R38" s="376">
        <v>0</v>
      </c>
      <c r="S38" s="376">
        <v>0</v>
      </c>
      <c r="T38" s="376">
        <v>0</v>
      </c>
      <c r="U38" s="268">
        <v>1.3</v>
      </c>
      <c r="V38" s="267"/>
      <c r="W38" s="376">
        <v>0</v>
      </c>
      <c r="X38" s="376">
        <v>0</v>
      </c>
      <c r="Y38" s="376">
        <v>0</v>
      </c>
      <c r="Z38" s="376">
        <v>0</v>
      </c>
      <c r="AA38" s="376"/>
      <c r="AB38" s="376">
        <v>0</v>
      </c>
      <c r="AC38" s="376">
        <v>0</v>
      </c>
      <c r="AD38" s="376">
        <v>0</v>
      </c>
      <c r="AE38" s="376">
        <v>0</v>
      </c>
      <c r="AF38" s="376"/>
      <c r="AG38" s="376">
        <v>0</v>
      </c>
      <c r="AH38" s="376">
        <v>0</v>
      </c>
      <c r="AI38" s="376">
        <v>0</v>
      </c>
      <c r="AJ38" s="376">
        <v>0</v>
      </c>
      <c r="AK38" s="376"/>
      <c r="AL38" s="376">
        <v>0</v>
      </c>
      <c r="AM38" s="376">
        <v>0</v>
      </c>
      <c r="AN38" s="376">
        <v>0</v>
      </c>
      <c r="AO38" s="376">
        <v>0</v>
      </c>
      <c r="AP38" s="376"/>
      <c r="AQ38" s="700">
        <v>0</v>
      </c>
      <c r="AR38" s="700">
        <v>0</v>
      </c>
      <c r="AS38" s="700">
        <v>0</v>
      </c>
      <c r="AT38" s="700">
        <v>1.5</v>
      </c>
      <c r="AU38" s="376"/>
      <c r="AV38" s="823">
        <v>0</v>
      </c>
      <c r="AW38" s="823">
        <v>0</v>
      </c>
      <c r="AX38" s="823">
        <v>0</v>
      </c>
      <c r="AY38" s="823">
        <v>1.3</v>
      </c>
      <c r="AZ38" s="376"/>
      <c r="BA38" s="700">
        <v>0</v>
      </c>
      <c r="BB38" s="700">
        <v>0</v>
      </c>
      <c r="BC38" s="700">
        <v>0</v>
      </c>
      <c r="BD38" s="700">
        <v>0</v>
      </c>
      <c r="BE38" s="376"/>
      <c r="BF38" s="376">
        <v>0</v>
      </c>
      <c r="BG38" s="376">
        <v>0</v>
      </c>
      <c r="BH38" s="376">
        <v>0</v>
      </c>
      <c r="BI38" s="376">
        <v>0</v>
      </c>
      <c r="BJ38" s="376"/>
      <c r="BK38" s="376">
        <v>0</v>
      </c>
      <c r="BL38" s="376">
        <v>0</v>
      </c>
      <c r="BM38" s="376">
        <v>0</v>
      </c>
      <c r="BN38" s="376">
        <v>0</v>
      </c>
      <c r="BO38" s="376"/>
      <c r="BP38" s="376">
        <v>0</v>
      </c>
      <c r="BQ38" s="376">
        <v>0</v>
      </c>
      <c r="BR38" s="376">
        <v>0</v>
      </c>
      <c r="BS38" s="376">
        <v>0</v>
      </c>
    </row>
    <row r="39" spans="1:71">
      <c r="A39" s="25" t="s">
        <v>986</v>
      </c>
      <c r="B39" s="163" t="s">
        <v>955</v>
      </c>
      <c r="C39" s="26"/>
      <c r="D39" s="26"/>
      <c r="E39" s="27"/>
      <c r="F39" s="34"/>
      <c r="G39" s="195">
        <f>SF!G40</f>
        <v>5.8532000000000011</v>
      </c>
      <c r="H39" s="34"/>
      <c r="I39" s="195">
        <f>SF!I40</f>
        <v>48.464496000000018</v>
      </c>
      <c r="J39" s="34"/>
      <c r="K39" s="265"/>
      <c r="L39" s="266"/>
      <c r="M39" s="376">
        <v>0</v>
      </c>
      <c r="N39" s="376">
        <v>1.5</v>
      </c>
      <c r="O39" s="376">
        <v>0</v>
      </c>
      <c r="P39" s="376">
        <v>0</v>
      </c>
      <c r="Q39" s="267"/>
      <c r="R39" s="376">
        <v>0</v>
      </c>
      <c r="S39" s="268">
        <v>1.3</v>
      </c>
      <c r="T39" s="376">
        <v>0</v>
      </c>
      <c r="U39" s="376">
        <v>0</v>
      </c>
      <c r="V39" s="267"/>
      <c r="W39" s="376">
        <v>0</v>
      </c>
      <c r="X39" s="376">
        <v>0</v>
      </c>
      <c r="Y39" s="376">
        <v>0</v>
      </c>
      <c r="Z39" s="376">
        <v>0</v>
      </c>
      <c r="AA39" s="376"/>
      <c r="AB39" s="268">
        <v>1.35</v>
      </c>
      <c r="AC39" s="268">
        <v>1.35</v>
      </c>
      <c r="AD39" s="268">
        <v>1.35</v>
      </c>
      <c r="AE39" s="268">
        <v>1.35</v>
      </c>
      <c r="AF39" s="376"/>
      <c r="AG39" s="376">
        <v>0</v>
      </c>
      <c r="AH39" s="376">
        <v>0</v>
      </c>
      <c r="AI39" s="376">
        <v>0</v>
      </c>
      <c r="AJ39" s="376">
        <v>0</v>
      </c>
      <c r="AK39" s="376"/>
      <c r="AL39" s="376">
        <v>0</v>
      </c>
      <c r="AM39" s="376">
        <v>0</v>
      </c>
      <c r="AN39" s="376">
        <v>0</v>
      </c>
      <c r="AO39" s="376">
        <v>0</v>
      </c>
      <c r="AP39" s="376"/>
      <c r="AQ39" s="700">
        <v>0</v>
      </c>
      <c r="AR39" s="700">
        <v>1.5</v>
      </c>
      <c r="AS39" s="700">
        <v>0</v>
      </c>
      <c r="AT39" s="700">
        <v>0</v>
      </c>
      <c r="AU39" s="376"/>
      <c r="AV39" s="823">
        <v>0</v>
      </c>
      <c r="AW39" s="823">
        <v>1.3</v>
      </c>
      <c r="AX39" s="823">
        <v>0</v>
      </c>
      <c r="AY39" s="823">
        <v>0</v>
      </c>
      <c r="AZ39" s="376"/>
      <c r="BA39" s="700">
        <v>0</v>
      </c>
      <c r="BB39" s="700">
        <v>0</v>
      </c>
      <c r="BC39" s="700">
        <v>0</v>
      </c>
      <c r="BD39" s="700">
        <v>0</v>
      </c>
      <c r="BE39" s="376"/>
      <c r="BF39" s="376">
        <v>1.5</v>
      </c>
      <c r="BG39" s="376">
        <v>1.5</v>
      </c>
      <c r="BH39" s="376">
        <v>1.5</v>
      </c>
      <c r="BI39" s="376">
        <v>1.5</v>
      </c>
      <c r="BJ39" s="376"/>
      <c r="BK39" s="376">
        <v>0</v>
      </c>
      <c r="BL39" s="376">
        <v>0</v>
      </c>
      <c r="BM39" s="376">
        <v>0</v>
      </c>
      <c r="BN39" s="376">
        <v>0</v>
      </c>
      <c r="BO39" s="376"/>
      <c r="BP39" s="376">
        <v>0</v>
      </c>
      <c r="BQ39" s="376">
        <v>0</v>
      </c>
      <c r="BR39" s="376">
        <v>0</v>
      </c>
      <c r="BS39" s="376">
        <v>0</v>
      </c>
    </row>
    <row r="40" spans="1:71">
      <c r="A40" s="25" t="s">
        <v>987</v>
      </c>
      <c r="B40" s="163" t="s">
        <v>957</v>
      </c>
      <c r="C40" s="26"/>
      <c r="D40" s="26"/>
      <c r="E40" s="27"/>
      <c r="F40" s="34"/>
      <c r="G40" s="195">
        <f>SF!G41</f>
        <v>14.632999999999999</v>
      </c>
      <c r="H40" s="34"/>
      <c r="I40" s="195">
        <f>SF!I41</f>
        <v>121.16124000000001</v>
      </c>
      <c r="J40" s="34"/>
      <c r="K40" s="265"/>
      <c r="L40" s="266"/>
      <c r="M40" s="376">
        <v>1.5</v>
      </c>
      <c r="N40" s="376">
        <v>0</v>
      </c>
      <c r="O40" s="376">
        <v>0</v>
      </c>
      <c r="P40" s="376">
        <v>0</v>
      </c>
      <c r="Q40" s="267"/>
      <c r="R40" s="268">
        <v>1.3</v>
      </c>
      <c r="S40" s="376">
        <v>0</v>
      </c>
      <c r="T40" s="376">
        <v>0</v>
      </c>
      <c r="U40" s="376">
        <v>0</v>
      </c>
      <c r="V40" s="267"/>
      <c r="W40" s="376">
        <v>0.75</v>
      </c>
      <c r="X40" s="376">
        <v>0.75</v>
      </c>
      <c r="Y40" s="376">
        <v>0.75</v>
      </c>
      <c r="Z40" s="376">
        <v>0.75</v>
      </c>
      <c r="AA40" s="376"/>
      <c r="AB40" s="376">
        <v>0</v>
      </c>
      <c r="AC40" s="376">
        <v>0</v>
      </c>
      <c r="AD40" s="376">
        <v>0</v>
      </c>
      <c r="AE40" s="376">
        <v>0</v>
      </c>
      <c r="AF40" s="376"/>
      <c r="AG40" s="376">
        <v>0</v>
      </c>
      <c r="AH40" s="376">
        <v>0</v>
      </c>
      <c r="AI40" s="376">
        <v>0</v>
      </c>
      <c r="AJ40" s="376">
        <v>0</v>
      </c>
      <c r="AK40" s="376"/>
      <c r="AL40" s="376">
        <v>0</v>
      </c>
      <c r="AM40" s="376">
        <v>0</v>
      </c>
      <c r="AN40" s="376">
        <v>0</v>
      </c>
      <c r="AO40" s="376">
        <v>0</v>
      </c>
      <c r="AP40" s="376"/>
      <c r="AQ40" s="700">
        <v>1.5</v>
      </c>
      <c r="AR40" s="700">
        <v>0</v>
      </c>
      <c r="AS40" s="700">
        <v>0</v>
      </c>
      <c r="AT40" s="700">
        <v>0</v>
      </c>
      <c r="AU40" s="376"/>
      <c r="AV40" s="823">
        <v>1.3</v>
      </c>
      <c r="AW40" s="823">
        <v>0</v>
      </c>
      <c r="AX40" s="823">
        <v>0</v>
      </c>
      <c r="AY40" s="823">
        <v>0</v>
      </c>
      <c r="AZ40" s="376"/>
      <c r="BA40" s="700">
        <v>1.5</v>
      </c>
      <c r="BB40" s="700">
        <v>1.5</v>
      </c>
      <c r="BC40" s="700">
        <v>1.5</v>
      </c>
      <c r="BD40" s="700">
        <v>1.5</v>
      </c>
      <c r="BE40" s="376"/>
      <c r="BF40" s="376">
        <v>0</v>
      </c>
      <c r="BG40" s="376">
        <v>0</v>
      </c>
      <c r="BH40" s="376">
        <v>0</v>
      </c>
      <c r="BI40" s="376">
        <v>0</v>
      </c>
      <c r="BJ40" s="376"/>
      <c r="BK40" s="376">
        <v>0</v>
      </c>
      <c r="BL40" s="376">
        <v>0</v>
      </c>
      <c r="BM40" s="376">
        <v>0</v>
      </c>
      <c r="BN40" s="376">
        <v>0</v>
      </c>
      <c r="BO40" s="376"/>
      <c r="BP40" s="376">
        <v>0</v>
      </c>
      <c r="BQ40" s="376">
        <v>0</v>
      </c>
      <c r="BR40" s="376">
        <v>0</v>
      </c>
      <c r="BS40" s="376">
        <v>0</v>
      </c>
    </row>
    <row r="41" spans="1:71">
      <c r="A41" s="25"/>
      <c r="B41" s="163"/>
      <c r="C41" s="26"/>
      <c r="D41" s="26"/>
      <c r="E41" s="27"/>
      <c r="F41" s="34"/>
      <c r="G41" s="27"/>
      <c r="H41" s="34"/>
      <c r="I41" s="34"/>
      <c r="J41" s="34"/>
      <c r="K41" s="265"/>
      <c r="L41" s="266"/>
      <c r="M41" s="376"/>
      <c r="N41" s="376"/>
      <c r="O41" s="376"/>
      <c r="P41" s="376"/>
      <c r="Q41" s="267"/>
      <c r="R41" s="376"/>
      <c r="S41" s="376"/>
      <c r="T41" s="376"/>
      <c r="U41" s="376"/>
      <c r="V41" s="267"/>
      <c r="W41" s="376"/>
      <c r="X41" s="376"/>
      <c r="Y41" s="376"/>
      <c r="Z41" s="376"/>
      <c r="AA41" s="376"/>
      <c r="AB41" s="376"/>
      <c r="AC41" s="376"/>
      <c r="AD41" s="376"/>
      <c r="AE41" s="376"/>
      <c r="AF41" s="376"/>
      <c r="AG41" s="376"/>
      <c r="AH41" s="376"/>
      <c r="AI41" s="376"/>
      <c r="AJ41" s="376"/>
      <c r="AK41" s="376"/>
      <c r="AL41" s="376"/>
      <c r="AM41" s="376"/>
      <c r="AN41" s="376"/>
      <c r="AO41" s="376"/>
      <c r="AP41" s="376"/>
      <c r="AQ41" s="700"/>
      <c r="AR41" s="700"/>
      <c r="AS41" s="700"/>
      <c r="AT41" s="700"/>
      <c r="AU41" s="376"/>
      <c r="AV41" s="823"/>
      <c r="AW41" s="823"/>
      <c r="AX41" s="823"/>
      <c r="AY41" s="823"/>
      <c r="AZ41" s="376"/>
      <c r="BA41" s="700"/>
      <c r="BB41" s="700"/>
      <c r="BC41" s="700"/>
      <c r="BD41" s="700"/>
      <c r="BE41" s="376"/>
      <c r="BF41" s="376"/>
      <c r="BG41" s="376"/>
      <c r="BH41" s="376"/>
      <c r="BI41" s="376"/>
      <c r="BJ41" s="376"/>
      <c r="BK41" s="376"/>
      <c r="BL41" s="376"/>
      <c r="BM41" s="376"/>
      <c r="BN41" s="376"/>
      <c r="BO41" s="376"/>
      <c r="BP41" s="376"/>
      <c r="BQ41" s="376"/>
      <c r="BR41" s="376"/>
      <c r="BS41" s="376"/>
    </row>
    <row r="42" spans="1:71">
      <c r="A42" s="686" t="s">
        <v>1128</v>
      </c>
      <c r="B42" s="687"/>
      <c r="C42" s="688"/>
      <c r="D42" s="688"/>
      <c r="E42" s="689"/>
      <c r="F42" s="696">
        <f>SF!F43</f>
        <v>-103.56143333397094</v>
      </c>
      <c r="G42" s="689"/>
      <c r="H42" s="690"/>
      <c r="I42" s="690"/>
      <c r="J42" s="690"/>
      <c r="K42" s="265"/>
      <c r="L42" s="266"/>
      <c r="M42" s="376"/>
      <c r="N42" s="376"/>
      <c r="O42" s="376"/>
      <c r="P42" s="376"/>
      <c r="Q42" s="267"/>
      <c r="R42" s="376"/>
      <c r="S42" s="376"/>
      <c r="T42" s="376"/>
      <c r="U42" s="376"/>
      <c r="V42" s="267"/>
      <c r="W42" s="376"/>
      <c r="X42" s="376"/>
      <c r="Y42" s="376"/>
      <c r="Z42" s="376"/>
      <c r="AA42" s="376"/>
      <c r="AB42" s="376"/>
      <c r="AC42" s="376"/>
      <c r="AD42" s="376"/>
      <c r="AE42" s="376"/>
      <c r="AF42" s="376"/>
      <c r="AG42" s="376"/>
      <c r="AH42" s="376"/>
      <c r="AI42" s="376"/>
      <c r="AJ42" s="376"/>
      <c r="AK42" s="376"/>
      <c r="AL42" s="376"/>
      <c r="AM42" s="376"/>
      <c r="AN42" s="376"/>
      <c r="AO42" s="376"/>
      <c r="AP42" s="376"/>
      <c r="AQ42" s="700">
        <v>0.15</v>
      </c>
      <c r="AR42" s="700">
        <v>0.15</v>
      </c>
      <c r="AS42" s="700">
        <v>0.15</v>
      </c>
      <c r="AT42" s="700">
        <v>0.15</v>
      </c>
      <c r="AU42" s="376"/>
      <c r="AV42" s="823">
        <v>0.15</v>
      </c>
      <c r="AW42" s="823">
        <v>0.15</v>
      </c>
      <c r="AX42" s="823">
        <v>0.15</v>
      </c>
      <c r="AY42" s="823">
        <v>0.15</v>
      </c>
      <c r="AZ42" s="376"/>
      <c r="BA42" s="700">
        <v>0.15</v>
      </c>
      <c r="BB42" s="700">
        <v>0.15</v>
      </c>
      <c r="BC42" s="700">
        <v>0.15</v>
      </c>
      <c r="BD42" s="700">
        <v>0.15</v>
      </c>
      <c r="BE42" s="376"/>
      <c r="BF42" s="700">
        <v>0.15</v>
      </c>
      <c r="BG42" s="700">
        <v>0.15</v>
      </c>
      <c r="BH42" s="700">
        <v>0.15</v>
      </c>
      <c r="BI42" s="700">
        <v>0.15</v>
      </c>
      <c r="BJ42" s="376"/>
      <c r="BK42" s="700">
        <v>0.15</v>
      </c>
      <c r="BL42" s="700">
        <v>0.15</v>
      </c>
      <c r="BM42" s="700">
        <v>0.15</v>
      </c>
      <c r="BN42" s="700">
        <v>0.15</v>
      </c>
      <c r="BO42" s="376"/>
      <c r="BP42" s="700">
        <v>0.15</v>
      </c>
      <c r="BQ42" s="700">
        <v>0.15</v>
      </c>
      <c r="BR42" s="700">
        <v>0.15</v>
      </c>
      <c r="BS42" s="700">
        <v>0.15</v>
      </c>
    </row>
    <row r="43" spans="1:71">
      <c r="A43" s="686"/>
      <c r="B43" s="687"/>
      <c r="C43" s="688"/>
      <c r="D43" s="688"/>
      <c r="E43" s="689"/>
      <c r="F43" s="690"/>
      <c r="G43" s="689"/>
      <c r="H43" s="690"/>
      <c r="I43" s="690"/>
      <c r="J43" s="690"/>
      <c r="K43" s="265"/>
      <c r="L43" s="266"/>
      <c r="M43" s="376"/>
      <c r="N43" s="376"/>
      <c r="O43" s="376"/>
      <c r="P43" s="376"/>
      <c r="Q43" s="267"/>
      <c r="R43" s="376"/>
      <c r="S43" s="376"/>
      <c r="T43" s="376"/>
      <c r="U43" s="376"/>
      <c r="V43" s="267"/>
      <c r="W43" s="376"/>
      <c r="X43" s="376"/>
      <c r="Y43" s="376"/>
      <c r="Z43" s="376"/>
      <c r="AA43" s="376"/>
      <c r="AB43" s="376"/>
      <c r="AC43" s="376"/>
      <c r="AD43" s="376"/>
      <c r="AE43" s="376"/>
      <c r="AF43" s="376"/>
      <c r="AG43" s="376"/>
      <c r="AH43" s="376"/>
      <c r="AI43" s="376"/>
      <c r="AJ43" s="376"/>
      <c r="AK43" s="376"/>
      <c r="AL43" s="376"/>
      <c r="AM43" s="376"/>
      <c r="AN43" s="376"/>
      <c r="AO43" s="376"/>
      <c r="AP43" s="376"/>
      <c r="AQ43" s="700"/>
      <c r="AR43" s="700"/>
      <c r="AS43" s="700"/>
      <c r="AT43" s="700"/>
      <c r="AU43" s="376"/>
      <c r="AV43" s="823"/>
      <c r="AW43" s="823"/>
      <c r="AX43" s="823"/>
      <c r="AY43" s="823"/>
      <c r="AZ43" s="376"/>
      <c r="BA43" s="700"/>
      <c r="BB43" s="700"/>
      <c r="BC43" s="700"/>
      <c r="BD43" s="700"/>
      <c r="BE43" s="376"/>
      <c r="BF43" s="700"/>
      <c r="BG43" s="700"/>
      <c r="BH43" s="700"/>
      <c r="BI43" s="700"/>
      <c r="BJ43" s="376"/>
      <c r="BK43" s="700"/>
      <c r="BL43" s="700"/>
      <c r="BM43" s="700"/>
      <c r="BN43" s="700"/>
      <c r="BO43" s="376"/>
      <c r="BP43" s="700"/>
      <c r="BQ43" s="700"/>
      <c r="BR43" s="700"/>
      <c r="BS43" s="700"/>
    </row>
    <row r="44" spans="1:71">
      <c r="A44" s="686" t="s">
        <v>1129</v>
      </c>
      <c r="B44" s="687"/>
      <c r="C44" s="688"/>
      <c r="D44" s="688"/>
      <c r="E44" s="689"/>
      <c r="F44" s="690"/>
      <c r="G44" s="689"/>
      <c r="H44" s="690"/>
      <c r="I44" s="690"/>
      <c r="J44" s="690"/>
      <c r="K44" s="265"/>
      <c r="L44" s="266"/>
      <c r="M44" s="376"/>
      <c r="N44" s="376"/>
      <c r="O44" s="376"/>
      <c r="P44" s="376"/>
      <c r="Q44" s="267"/>
      <c r="R44" s="376"/>
      <c r="S44" s="376"/>
      <c r="T44" s="376"/>
      <c r="U44" s="376"/>
      <c r="V44" s="267"/>
      <c r="W44" s="376"/>
      <c r="X44" s="376"/>
      <c r="Y44" s="376"/>
      <c r="Z44" s="376"/>
      <c r="AA44" s="376"/>
      <c r="AB44" s="376"/>
      <c r="AC44" s="376"/>
      <c r="AD44" s="376"/>
      <c r="AE44" s="376"/>
      <c r="AF44" s="376"/>
      <c r="AG44" s="376"/>
      <c r="AH44" s="376"/>
      <c r="AI44" s="376"/>
      <c r="AJ44" s="376"/>
      <c r="AK44" s="376"/>
      <c r="AL44" s="376"/>
      <c r="AM44" s="376"/>
      <c r="AN44" s="376"/>
      <c r="AO44" s="376"/>
      <c r="AP44" s="376"/>
      <c r="AQ44" s="700"/>
      <c r="AR44" s="700"/>
      <c r="AS44" s="700"/>
      <c r="AT44" s="700"/>
      <c r="AU44" s="376"/>
      <c r="AV44" s="823"/>
      <c r="AW44" s="823"/>
      <c r="AX44" s="823"/>
      <c r="AY44" s="823"/>
      <c r="AZ44" s="376"/>
      <c r="BA44" s="700"/>
      <c r="BB44" s="700"/>
      <c r="BC44" s="700"/>
      <c r="BD44" s="700"/>
      <c r="BE44" s="376"/>
      <c r="BF44" s="700"/>
      <c r="BG44" s="700"/>
      <c r="BH44" s="700"/>
      <c r="BI44" s="700"/>
      <c r="BJ44" s="376"/>
      <c r="BK44" s="700"/>
      <c r="BL44" s="700"/>
      <c r="BM44" s="700"/>
      <c r="BN44" s="700"/>
      <c r="BO44" s="376"/>
      <c r="BP44" s="700"/>
      <c r="BQ44" s="700"/>
      <c r="BR44" s="700"/>
      <c r="BS44" s="700"/>
    </row>
    <row r="45" spans="1:71">
      <c r="A45" s="686" t="s">
        <v>1130</v>
      </c>
      <c r="B45" s="687"/>
      <c r="C45" s="688"/>
      <c r="D45" s="688"/>
      <c r="E45" s="689"/>
      <c r="F45" s="690"/>
      <c r="G45" s="691"/>
      <c r="H45" s="696">
        <f>SF!H46</f>
        <v>3.7668894816411469</v>
      </c>
      <c r="I45" s="692"/>
      <c r="J45" s="696">
        <f>SF!J46</f>
        <v>5.6718136929156024</v>
      </c>
      <c r="K45" s="265"/>
      <c r="L45" s="266"/>
      <c r="M45" s="376"/>
      <c r="N45" s="376"/>
      <c r="O45" s="376"/>
      <c r="P45" s="376"/>
      <c r="Q45" s="267"/>
      <c r="R45" s="376"/>
      <c r="S45" s="376"/>
      <c r="T45" s="376"/>
      <c r="U45" s="376"/>
      <c r="V45" s="267"/>
      <c r="W45" s="376"/>
      <c r="X45" s="376"/>
      <c r="Y45" s="376"/>
      <c r="Z45" s="376"/>
      <c r="AA45" s="376"/>
      <c r="AB45" s="376"/>
      <c r="AC45" s="376"/>
      <c r="AD45" s="376"/>
      <c r="AE45" s="376"/>
      <c r="AF45" s="376"/>
      <c r="AG45" s="376"/>
      <c r="AH45" s="376"/>
      <c r="AI45" s="376"/>
      <c r="AJ45" s="376"/>
      <c r="AK45" s="376"/>
      <c r="AL45" s="376"/>
      <c r="AM45" s="376"/>
      <c r="AN45" s="376"/>
      <c r="AO45" s="376"/>
      <c r="AP45" s="376"/>
      <c r="AQ45" s="700">
        <v>0</v>
      </c>
      <c r="AR45" s="700">
        <v>0</v>
      </c>
      <c r="AS45" s="700">
        <v>0</v>
      </c>
      <c r="AT45" s="700">
        <v>0</v>
      </c>
      <c r="AU45" s="376"/>
      <c r="AV45" s="823">
        <v>0</v>
      </c>
      <c r="AW45" s="823">
        <v>0</v>
      </c>
      <c r="AX45" s="823">
        <v>0</v>
      </c>
      <c r="AY45" s="823">
        <v>0</v>
      </c>
      <c r="AZ45" s="376"/>
      <c r="BA45" s="700">
        <v>0</v>
      </c>
      <c r="BB45" s="700">
        <v>0</v>
      </c>
      <c r="BC45" s="700">
        <v>0</v>
      </c>
      <c r="BD45" s="700">
        <v>0</v>
      </c>
      <c r="BE45" s="376"/>
      <c r="BF45" s="700">
        <v>0</v>
      </c>
      <c r="BG45" s="700">
        <v>0</v>
      </c>
      <c r="BH45" s="700">
        <v>0</v>
      </c>
      <c r="BI45" s="700">
        <v>0</v>
      </c>
      <c r="BJ45" s="376"/>
      <c r="BK45" s="700">
        <v>0</v>
      </c>
      <c r="BL45" s="700">
        <v>0</v>
      </c>
      <c r="BM45" s="700">
        <v>0</v>
      </c>
      <c r="BN45" s="700">
        <v>0</v>
      </c>
      <c r="BO45" s="376"/>
      <c r="BP45" s="700">
        <v>0</v>
      </c>
      <c r="BQ45" s="700">
        <v>0</v>
      </c>
      <c r="BR45" s="700">
        <v>0</v>
      </c>
      <c r="BS45" s="700">
        <v>0</v>
      </c>
    </row>
    <row r="46" spans="1:71">
      <c r="A46" s="686" t="s">
        <v>1131</v>
      </c>
      <c r="B46" s="687"/>
      <c r="C46" s="688"/>
      <c r="D46" s="688"/>
      <c r="E46" s="689"/>
      <c r="F46" s="690"/>
      <c r="G46" s="696">
        <f>SF!G47</f>
        <v>3.2856246869242693</v>
      </c>
      <c r="H46" s="696">
        <f>SF!H47</f>
        <v>3.5397182492142409</v>
      </c>
      <c r="I46" s="696">
        <f>SF!I47</f>
        <v>7.0628515103002814</v>
      </c>
      <c r="J46" s="696">
        <f>SF!J47</f>
        <v>5.3297614737052639</v>
      </c>
      <c r="K46" s="265"/>
      <c r="L46" s="266"/>
      <c r="M46" s="376"/>
      <c r="N46" s="376"/>
      <c r="O46" s="376"/>
      <c r="P46" s="376"/>
      <c r="Q46" s="267"/>
      <c r="R46" s="376"/>
      <c r="S46" s="376"/>
      <c r="T46" s="376"/>
      <c r="U46" s="376"/>
      <c r="V46" s="267"/>
      <c r="W46" s="376"/>
      <c r="X46" s="376"/>
      <c r="Y46" s="376"/>
      <c r="Z46" s="376"/>
      <c r="AA46" s="376"/>
      <c r="AB46" s="376"/>
      <c r="AC46" s="376"/>
      <c r="AD46" s="376"/>
      <c r="AE46" s="376"/>
      <c r="AF46" s="376"/>
      <c r="AG46" s="376"/>
      <c r="AH46" s="376"/>
      <c r="AI46" s="376"/>
      <c r="AJ46" s="376"/>
      <c r="AK46" s="376"/>
      <c r="AL46" s="376"/>
      <c r="AM46" s="376"/>
      <c r="AN46" s="376"/>
      <c r="AO46" s="376"/>
      <c r="AP46" s="376"/>
      <c r="AQ46" s="700">
        <v>1</v>
      </c>
      <c r="AR46" s="700">
        <v>1</v>
      </c>
      <c r="AS46" s="700">
        <v>1</v>
      </c>
      <c r="AT46" s="700">
        <v>1</v>
      </c>
      <c r="AU46" s="376"/>
      <c r="AV46" s="823">
        <v>1</v>
      </c>
      <c r="AW46" s="823">
        <v>1</v>
      </c>
      <c r="AX46" s="823">
        <v>1</v>
      </c>
      <c r="AY46" s="823">
        <v>1</v>
      </c>
      <c r="AZ46" s="376"/>
      <c r="BA46" s="700">
        <v>1</v>
      </c>
      <c r="BB46" s="700">
        <v>1</v>
      </c>
      <c r="BC46" s="700">
        <v>1</v>
      </c>
      <c r="BD46" s="700">
        <v>1</v>
      </c>
      <c r="BE46" s="376"/>
      <c r="BF46" s="700">
        <v>1</v>
      </c>
      <c r="BG46" s="700">
        <v>1</v>
      </c>
      <c r="BH46" s="700">
        <v>1</v>
      </c>
      <c r="BI46" s="700">
        <v>1</v>
      </c>
      <c r="BJ46" s="376"/>
      <c r="BK46" s="700">
        <v>1</v>
      </c>
      <c r="BL46" s="700">
        <v>1</v>
      </c>
      <c r="BM46" s="700">
        <v>1</v>
      </c>
      <c r="BN46" s="700">
        <v>1</v>
      </c>
      <c r="BO46" s="376"/>
      <c r="BP46" s="700">
        <v>1</v>
      </c>
      <c r="BQ46" s="700">
        <v>1</v>
      </c>
      <c r="BR46" s="700">
        <v>1</v>
      </c>
      <c r="BS46" s="700">
        <v>1</v>
      </c>
    </row>
    <row r="47" spans="1:71">
      <c r="A47" s="113"/>
      <c r="B47" s="651"/>
      <c r="C47" s="651"/>
      <c r="D47" s="651"/>
      <c r="E47" s="652"/>
      <c r="F47" s="599"/>
      <c r="G47" s="652"/>
      <c r="H47" s="599"/>
      <c r="I47" s="599"/>
      <c r="J47" s="599"/>
      <c r="K47" s="283"/>
      <c r="L47" s="284"/>
      <c r="M47" s="655"/>
      <c r="N47" s="655"/>
      <c r="O47" s="655"/>
      <c r="P47" s="655"/>
      <c r="Q47" s="286"/>
      <c r="R47" s="655"/>
      <c r="S47" s="655"/>
      <c r="T47" s="655"/>
      <c r="U47" s="655"/>
      <c r="V47" s="286"/>
      <c r="W47" s="655"/>
      <c r="X47" s="655"/>
      <c r="Y47" s="655"/>
      <c r="Z47" s="655"/>
      <c r="AA47" s="655"/>
      <c r="AB47" s="655"/>
      <c r="AC47" s="655"/>
      <c r="AD47" s="655"/>
      <c r="AE47" s="655"/>
      <c r="AF47" s="655"/>
      <c r="AG47" s="655"/>
      <c r="AH47" s="655"/>
      <c r="AI47" s="655"/>
      <c r="AJ47" s="655"/>
      <c r="AK47" s="655"/>
      <c r="AL47" s="655"/>
      <c r="AM47" s="655"/>
      <c r="AN47" s="655"/>
      <c r="AO47" s="655"/>
      <c r="AP47" s="655"/>
      <c r="AQ47" s="701"/>
      <c r="AR47" s="701"/>
      <c r="AS47" s="701"/>
      <c r="AT47" s="701"/>
      <c r="AU47" s="655"/>
      <c r="AV47" s="779"/>
      <c r="AW47" s="779"/>
      <c r="AX47" s="779"/>
      <c r="AY47" s="779"/>
      <c r="AZ47" s="655"/>
      <c r="BA47" s="701"/>
      <c r="BB47" s="701"/>
      <c r="BC47" s="701"/>
      <c r="BD47" s="707"/>
      <c r="BE47" s="655"/>
      <c r="BF47" s="655"/>
      <c r="BG47" s="655"/>
      <c r="BH47" s="655"/>
      <c r="BI47" s="655"/>
      <c r="BJ47" s="655"/>
      <c r="BK47" s="655"/>
      <c r="BL47" s="655"/>
      <c r="BM47" s="655"/>
      <c r="BN47" s="655"/>
      <c r="BO47" s="655"/>
      <c r="BP47" s="655"/>
      <c r="BQ47" s="655"/>
      <c r="BR47" s="655"/>
      <c r="BS47" s="655"/>
    </row>
    <row r="48" spans="1:71">
      <c r="A48" s="278" t="s">
        <v>200</v>
      </c>
      <c r="B48" s="262"/>
      <c r="C48" s="262"/>
      <c r="D48" s="262"/>
      <c r="E48" s="263"/>
      <c r="F48" s="279"/>
      <c r="G48" s="280"/>
      <c r="H48" s="264"/>
      <c r="I48" s="279"/>
      <c r="J48" s="264"/>
      <c r="K48" s="261"/>
      <c r="L48" s="262"/>
      <c r="M48" s="995">
        <f>MAX(MAX(M49:M57),ABS(MIN(M49:M57)))</f>
        <v>0</v>
      </c>
      <c r="N48" s="995">
        <f>MAX(MAX(N49:N57),ABS(MIN(N49:N57)))</f>
        <v>0</v>
      </c>
      <c r="O48" s="995">
        <f>MAX(MAX(O49:O57),ABS(MIN(O49:O57)))</f>
        <v>0</v>
      </c>
      <c r="P48" s="995">
        <f>MAX(MAX(P49:P57),ABS(MIN(P49:P57)))</f>
        <v>0</v>
      </c>
      <c r="Q48" s="1319"/>
      <c r="R48" s="995">
        <f>MAX(MAX(R49:R57),ABS(MIN(R49:R57)))</f>
        <v>0</v>
      </c>
      <c r="S48" s="995">
        <f>MAX(MAX(S49:S57),ABS(MIN(S49:S57)))</f>
        <v>0</v>
      </c>
      <c r="T48" s="995">
        <f>MAX(MAX(T49:T57),ABS(MIN(T49:T57)))</f>
        <v>0</v>
      </c>
      <c r="U48" s="995">
        <f>MAX(MAX(U49:U57),ABS(MIN(U49:U57)))</f>
        <v>0</v>
      </c>
      <c r="V48" s="1319"/>
      <c r="W48" s="995">
        <f>MAX(MAX(W49:W57),ABS(MIN(W49:W57)))</f>
        <v>0.75</v>
      </c>
      <c r="X48" s="995">
        <f>MAX(MAX(X49:X57),ABS(MIN(X49:X57)))</f>
        <v>0.22499999999999998</v>
      </c>
      <c r="Y48" s="995">
        <f>MAX(MAX(Y49:Y57),ABS(MIN(Y49:Y57)))</f>
        <v>0.75</v>
      </c>
      <c r="Z48" s="995">
        <f>MAX(MAX(Z49:Z57),ABS(MIN(Z49:Z57)))</f>
        <v>0.22499999999999998</v>
      </c>
      <c r="AA48" s="995"/>
      <c r="AB48" s="995">
        <f>MAX(MAX(AB49:AB57),ABS(MIN(AB49:AB57)))</f>
        <v>1.5</v>
      </c>
      <c r="AC48" s="995">
        <f>MAX(MAX(AC49:AC57),ABS(MIN(AC49:AC57)))</f>
        <v>0.44999999999999996</v>
      </c>
      <c r="AD48" s="995">
        <f>MAX(MAX(AD49:AD57),ABS(MIN(AD49:AD57)))</f>
        <v>1.5</v>
      </c>
      <c r="AE48" s="995">
        <f>MAX(MAX(AE49:AE57),ABS(MIN(AE49:AE57)))</f>
        <v>0.44999999999999996</v>
      </c>
      <c r="AF48" s="995"/>
      <c r="AG48" s="995">
        <f>MAX(MAX(AG49:AG57),ABS(MIN(AG49:AG57)))</f>
        <v>1.5</v>
      </c>
      <c r="AH48" s="995">
        <f>MAX(MAX(AH49:AH57),ABS(MIN(AH49:AH57)))</f>
        <v>1.5</v>
      </c>
      <c r="AI48" s="995">
        <f>MAX(MAX(AI49:AI57),ABS(MIN(AI49:AI57)))</f>
        <v>1.5</v>
      </c>
      <c r="AJ48" s="995">
        <f>MAX(MAX(AJ49:AJ57),ABS(MIN(AJ49:AJ57)))</f>
        <v>1.5</v>
      </c>
      <c r="AK48" s="995"/>
      <c r="AL48" s="995">
        <f>MAX(MAX(AL49:AL57),ABS(MIN(AL49:AL57)))</f>
        <v>1.5</v>
      </c>
      <c r="AM48" s="995">
        <f>MAX(MAX(AM49:AM57),ABS(MIN(AM49:AM57)))</f>
        <v>1.5</v>
      </c>
      <c r="AN48" s="995">
        <f>MAX(MAX(AN49:AN57),ABS(MIN(AN49:AN57)))</f>
        <v>1.5</v>
      </c>
      <c r="AO48" s="995">
        <f>MAX(MAX(AO49:AO57),ABS(MIN(AO49:AO57)))</f>
        <v>1.5</v>
      </c>
      <c r="AP48" s="1320"/>
      <c r="AQ48" s="995">
        <f>MAX(MAX(AQ49:AQ57),ABS(MIN(AQ49:AQ57)))</f>
        <v>0</v>
      </c>
      <c r="AR48" s="995">
        <f>MAX(MAX(AR49:AR57),ABS(MIN(AR49:AR57)))</f>
        <v>0</v>
      </c>
      <c r="AS48" s="995">
        <f>MAX(MAX(AS49:AS57),ABS(MIN(AS49:AS57)))</f>
        <v>0</v>
      </c>
      <c r="AT48" s="995">
        <f>MAX(MAX(AT49:AT57),ABS(MIN(AT49:AT57)))</f>
        <v>0</v>
      </c>
      <c r="AU48" s="1058"/>
      <c r="AV48" s="995">
        <f>MAX(MAX(AV49:AV57),ABS(MIN(AV49:AV57)))</f>
        <v>0</v>
      </c>
      <c r="AW48" s="995">
        <f>MAX(MAX(AW49:AW57),ABS(MIN(AW49:AW57)))</f>
        <v>0</v>
      </c>
      <c r="AX48" s="995">
        <f>MAX(MAX(AX49:AX57),ABS(MIN(AX49:AX57)))</f>
        <v>0</v>
      </c>
      <c r="AY48" s="995">
        <f>MAX(MAX(AY49:AY57),ABS(MIN(AY49:AY57)))</f>
        <v>0</v>
      </c>
      <c r="AZ48" s="1058"/>
      <c r="BA48" s="995">
        <f>MAX(MAX(BA49:BA57),ABS(MIN(BA49:BA57)))</f>
        <v>0.75</v>
      </c>
      <c r="BB48" s="995">
        <f>MAX(MAX(BB49:BB57),ABS(MIN(BB49:BB57)))</f>
        <v>0.22499999999999998</v>
      </c>
      <c r="BC48" s="995">
        <f>MAX(MAX(BC49:BC57),ABS(MIN(BC49:BC57)))</f>
        <v>0.75</v>
      </c>
      <c r="BD48" s="995">
        <f>MAX(MAX(BD49:BD57),ABS(MIN(BD49:BD57)))</f>
        <v>0.22499999999999998</v>
      </c>
      <c r="BE48" s="1058"/>
      <c r="BF48" s="995">
        <f>MAX(MAX(BF49:BF57),ABS(MIN(BF49:BF57)))</f>
        <v>1.5</v>
      </c>
      <c r="BG48" s="995">
        <f>MAX(MAX(BG49:BG57),ABS(MIN(BG49:BG57)))</f>
        <v>0.44999999999999996</v>
      </c>
      <c r="BH48" s="995">
        <f>MAX(MAX(BH49:BH57),ABS(MIN(BH49:BH57)))</f>
        <v>1.5</v>
      </c>
      <c r="BI48" s="995">
        <f>MAX(MAX(BI49:BI57),ABS(MIN(BI49:BI57)))</f>
        <v>0.44999999999999996</v>
      </c>
      <c r="BJ48" s="1058"/>
      <c r="BK48" s="995">
        <f>MAX(MAX(BK49:BK57),ABS(MIN(BK49:BK57)))</f>
        <v>1.5</v>
      </c>
      <c r="BL48" s="995">
        <f>MAX(MAX(BL49:BL57),ABS(MIN(BL49:BL57)))</f>
        <v>1.5</v>
      </c>
      <c r="BM48" s="995">
        <f>MAX(MAX(BM49:BM57),ABS(MIN(BM49:BM57)))</f>
        <v>1.5</v>
      </c>
      <c r="BN48" s="995">
        <f>MAX(MAX(BN49:BN57),ABS(MIN(BN49:BN57)))</f>
        <v>1.5</v>
      </c>
      <c r="BO48" s="1058"/>
      <c r="BP48" s="995">
        <f>MAX(MAX(BP49:BP57),ABS(MIN(BP49:BP57)))</f>
        <v>1.5</v>
      </c>
      <c r="BQ48" s="995">
        <f>MAX(MAX(BQ49:BQ57),ABS(MIN(BQ49:BQ57)))</f>
        <v>1.5</v>
      </c>
      <c r="BR48" s="995">
        <f>MAX(MAX(BR49:BR57),ABS(MIN(BR49:BR57)))</f>
        <v>1.5</v>
      </c>
      <c r="BS48" s="995">
        <f>MAX(MAX(BS49:BS57),ABS(MIN(BS49:BS57)))</f>
        <v>1.5</v>
      </c>
    </row>
    <row r="49" spans="1:71">
      <c r="A49" s="25" t="s">
        <v>992</v>
      </c>
      <c r="B49" s="26"/>
      <c r="C49" s="26"/>
      <c r="D49" s="26"/>
      <c r="E49" s="27"/>
      <c r="F49" s="197"/>
      <c r="G49" s="211"/>
      <c r="H49" s="34"/>
      <c r="I49" s="211"/>
      <c r="J49" s="89"/>
      <c r="K49" s="265"/>
      <c r="L49" s="266"/>
      <c r="M49" s="477"/>
      <c r="N49" s="477"/>
      <c r="O49" s="477"/>
      <c r="P49" s="477"/>
      <c r="Q49" s="267"/>
      <c r="R49" s="477"/>
      <c r="S49" s="477"/>
      <c r="T49" s="477"/>
      <c r="U49" s="477"/>
      <c r="V49" s="267"/>
      <c r="W49" s="477"/>
      <c r="X49" s="477"/>
      <c r="Y49" s="477"/>
      <c r="Z49" s="477"/>
      <c r="AA49" s="477"/>
      <c r="AB49" s="477"/>
      <c r="AC49" s="477"/>
      <c r="AD49" s="477"/>
      <c r="AE49" s="477"/>
      <c r="AF49" s="477"/>
      <c r="AG49" s="477"/>
      <c r="AH49" s="477"/>
      <c r="AI49" s="477"/>
      <c r="AJ49" s="477"/>
      <c r="AK49" s="477"/>
      <c r="AL49" s="477"/>
      <c r="AM49" s="477"/>
      <c r="AN49" s="477"/>
      <c r="AO49" s="477"/>
      <c r="AQ49" s="699"/>
      <c r="AR49" s="699"/>
      <c r="AS49" s="699"/>
      <c r="AT49" s="699"/>
      <c r="AU49" s="376"/>
      <c r="AV49" s="477"/>
      <c r="AW49" s="477"/>
      <c r="AX49" s="477"/>
      <c r="AY49" s="477"/>
      <c r="AZ49" s="376"/>
      <c r="BA49" s="699"/>
      <c r="BB49" s="699"/>
      <c r="BC49" s="699"/>
      <c r="BD49" s="699"/>
      <c r="BE49" s="376"/>
      <c r="BF49" s="477"/>
      <c r="BG49" s="477"/>
      <c r="BH49" s="477"/>
      <c r="BI49" s="477"/>
      <c r="BJ49" s="376"/>
      <c r="BK49" s="477"/>
      <c r="BL49" s="477"/>
      <c r="BM49" s="477"/>
      <c r="BN49" s="477"/>
      <c r="BO49" s="376"/>
      <c r="BP49" s="477"/>
      <c r="BQ49" s="477"/>
      <c r="BR49" s="477"/>
      <c r="BS49" s="477"/>
    </row>
    <row r="50" spans="1:71">
      <c r="A50" s="25" t="s">
        <v>990</v>
      </c>
      <c r="B50" s="26" t="s">
        <v>988</v>
      </c>
      <c r="C50" s="26"/>
      <c r="D50" s="26"/>
      <c r="E50" s="27"/>
      <c r="F50" s="197"/>
      <c r="G50" s="172">
        <f>SF!G51</f>
        <v>0</v>
      </c>
      <c r="H50" s="34"/>
      <c r="I50" s="172">
        <f>SF!I51</f>
        <v>0</v>
      </c>
      <c r="J50" s="89"/>
      <c r="K50" s="265"/>
      <c r="L50" s="266"/>
      <c r="M50" s="477">
        <v>0</v>
      </c>
      <c r="N50" s="477">
        <v>0</v>
      </c>
      <c r="O50" s="477">
        <v>0</v>
      </c>
      <c r="P50" s="477">
        <v>0</v>
      </c>
      <c r="Q50" s="267"/>
      <c r="R50" s="477">
        <v>0</v>
      </c>
      <c r="S50" s="477">
        <v>0</v>
      </c>
      <c r="T50" s="477">
        <v>0</v>
      </c>
      <c r="U50" s="477">
        <v>0</v>
      </c>
      <c r="V50" s="267"/>
      <c r="W50" s="477">
        <v>0</v>
      </c>
      <c r="X50" s="477">
        <v>0</v>
      </c>
      <c r="Y50" s="477">
        <v>0</v>
      </c>
      <c r="Z50" s="477">
        <v>0</v>
      </c>
      <c r="AA50" s="477"/>
      <c r="AB50" s="477">
        <v>0</v>
      </c>
      <c r="AC50" s="477">
        <v>0</v>
      </c>
      <c r="AD50" s="477">
        <v>0</v>
      </c>
      <c r="AE50" s="477">
        <v>0</v>
      </c>
      <c r="AF50" s="477"/>
      <c r="AG50" s="477">
        <v>0</v>
      </c>
      <c r="AH50" s="477">
        <v>0</v>
      </c>
      <c r="AI50" s="477">
        <v>0</v>
      </c>
      <c r="AJ50" s="477">
        <v>0</v>
      </c>
      <c r="AK50" s="477"/>
      <c r="AL50" s="477">
        <v>0</v>
      </c>
      <c r="AM50" s="477">
        <v>0</v>
      </c>
      <c r="AN50" s="477">
        <v>0</v>
      </c>
      <c r="AO50" s="477">
        <v>0</v>
      </c>
      <c r="AQ50" s="699">
        <v>0</v>
      </c>
      <c r="AR50" s="699">
        <v>0</v>
      </c>
      <c r="AS50" s="699">
        <v>0</v>
      </c>
      <c r="AT50" s="699">
        <v>0</v>
      </c>
      <c r="AU50" s="376"/>
      <c r="AV50" s="477">
        <v>0</v>
      </c>
      <c r="AW50" s="477">
        <v>0</v>
      </c>
      <c r="AX50" s="477">
        <v>0</v>
      </c>
      <c r="AY50" s="477">
        <v>0</v>
      </c>
      <c r="AZ50" s="376"/>
      <c r="BA50" s="699">
        <v>0</v>
      </c>
      <c r="BB50" s="699">
        <v>0</v>
      </c>
      <c r="BC50" s="699">
        <v>0</v>
      </c>
      <c r="BD50" s="699">
        <v>0</v>
      </c>
      <c r="BE50" s="376"/>
      <c r="BF50" s="477">
        <v>0</v>
      </c>
      <c r="BG50" s="477">
        <v>0</v>
      </c>
      <c r="BH50" s="477">
        <v>0</v>
      </c>
      <c r="BI50" s="477">
        <v>0</v>
      </c>
      <c r="BJ50" s="376"/>
      <c r="BK50" s="477">
        <v>0</v>
      </c>
      <c r="BL50" s="477">
        <v>0</v>
      </c>
      <c r="BM50" s="477">
        <v>0</v>
      </c>
      <c r="BN50" s="477">
        <v>0</v>
      </c>
      <c r="BO50" s="376"/>
      <c r="BP50" s="477">
        <v>0</v>
      </c>
      <c r="BQ50" s="477">
        <v>0</v>
      </c>
      <c r="BR50" s="477">
        <v>0</v>
      </c>
      <c r="BS50" s="477">
        <v>0</v>
      </c>
    </row>
    <row r="51" spans="1:71">
      <c r="A51" s="25" t="s">
        <v>991</v>
      </c>
      <c r="B51" s="26" t="s">
        <v>989</v>
      </c>
      <c r="C51" s="26"/>
      <c r="D51" s="26"/>
      <c r="E51" s="27"/>
      <c r="F51" s="197"/>
      <c r="G51" s="172">
        <f>SF!G52</f>
        <v>94.821839999999995</v>
      </c>
      <c r="H51" s="34"/>
      <c r="I51" s="172">
        <f>SF!I52</f>
        <v>785.12483520000001</v>
      </c>
      <c r="J51" s="89"/>
      <c r="K51" s="265"/>
      <c r="L51" s="266"/>
      <c r="M51" s="268">
        <v>0</v>
      </c>
      <c r="N51" s="268">
        <v>0</v>
      </c>
      <c r="O51" s="268">
        <v>0</v>
      </c>
      <c r="P51" s="268">
        <v>0</v>
      </c>
      <c r="Q51" s="267"/>
      <c r="R51" s="268">
        <v>0</v>
      </c>
      <c r="S51" s="268">
        <v>0</v>
      </c>
      <c r="T51" s="268">
        <v>0</v>
      </c>
      <c r="U51" s="268">
        <v>0</v>
      </c>
      <c r="V51" s="267"/>
      <c r="W51" s="268">
        <v>0.75</v>
      </c>
      <c r="X51" s="268">
        <f>0.3*0.75</f>
        <v>0.22499999999999998</v>
      </c>
      <c r="Y51" s="268">
        <v>0.75</v>
      </c>
      <c r="Z51" s="268">
        <f>0.3*0.75</f>
        <v>0.22499999999999998</v>
      </c>
      <c r="AA51" s="268"/>
      <c r="AB51" s="268">
        <f>1.5</f>
        <v>1.5</v>
      </c>
      <c r="AC51" s="268">
        <f>0.3*1.5</f>
        <v>0.44999999999999996</v>
      </c>
      <c r="AD51" s="268">
        <f>1.5</f>
        <v>1.5</v>
      </c>
      <c r="AE51" s="268">
        <f>0.3*1.5</f>
        <v>0.44999999999999996</v>
      </c>
      <c r="AF51" s="268"/>
      <c r="AG51" s="268">
        <v>1.5</v>
      </c>
      <c r="AH51" s="268">
        <f>0.3*1.5</f>
        <v>0.44999999999999996</v>
      </c>
      <c r="AI51" s="268">
        <v>1.5</v>
      </c>
      <c r="AJ51" s="268">
        <f>0.3*1.5</f>
        <v>0.44999999999999996</v>
      </c>
      <c r="AK51" s="268"/>
      <c r="AL51" s="268">
        <v>1.5</v>
      </c>
      <c r="AM51" s="268">
        <f>0.3*1.5</f>
        <v>0.44999999999999996</v>
      </c>
      <c r="AN51" s="268">
        <v>1.5</v>
      </c>
      <c r="AO51" s="268">
        <f>0.3*1.5</f>
        <v>0.44999999999999996</v>
      </c>
      <c r="AQ51" s="699">
        <v>0</v>
      </c>
      <c r="AR51" s="699">
        <v>0</v>
      </c>
      <c r="AS51" s="699">
        <v>0</v>
      </c>
      <c r="AT51" s="699">
        <v>0</v>
      </c>
      <c r="AU51" s="376"/>
      <c r="AV51" s="477">
        <v>0</v>
      </c>
      <c r="AW51" s="477">
        <v>0</v>
      </c>
      <c r="AX51" s="477">
        <v>0</v>
      </c>
      <c r="AY51" s="477">
        <v>0</v>
      </c>
      <c r="AZ51" s="376"/>
      <c r="BA51" s="699">
        <v>0.75</v>
      </c>
      <c r="BB51" s="699">
        <f>0.3*0.75</f>
        <v>0.22499999999999998</v>
      </c>
      <c r="BC51" s="699">
        <v>0.75</v>
      </c>
      <c r="BD51" s="699">
        <f>0.3*0.75</f>
        <v>0.22499999999999998</v>
      </c>
      <c r="BE51" s="376"/>
      <c r="BF51" s="268">
        <v>1.5</v>
      </c>
      <c r="BG51" s="268">
        <f>0.3*1.5</f>
        <v>0.44999999999999996</v>
      </c>
      <c r="BH51" s="268">
        <v>1.5</v>
      </c>
      <c r="BI51" s="268">
        <f>0.3*1.5</f>
        <v>0.44999999999999996</v>
      </c>
      <c r="BJ51" s="376"/>
      <c r="BK51" s="268">
        <f>1.5</f>
        <v>1.5</v>
      </c>
      <c r="BL51" s="268">
        <f>0.3*1.5</f>
        <v>0.44999999999999996</v>
      </c>
      <c r="BM51" s="268">
        <f>1.5</f>
        <v>1.5</v>
      </c>
      <c r="BN51" s="268">
        <f>0.3*1.5</f>
        <v>0.44999999999999996</v>
      </c>
      <c r="BO51" s="376"/>
      <c r="BP51" s="268">
        <f>1.5</f>
        <v>1.5</v>
      </c>
      <c r="BQ51" s="268">
        <f>0.3*1.5</f>
        <v>0.44999999999999996</v>
      </c>
      <c r="BR51" s="268">
        <f>1.5</f>
        <v>1.5</v>
      </c>
      <c r="BS51" s="268">
        <f>0.3*1.5</f>
        <v>0.44999999999999996</v>
      </c>
    </row>
    <row r="52" spans="1:71">
      <c r="A52" s="25"/>
      <c r="B52" s="26"/>
      <c r="C52" s="26"/>
      <c r="D52" s="26"/>
      <c r="E52" s="27"/>
      <c r="F52" s="197"/>
      <c r="G52" s="211"/>
      <c r="H52" s="34"/>
      <c r="I52" s="211"/>
      <c r="J52" s="89"/>
      <c r="K52" s="265"/>
      <c r="L52" s="266"/>
      <c r="M52" s="268"/>
      <c r="N52" s="268"/>
      <c r="O52" s="268"/>
      <c r="P52" s="268"/>
      <c r="Q52" s="267"/>
      <c r="R52" s="268"/>
      <c r="S52" s="268"/>
      <c r="T52" s="268"/>
      <c r="U52" s="268"/>
      <c r="V52" s="267"/>
      <c r="W52" s="268"/>
      <c r="X52" s="268"/>
      <c r="Y52" s="268"/>
      <c r="Z52" s="268"/>
      <c r="AA52" s="268"/>
      <c r="AB52" s="268"/>
      <c r="AC52" s="268"/>
      <c r="AD52" s="268"/>
      <c r="AE52" s="268"/>
      <c r="AF52" s="268"/>
      <c r="AG52" s="268"/>
      <c r="AH52" s="268"/>
      <c r="AI52" s="268"/>
      <c r="AJ52" s="268"/>
      <c r="AK52" s="268"/>
      <c r="AL52" s="268"/>
      <c r="AM52" s="268"/>
      <c r="AN52" s="268"/>
      <c r="AO52" s="268"/>
      <c r="AQ52" s="699"/>
      <c r="AR52" s="699"/>
      <c r="AS52" s="699"/>
      <c r="AT52" s="699"/>
      <c r="AU52" s="376"/>
      <c r="AV52" s="477"/>
      <c r="AW52" s="477"/>
      <c r="AX52" s="477"/>
      <c r="AY52" s="477"/>
      <c r="AZ52" s="376"/>
      <c r="BA52" s="699"/>
      <c r="BB52" s="699"/>
      <c r="BC52" s="699"/>
      <c r="BD52" s="699"/>
      <c r="BE52" s="376"/>
      <c r="BF52" s="268"/>
      <c r="BG52" s="268"/>
      <c r="BH52" s="268"/>
      <c r="BI52" s="268"/>
      <c r="BJ52" s="376"/>
      <c r="BK52" s="268"/>
      <c r="BL52" s="268"/>
      <c r="BM52" s="268"/>
      <c r="BN52" s="268"/>
      <c r="BO52" s="376"/>
      <c r="BP52" s="268"/>
      <c r="BQ52" s="268"/>
      <c r="BR52" s="268"/>
      <c r="BS52" s="268"/>
    </row>
    <row r="53" spans="1:71">
      <c r="A53" s="25" t="s">
        <v>1012</v>
      </c>
      <c r="B53" s="26"/>
      <c r="C53" s="26"/>
      <c r="D53" s="26"/>
      <c r="E53" s="27"/>
      <c r="F53" s="197"/>
      <c r="G53" s="211"/>
      <c r="H53" s="34"/>
      <c r="I53" s="211"/>
      <c r="J53" s="89"/>
      <c r="K53" s="265"/>
      <c r="L53" s="266"/>
      <c r="M53" s="376"/>
      <c r="N53" s="376"/>
      <c r="O53" s="376"/>
      <c r="P53" s="376"/>
      <c r="Q53" s="267"/>
      <c r="R53" s="376"/>
      <c r="S53" s="376"/>
      <c r="T53" s="376"/>
      <c r="U53" s="376"/>
      <c r="V53" s="267"/>
      <c r="W53" s="376"/>
      <c r="X53" s="376"/>
      <c r="Y53" s="376"/>
      <c r="Z53" s="376"/>
      <c r="AA53" s="376"/>
      <c r="AB53" s="376"/>
      <c r="AC53" s="376"/>
      <c r="AD53" s="376"/>
      <c r="AE53" s="376"/>
      <c r="AF53" s="376"/>
      <c r="AG53" s="376"/>
      <c r="AH53" s="376"/>
      <c r="AI53" s="376"/>
      <c r="AJ53" s="376"/>
      <c r="AK53" s="376"/>
      <c r="AL53" s="376"/>
      <c r="AM53" s="376"/>
      <c r="AN53" s="376"/>
      <c r="AO53" s="376"/>
      <c r="AQ53" s="700"/>
      <c r="AR53" s="700"/>
      <c r="AS53" s="700"/>
      <c r="AT53" s="700"/>
      <c r="AU53" s="376"/>
      <c r="AV53" s="823"/>
      <c r="AW53" s="823"/>
      <c r="AX53" s="823"/>
      <c r="AY53" s="823"/>
      <c r="AZ53" s="376"/>
      <c r="BA53" s="700"/>
      <c r="BB53" s="700"/>
      <c r="BC53" s="700"/>
      <c r="BD53" s="700"/>
      <c r="BE53" s="376"/>
      <c r="BF53" s="376"/>
      <c r="BG53" s="376"/>
      <c r="BH53" s="376"/>
      <c r="BI53" s="376"/>
      <c r="BJ53" s="376"/>
      <c r="BK53" s="376"/>
      <c r="BL53" s="376"/>
      <c r="BM53" s="376"/>
      <c r="BN53" s="376"/>
      <c r="BO53" s="376"/>
      <c r="BP53" s="376"/>
      <c r="BQ53" s="376"/>
      <c r="BR53" s="376"/>
      <c r="BS53" s="376"/>
    </row>
    <row r="54" spans="1:71">
      <c r="A54" s="25" t="s">
        <v>993</v>
      </c>
      <c r="B54" s="26" t="s">
        <v>995</v>
      </c>
      <c r="C54" s="26"/>
      <c r="D54" s="26"/>
      <c r="E54" s="27"/>
      <c r="F54" s="197"/>
      <c r="G54" s="172">
        <f>SF!G55</f>
        <v>0</v>
      </c>
      <c r="H54" s="34"/>
      <c r="I54" s="172">
        <f>SF!I55</f>
        <v>0</v>
      </c>
      <c r="J54" s="89"/>
      <c r="K54" s="265"/>
      <c r="L54" s="266"/>
      <c r="M54" s="376">
        <v>0</v>
      </c>
      <c r="N54" s="376">
        <v>0</v>
      </c>
      <c r="O54" s="376">
        <v>0</v>
      </c>
      <c r="P54" s="376">
        <v>0</v>
      </c>
      <c r="Q54" s="267"/>
      <c r="R54" s="376">
        <v>0</v>
      </c>
      <c r="S54" s="376">
        <v>0</v>
      </c>
      <c r="T54" s="376">
        <v>0</v>
      </c>
      <c r="U54" s="376">
        <v>0</v>
      </c>
      <c r="V54" s="267"/>
      <c r="W54" s="376">
        <v>0</v>
      </c>
      <c r="X54" s="376">
        <v>0</v>
      </c>
      <c r="Y54" s="376">
        <v>0</v>
      </c>
      <c r="Z54" s="376">
        <v>0</v>
      </c>
      <c r="AA54" s="376"/>
      <c r="AB54" s="376">
        <v>0</v>
      </c>
      <c r="AC54" s="376">
        <v>0</v>
      </c>
      <c r="AD54" s="376">
        <v>0</v>
      </c>
      <c r="AE54" s="376">
        <v>0</v>
      </c>
      <c r="AF54" s="376"/>
      <c r="AG54" s="376">
        <v>0</v>
      </c>
      <c r="AH54" s="376">
        <v>0</v>
      </c>
      <c r="AI54" s="376">
        <v>0</v>
      </c>
      <c r="AJ54" s="376">
        <v>0</v>
      </c>
      <c r="AK54" s="376"/>
      <c r="AL54" s="376">
        <v>0</v>
      </c>
      <c r="AM54" s="376">
        <v>0</v>
      </c>
      <c r="AN54" s="376">
        <v>0</v>
      </c>
      <c r="AO54" s="376">
        <v>0</v>
      </c>
      <c r="AQ54" s="700">
        <v>0</v>
      </c>
      <c r="AR54" s="700">
        <v>0</v>
      </c>
      <c r="AS54" s="700">
        <v>0</v>
      </c>
      <c r="AT54" s="700">
        <v>0</v>
      </c>
      <c r="AU54" s="376"/>
      <c r="AV54" s="823">
        <v>0</v>
      </c>
      <c r="AW54" s="823">
        <v>0</v>
      </c>
      <c r="AX54" s="823">
        <v>0</v>
      </c>
      <c r="AY54" s="823">
        <v>0</v>
      </c>
      <c r="AZ54" s="376"/>
      <c r="BA54" s="700">
        <v>0</v>
      </c>
      <c r="BB54" s="700">
        <v>0</v>
      </c>
      <c r="BC54" s="700">
        <v>0</v>
      </c>
      <c r="BD54" s="700">
        <v>0</v>
      </c>
      <c r="BE54" s="376"/>
      <c r="BF54" s="376">
        <v>0</v>
      </c>
      <c r="BG54" s="376">
        <v>0</v>
      </c>
      <c r="BH54" s="376">
        <v>0</v>
      </c>
      <c r="BI54" s="376">
        <v>0</v>
      </c>
      <c r="BJ54" s="376"/>
      <c r="BK54" s="376">
        <v>0</v>
      </c>
      <c r="BL54" s="376">
        <v>0</v>
      </c>
      <c r="BM54" s="376">
        <v>0</v>
      </c>
      <c r="BN54" s="376">
        <v>0</v>
      </c>
      <c r="BO54" s="376"/>
      <c r="BP54" s="376">
        <v>0</v>
      </c>
      <c r="BQ54" s="376">
        <v>0</v>
      </c>
      <c r="BR54" s="376">
        <v>0</v>
      </c>
      <c r="BS54" s="376">
        <v>0</v>
      </c>
    </row>
    <row r="55" spans="1:71">
      <c r="A55" s="25" t="s">
        <v>994</v>
      </c>
      <c r="B55" s="26" t="s">
        <v>996</v>
      </c>
      <c r="C55" s="26"/>
      <c r="D55" s="26"/>
      <c r="E55" s="27"/>
      <c r="F55" s="197"/>
      <c r="G55" s="172">
        <f>SF!G56</f>
        <v>4.5540000000000003</v>
      </c>
      <c r="H55" s="34"/>
      <c r="I55" s="172">
        <f>SF!I56</f>
        <v>37.70712000000001</v>
      </c>
      <c r="J55" s="89"/>
      <c r="K55" s="265"/>
      <c r="L55" s="266"/>
      <c r="M55" s="376">
        <v>0</v>
      </c>
      <c r="N55" s="376">
        <v>0</v>
      </c>
      <c r="O55" s="376">
        <v>0</v>
      </c>
      <c r="P55" s="376">
        <v>0</v>
      </c>
      <c r="Q55" s="267"/>
      <c r="R55" s="376">
        <v>0</v>
      </c>
      <c r="S55" s="376">
        <v>0</v>
      </c>
      <c r="T55" s="376">
        <v>0</v>
      </c>
      <c r="U55" s="376">
        <v>0</v>
      </c>
      <c r="V55" s="267"/>
      <c r="W55" s="376">
        <v>0</v>
      </c>
      <c r="X55" s="376">
        <v>0</v>
      </c>
      <c r="Y55" s="376">
        <v>0</v>
      </c>
      <c r="Z55" s="376">
        <v>0</v>
      </c>
      <c r="AA55" s="376"/>
      <c r="AB55" s="376">
        <v>0</v>
      </c>
      <c r="AC55" s="376">
        <v>0</v>
      </c>
      <c r="AD55" s="376">
        <v>0</v>
      </c>
      <c r="AE55" s="376">
        <v>0</v>
      </c>
      <c r="AF55" s="376"/>
      <c r="AG55" s="376">
        <v>1.5</v>
      </c>
      <c r="AH55" s="376">
        <v>1.5</v>
      </c>
      <c r="AI55" s="376">
        <v>1.5</v>
      </c>
      <c r="AJ55" s="376">
        <v>1.5</v>
      </c>
      <c r="AK55" s="376"/>
      <c r="AL55" s="376">
        <v>1.5</v>
      </c>
      <c r="AM55" s="376">
        <v>1.5</v>
      </c>
      <c r="AN55" s="376">
        <v>1.5</v>
      </c>
      <c r="AO55" s="376">
        <v>1.5</v>
      </c>
      <c r="AQ55" s="700">
        <v>0</v>
      </c>
      <c r="AR55" s="700">
        <v>0</v>
      </c>
      <c r="AS55" s="700">
        <v>0</v>
      </c>
      <c r="AT55" s="700">
        <v>0</v>
      </c>
      <c r="AU55" s="376"/>
      <c r="AV55" s="823">
        <v>0</v>
      </c>
      <c r="AW55" s="823">
        <v>0</v>
      </c>
      <c r="AX55" s="823">
        <v>0</v>
      </c>
      <c r="AY55" s="823">
        <v>0</v>
      </c>
      <c r="AZ55" s="376"/>
      <c r="BA55" s="700">
        <v>0</v>
      </c>
      <c r="BB55" s="700">
        <v>0</v>
      </c>
      <c r="BC55" s="700">
        <v>0</v>
      </c>
      <c r="BD55" s="700">
        <v>0</v>
      </c>
      <c r="BE55" s="376"/>
      <c r="BF55" s="376">
        <v>0</v>
      </c>
      <c r="BG55" s="376">
        <v>0</v>
      </c>
      <c r="BH55" s="376">
        <v>0</v>
      </c>
      <c r="BI55" s="376">
        <v>0</v>
      </c>
      <c r="BJ55" s="376"/>
      <c r="BK55" s="376">
        <v>1.5</v>
      </c>
      <c r="BL55" s="376">
        <v>1.5</v>
      </c>
      <c r="BM55" s="376">
        <v>1.5</v>
      </c>
      <c r="BN55" s="376">
        <v>1.5</v>
      </c>
      <c r="BO55" s="376"/>
      <c r="BP55" s="376">
        <v>1.5</v>
      </c>
      <c r="BQ55" s="376">
        <v>1.5</v>
      </c>
      <c r="BR55" s="376">
        <v>1.5</v>
      </c>
      <c r="BS55" s="376">
        <v>1.5</v>
      </c>
    </row>
    <row r="56" spans="1:71">
      <c r="A56" s="25"/>
      <c r="B56" s="26"/>
      <c r="C56" s="26"/>
      <c r="D56" s="26"/>
      <c r="E56" s="27"/>
      <c r="F56" s="197"/>
      <c r="G56" s="211"/>
      <c r="H56" s="34"/>
      <c r="I56" s="211"/>
      <c r="J56" s="89"/>
      <c r="K56" s="265"/>
      <c r="L56" s="266"/>
      <c r="M56" s="376"/>
      <c r="N56" s="376"/>
      <c r="O56" s="376"/>
      <c r="P56" s="376"/>
      <c r="Q56" s="267"/>
      <c r="R56" s="376"/>
      <c r="S56" s="376"/>
      <c r="T56" s="376"/>
      <c r="U56" s="376"/>
      <c r="V56" s="267"/>
      <c r="W56" s="376"/>
      <c r="X56" s="376"/>
      <c r="Y56" s="376"/>
      <c r="Z56" s="376"/>
      <c r="AA56" s="376"/>
      <c r="AB56" s="376"/>
      <c r="AC56" s="376"/>
      <c r="AD56" s="376"/>
      <c r="AE56" s="376"/>
      <c r="AF56" s="376"/>
      <c r="AG56" s="376"/>
      <c r="AH56" s="376"/>
      <c r="AI56" s="376"/>
      <c r="AJ56" s="376"/>
      <c r="AK56" s="376"/>
      <c r="AL56" s="376"/>
      <c r="AM56" s="376"/>
      <c r="AN56" s="376"/>
      <c r="AO56" s="376"/>
      <c r="AQ56" s="700"/>
      <c r="AR56" s="700"/>
      <c r="AS56" s="700"/>
      <c r="AT56" s="700"/>
      <c r="AU56" s="376"/>
      <c r="AV56" s="823"/>
      <c r="AW56" s="823"/>
      <c r="AX56" s="823"/>
      <c r="AY56" s="823"/>
      <c r="AZ56" s="376"/>
      <c r="BA56" s="700"/>
      <c r="BB56" s="700"/>
      <c r="BC56" s="700"/>
      <c r="BD56" s="700"/>
      <c r="BE56" s="376"/>
      <c r="BF56" s="376"/>
      <c r="BG56" s="376"/>
      <c r="BH56" s="376"/>
      <c r="BI56" s="376"/>
      <c r="BJ56" s="376"/>
      <c r="BK56" s="376"/>
      <c r="BL56" s="376"/>
      <c r="BM56" s="376"/>
      <c r="BN56" s="376"/>
      <c r="BO56" s="376"/>
      <c r="BP56" s="376"/>
      <c r="BQ56" s="376"/>
      <c r="BR56" s="376"/>
      <c r="BS56" s="376"/>
    </row>
    <row r="57" spans="1:71">
      <c r="A57" s="25" t="s">
        <v>217</v>
      </c>
      <c r="B57" s="26" t="s">
        <v>211</v>
      </c>
      <c r="C57" s="26"/>
      <c r="D57" s="26"/>
      <c r="E57" s="27"/>
      <c r="F57" s="197"/>
      <c r="G57" s="196">
        <f>SF!G58</f>
        <v>26.798532263701709</v>
      </c>
      <c r="H57" s="199"/>
      <c r="I57" s="172">
        <f>SF!I58</f>
        <v>147.28381289471153</v>
      </c>
      <c r="J57" s="195"/>
      <c r="K57" s="265"/>
      <c r="L57" s="266"/>
      <c r="M57" s="376">
        <v>0</v>
      </c>
      <c r="N57" s="376">
        <v>0</v>
      </c>
      <c r="O57" s="376">
        <v>0</v>
      </c>
      <c r="P57" s="376">
        <v>0</v>
      </c>
      <c r="Q57" s="267"/>
      <c r="R57" s="376">
        <v>0</v>
      </c>
      <c r="S57" s="376">
        <v>0</v>
      </c>
      <c r="T57" s="376">
        <v>0</v>
      </c>
      <c r="U57" s="376">
        <v>0</v>
      </c>
      <c r="V57" s="267"/>
      <c r="W57" s="376">
        <v>0.75</v>
      </c>
      <c r="X57" s="268">
        <f>0.3*0.75</f>
        <v>0.22499999999999998</v>
      </c>
      <c r="Y57" s="376">
        <v>0.75</v>
      </c>
      <c r="Z57" s="268">
        <f>0.3*0.75</f>
        <v>0.22499999999999998</v>
      </c>
      <c r="AA57" s="268"/>
      <c r="AB57" s="376">
        <f>1.5</f>
        <v>1.5</v>
      </c>
      <c r="AC57" s="268">
        <f>0.3*1.5</f>
        <v>0.44999999999999996</v>
      </c>
      <c r="AD57" s="376">
        <f>1.5</f>
        <v>1.5</v>
      </c>
      <c r="AE57" s="268">
        <f>0.3*1.5</f>
        <v>0.44999999999999996</v>
      </c>
      <c r="AF57" s="268"/>
      <c r="AG57" s="376">
        <v>1.5</v>
      </c>
      <c r="AH57" s="376">
        <f>0.3*1.5</f>
        <v>0.44999999999999996</v>
      </c>
      <c r="AI57" s="376">
        <v>1.5</v>
      </c>
      <c r="AJ57" s="376">
        <f>0.3*1.5</f>
        <v>0.44999999999999996</v>
      </c>
      <c r="AK57" s="376"/>
      <c r="AL57" s="376">
        <v>1.5</v>
      </c>
      <c r="AM57" s="376">
        <f>0.3*1.5</f>
        <v>0.44999999999999996</v>
      </c>
      <c r="AN57" s="376">
        <v>1.5</v>
      </c>
      <c r="AO57" s="376">
        <f>0.3*1.5</f>
        <v>0.44999999999999996</v>
      </c>
      <c r="AQ57" s="700">
        <v>0</v>
      </c>
      <c r="AR57" s="700">
        <v>0</v>
      </c>
      <c r="AS57" s="700">
        <v>0</v>
      </c>
      <c r="AT57" s="700">
        <v>0</v>
      </c>
      <c r="AU57" s="376"/>
      <c r="AV57" s="823">
        <v>0</v>
      </c>
      <c r="AW57" s="823">
        <v>0</v>
      </c>
      <c r="AX57" s="823">
        <v>0</v>
      </c>
      <c r="AY57" s="823">
        <v>0</v>
      </c>
      <c r="AZ57" s="376"/>
      <c r="BA57" s="700">
        <v>0.75</v>
      </c>
      <c r="BB57" s="699">
        <f>0.3*0.75</f>
        <v>0.22499999999999998</v>
      </c>
      <c r="BC57" s="700">
        <v>0.75</v>
      </c>
      <c r="BD57" s="699">
        <f>0.3*0.75</f>
        <v>0.22499999999999998</v>
      </c>
      <c r="BE57" s="376"/>
      <c r="BF57" s="376">
        <v>1.5</v>
      </c>
      <c r="BG57" s="268">
        <f>0.3*1.5</f>
        <v>0.44999999999999996</v>
      </c>
      <c r="BH57" s="376">
        <v>1.5</v>
      </c>
      <c r="BI57" s="268">
        <f>0.3*1.5</f>
        <v>0.44999999999999996</v>
      </c>
      <c r="BJ57" s="376"/>
      <c r="BK57" s="376">
        <v>1.5</v>
      </c>
      <c r="BL57" s="268">
        <f>0.3*1.5</f>
        <v>0.44999999999999996</v>
      </c>
      <c r="BM57" s="376">
        <v>1.5</v>
      </c>
      <c r="BN57" s="268">
        <f>0.3*1.5</f>
        <v>0.44999999999999996</v>
      </c>
      <c r="BO57" s="376"/>
      <c r="BP57" s="376">
        <v>1.5</v>
      </c>
      <c r="BQ57" s="268">
        <f>0.3*1.5</f>
        <v>0.44999999999999996</v>
      </c>
      <c r="BR57" s="376">
        <v>1.5</v>
      </c>
      <c r="BS57" s="268">
        <f>0.3*1.5</f>
        <v>0.44999999999999996</v>
      </c>
    </row>
    <row r="58" spans="1:71">
      <c r="A58" s="69"/>
      <c r="B58" s="26"/>
      <c r="C58" s="26"/>
      <c r="D58" s="26"/>
      <c r="E58" s="27"/>
      <c r="F58" s="197"/>
      <c r="G58" s="211"/>
      <c r="H58" s="34"/>
      <c r="I58" s="211"/>
      <c r="J58" s="89"/>
      <c r="K58" s="265"/>
      <c r="L58" s="266"/>
      <c r="M58" s="376"/>
      <c r="N58" s="376"/>
      <c r="O58" s="376"/>
      <c r="P58" s="376"/>
      <c r="Q58" s="267"/>
      <c r="R58" s="376"/>
      <c r="S58" s="376"/>
      <c r="T58" s="376"/>
      <c r="U58" s="376"/>
      <c r="V58" s="267"/>
      <c r="W58" s="376"/>
      <c r="X58" s="376"/>
      <c r="Y58" s="376"/>
      <c r="Z58" s="376"/>
      <c r="AA58" s="376"/>
      <c r="AB58" s="376"/>
      <c r="AC58" s="376"/>
      <c r="AD58" s="376"/>
      <c r="AE58" s="376"/>
      <c r="AF58" s="376"/>
      <c r="AG58" s="376"/>
      <c r="AH58" s="376"/>
      <c r="AI58" s="376"/>
      <c r="AJ58" s="376"/>
      <c r="AK58" s="376"/>
      <c r="AL58" s="376"/>
      <c r="AM58" s="376"/>
      <c r="AN58" s="376"/>
      <c r="AO58" s="376"/>
      <c r="AP58" s="700"/>
      <c r="AQ58" s="700"/>
      <c r="AR58" s="700"/>
      <c r="AS58" s="700"/>
      <c r="AT58" s="376"/>
      <c r="AU58" s="823"/>
      <c r="AV58" s="823"/>
      <c r="AW58" s="823"/>
      <c r="AX58" s="823"/>
      <c r="AY58" s="376"/>
      <c r="AZ58" s="700"/>
      <c r="BA58" s="700"/>
      <c r="BB58" s="700"/>
      <c r="BC58" s="700"/>
      <c r="BD58" s="376"/>
      <c r="BE58" s="376"/>
      <c r="BF58" s="376"/>
      <c r="BG58" s="376"/>
      <c r="BH58" s="376"/>
      <c r="BI58" s="376"/>
      <c r="BJ58" s="376"/>
      <c r="BK58" s="376"/>
      <c r="BL58" s="376"/>
      <c r="BM58" s="376"/>
      <c r="BN58" s="376"/>
      <c r="BO58" s="376"/>
      <c r="BP58" s="376"/>
      <c r="BQ58" s="376"/>
      <c r="BR58" s="376"/>
      <c r="BS58" s="705"/>
    </row>
    <row r="59" spans="1:71">
      <c r="A59" s="693" t="s">
        <v>1133</v>
      </c>
      <c r="B59" s="688"/>
      <c r="C59" s="688"/>
      <c r="D59" s="688"/>
      <c r="E59" s="27"/>
      <c r="F59" s="197"/>
      <c r="G59" s="211"/>
      <c r="H59" s="34"/>
      <c r="I59" s="211"/>
      <c r="J59" s="89"/>
      <c r="K59" s="265"/>
      <c r="L59" s="266"/>
      <c r="M59" s="376"/>
      <c r="N59" s="376"/>
      <c r="O59" s="376"/>
      <c r="P59" s="376"/>
      <c r="Q59" s="267"/>
      <c r="R59" s="376"/>
      <c r="S59" s="376"/>
      <c r="T59" s="376"/>
      <c r="U59" s="376"/>
      <c r="V59" s="267"/>
      <c r="W59" s="376"/>
      <c r="X59" s="376"/>
      <c r="Y59" s="376"/>
      <c r="Z59" s="376"/>
      <c r="AA59" s="376"/>
      <c r="AB59" s="376"/>
      <c r="AC59" s="376"/>
      <c r="AD59" s="376"/>
      <c r="AE59" s="376"/>
      <c r="AF59" s="376"/>
      <c r="AG59" s="376"/>
      <c r="AH59" s="376"/>
      <c r="AI59" s="376"/>
      <c r="AJ59" s="376"/>
      <c r="AK59" s="376"/>
      <c r="AL59" s="376"/>
      <c r="AM59" s="376"/>
      <c r="AN59" s="376"/>
      <c r="AO59" s="376"/>
      <c r="AP59" s="700"/>
      <c r="AQ59" s="700"/>
      <c r="AR59" s="700"/>
      <c r="AS59" s="700"/>
      <c r="AT59" s="376"/>
      <c r="AU59" s="823"/>
      <c r="AV59" s="823"/>
      <c r="AW59" s="823"/>
      <c r="AX59" s="823"/>
      <c r="AY59" s="376"/>
      <c r="AZ59" s="700"/>
      <c r="BA59" s="700"/>
      <c r="BB59" s="700"/>
      <c r="BC59" s="700"/>
      <c r="BD59" s="376"/>
      <c r="BE59" s="376"/>
      <c r="BF59" s="376"/>
      <c r="BG59" s="376"/>
      <c r="BH59" s="376"/>
      <c r="BI59" s="376"/>
      <c r="BJ59" s="376"/>
      <c r="BK59" s="376"/>
      <c r="BL59" s="376"/>
      <c r="BM59" s="376"/>
      <c r="BN59" s="376"/>
      <c r="BO59" s="376"/>
      <c r="BP59" s="376"/>
      <c r="BQ59" s="376"/>
      <c r="BR59" s="376"/>
      <c r="BS59" s="705"/>
    </row>
    <row r="60" spans="1:71">
      <c r="A60" s="686" t="s">
        <v>1472</v>
      </c>
      <c r="B60" s="688" t="s">
        <v>1045</v>
      </c>
      <c r="C60" s="688"/>
      <c r="D60" s="688"/>
      <c r="E60" s="689"/>
      <c r="F60" s="620"/>
      <c r="G60" s="695">
        <f>SF!G61</f>
        <v>32.345729999999996</v>
      </c>
      <c r="H60" s="690"/>
      <c r="I60" s="695">
        <f>SF!I61</f>
        <v>29.111156999999999</v>
      </c>
      <c r="J60" s="269"/>
      <c r="K60" s="265"/>
      <c r="L60" s="266"/>
      <c r="M60" s="376"/>
      <c r="N60" s="376"/>
      <c r="O60" s="376"/>
      <c r="P60" s="376"/>
      <c r="Q60" s="267"/>
      <c r="R60" s="376"/>
      <c r="S60" s="376"/>
      <c r="T60" s="376"/>
      <c r="U60" s="376"/>
      <c r="V60" s="267"/>
      <c r="W60" s="376"/>
      <c r="X60" s="268"/>
      <c r="Y60" s="376"/>
      <c r="Z60" s="268"/>
      <c r="AA60" s="268"/>
      <c r="AB60" s="376"/>
      <c r="AC60" s="268"/>
      <c r="AD60" s="376"/>
      <c r="AE60" s="268"/>
      <c r="AF60" s="268"/>
      <c r="AG60" s="376"/>
      <c r="AH60" s="376"/>
      <c r="AI60" s="376"/>
      <c r="AJ60" s="376"/>
      <c r="AK60" s="376"/>
      <c r="AL60" s="376"/>
      <c r="AM60" s="376"/>
      <c r="AN60" s="376"/>
      <c r="AO60" s="376"/>
      <c r="AP60" s="376"/>
      <c r="AQ60" s="700">
        <v>0</v>
      </c>
      <c r="AR60" s="700">
        <v>0</v>
      </c>
      <c r="AS60" s="700">
        <v>0</v>
      </c>
      <c r="AT60" s="700">
        <v>0</v>
      </c>
      <c r="AU60" s="376"/>
      <c r="AV60" s="823">
        <v>0</v>
      </c>
      <c r="AW60" s="823">
        <v>0</v>
      </c>
      <c r="AX60" s="823">
        <v>0</v>
      </c>
      <c r="AY60" s="823">
        <v>0</v>
      </c>
      <c r="AZ60" s="376"/>
      <c r="BA60" s="700">
        <v>0.75</v>
      </c>
      <c r="BB60" s="699">
        <f>0.3*0.75</f>
        <v>0.22499999999999998</v>
      </c>
      <c r="BC60" s="700">
        <v>0.75</v>
      </c>
      <c r="BD60" s="699">
        <f>0.3*0.75</f>
        <v>0.22499999999999998</v>
      </c>
      <c r="BE60" s="376"/>
      <c r="BF60" s="376">
        <v>1.5</v>
      </c>
      <c r="BG60" s="268">
        <f>0.3*1.5</f>
        <v>0.44999999999999996</v>
      </c>
      <c r="BH60" s="376">
        <v>1.5</v>
      </c>
      <c r="BI60" s="268">
        <f>0.3*1.5</f>
        <v>0.44999999999999996</v>
      </c>
      <c r="BJ60" s="376"/>
      <c r="BK60" s="376">
        <v>1.5</v>
      </c>
      <c r="BL60" s="268">
        <f>0.3*1.5</f>
        <v>0.44999999999999996</v>
      </c>
      <c r="BM60" s="376">
        <v>1.5</v>
      </c>
      <c r="BN60" s="268">
        <f>0.3*1.5</f>
        <v>0.44999999999999996</v>
      </c>
      <c r="BO60" s="376"/>
      <c r="BP60" s="376">
        <v>1.5</v>
      </c>
      <c r="BQ60" s="268">
        <f>0.3*1.5</f>
        <v>0.44999999999999996</v>
      </c>
      <c r="BR60" s="376">
        <v>1.5</v>
      </c>
      <c r="BS60" s="268">
        <f>0.3*1.5</f>
        <v>0.44999999999999996</v>
      </c>
    </row>
    <row r="61" spans="1:71">
      <c r="A61" s="686"/>
      <c r="B61" s="688"/>
      <c r="C61" s="688"/>
      <c r="D61" s="688"/>
      <c r="E61" s="689"/>
      <c r="F61" s="620"/>
      <c r="G61" s="710"/>
      <c r="H61" s="690"/>
      <c r="I61" s="695"/>
      <c r="J61" s="269"/>
      <c r="K61" s="265"/>
      <c r="L61" s="266"/>
      <c r="M61" s="376"/>
      <c r="N61" s="376"/>
      <c r="O61" s="376"/>
      <c r="P61" s="376"/>
      <c r="Q61" s="267"/>
      <c r="R61" s="376"/>
      <c r="S61" s="376"/>
      <c r="T61" s="376"/>
      <c r="U61" s="376"/>
      <c r="V61" s="267"/>
      <c r="W61" s="376"/>
      <c r="X61" s="268"/>
      <c r="Y61" s="376"/>
      <c r="Z61" s="268"/>
      <c r="AA61" s="268"/>
      <c r="AB61" s="376"/>
      <c r="AC61" s="268"/>
      <c r="AD61" s="376"/>
      <c r="AE61" s="268"/>
      <c r="AF61" s="268"/>
      <c r="AG61" s="376"/>
      <c r="AH61" s="376"/>
      <c r="AI61" s="376"/>
      <c r="AJ61" s="376"/>
      <c r="AK61" s="376"/>
      <c r="AL61" s="376"/>
      <c r="AM61" s="376"/>
      <c r="AN61" s="376"/>
      <c r="AO61" s="376"/>
      <c r="AP61" s="376"/>
      <c r="AQ61" s="700"/>
      <c r="AR61" s="700"/>
      <c r="AS61" s="700"/>
      <c r="AT61" s="700"/>
      <c r="AU61" s="376"/>
      <c r="AV61" s="823"/>
      <c r="AW61" s="823"/>
      <c r="AX61" s="823"/>
      <c r="AY61" s="823"/>
      <c r="AZ61" s="376"/>
      <c r="BA61" s="700"/>
      <c r="BB61" s="699"/>
      <c r="BC61" s="700"/>
      <c r="BD61" s="699"/>
      <c r="BE61" s="376"/>
      <c r="BF61" s="376"/>
      <c r="BG61" s="268"/>
      <c r="BH61" s="376"/>
      <c r="BI61" s="268"/>
      <c r="BJ61" s="376"/>
      <c r="BK61" s="376"/>
      <c r="BL61" s="376"/>
      <c r="BM61" s="376"/>
      <c r="BN61" s="376"/>
      <c r="BO61" s="376"/>
      <c r="BP61" s="376"/>
      <c r="BQ61" s="376"/>
      <c r="BR61" s="376"/>
      <c r="BS61" s="376"/>
    </row>
    <row r="62" spans="1:71">
      <c r="A62" s="686" t="s">
        <v>1139</v>
      </c>
      <c r="B62" s="688" t="s">
        <v>1140</v>
      </c>
      <c r="C62" s="688"/>
      <c r="D62" s="688"/>
      <c r="E62" s="689"/>
      <c r="F62" s="620"/>
      <c r="G62" s="695">
        <f>SF!G63</f>
        <v>19.373390077688924</v>
      </c>
      <c r="H62" s="690"/>
      <c r="I62" s="695">
        <f>SF!I63</f>
        <v>37.512792074379419</v>
      </c>
      <c r="J62" s="269"/>
      <c r="K62" s="265"/>
      <c r="L62" s="266"/>
      <c r="M62" s="376"/>
      <c r="N62" s="376"/>
      <c r="O62" s="376"/>
      <c r="P62" s="376"/>
      <c r="Q62" s="267"/>
      <c r="R62" s="376"/>
      <c r="S62" s="376"/>
      <c r="T62" s="376"/>
      <c r="U62" s="376"/>
      <c r="V62" s="267"/>
      <c r="W62" s="376"/>
      <c r="X62" s="268"/>
      <c r="Y62" s="376"/>
      <c r="Z62" s="268"/>
      <c r="AA62" s="268"/>
      <c r="AB62" s="376"/>
      <c r="AC62" s="268"/>
      <c r="AD62" s="376"/>
      <c r="AE62" s="268"/>
      <c r="AF62" s="268"/>
      <c r="AG62" s="376"/>
      <c r="AH62" s="376"/>
      <c r="AI62" s="376"/>
      <c r="AJ62" s="376"/>
      <c r="AK62" s="376"/>
      <c r="AL62" s="376"/>
      <c r="AM62" s="376"/>
      <c r="AN62" s="376"/>
      <c r="AO62" s="376"/>
      <c r="AP62" s="376"/>
      <c r="AQ62" s="700">
        <v>0</v>
      </c>
      <c r="AR62" s="700">
        <v>0</v>
      </c>
      <c r="AS62" s="700">
        <v>0</v>
      </c>
      <c r="AT62" s="700">
        <v>0</v>
      </c>
      <c r="AU62" s="376"/>
      <c r="AV62" s="823">
        <v>0</v>
      </c>
      <c r="AW62" s="823">
        <v>0</v>
      </c>
      <c r="AX62" s="823">
        <v>0</v>
      </c>
      <c r="AY62" s="823">
        <v>0</v>
      </c>
      <c r="AZ62" s="376"/>
      <c r="BA62" s="700">
        <v>0.5</v>
      </c>
      <c r="BB62" s="699">
        <f>0.3*0.5</f>
        <v>0.15</v>
      </c>
      <c r="BC62" s="700">
        <v>0.5</v>
      </c>
      <c r="BD62" s="699">
        <f>0.3*0.5</f>
        <v>0.15</v>
      </c>
      <c r="BE62" s="376"/>
      <c r="BF62" s="376">
        <v>1</v>
      </c>
      <c r="BG62" s="268">
        <f>0.3*1</f>
        <v>0.3</v>
      </c>
      <c r="BH62" s="376">
        <v>1</v>
      </c>
      <c r="BI62" s="268">
        <f>0.3*1</f>
        <v>0.3</v>
      </c>
      <c r="BJ62" s="376"/>
      <c r="BK62" s="376">
        <v>1</v>
      </c>
      <c r="BL62" s="268">
        <f>0.3*1</f>
        <v>0.3</v>
      </c>
      <c r="BM62" s="376">
        <v>1</v>
      </c>
      <c r="BN62" s="268">
        <f>0.3*1</f>
        <v>0.3</v>
      </c>
      <c r="BO62" s="376"/>
      <c r="BP62" s="376">
        <v>1</v>
      </c>
      <c r="BQ62" s="268">
        <f>0.3*1</f>
        <v>0.3</v>
      </c>
      <c r="BR62" s="376">
        <v>1</v>
      </c>
      <c r="BS62" s="268">
        <f>0.3*1</f>
        <v>0.3</v>
      </c>
    </row>
    <row r="63" spans="1:71">
      <c r="A63" s="113"/>
      <c r="B63" s="651"/>
      <c r="C63" s="651"/>
      <c r="D63" s="651"/>
      <c r="E63" s="652"/>
      <c r="F63" s="212"/>
      <c r="G63" s="653"/>
      <c r="H63" s="599"/>
      <c r="I63" s="212"/>
      <c r="J63" s="599"/>
      <c r="K63" s="283"/>
      <c r="L63" s="284"/>
      <c r="M63" s="655"/>
      <c r="N63" s="655"/>
      <c r="O63" s="655"/>
      <c r="P63" s="655"/>
      <c r="Q63" s="267"/>
      <c r="R63" s="655"/>
      <c r="S63" s="655"/>
      <c r="T63" s="655"/>
      <c r="U63" s="655"/>
      <c r="V63" s="267"/>
      <c r="W63" s="376"/>
      <c r="X63" s="376"/>
      <c r="Y63" s="376"/>
      <c r="Z63" s="376"/>
      <c r="AA63" s="376"/>
      <c r="AB63" s="376"/>
      <c r="AC63" s="376"/>
      <c r="AD63" s="376"/>
      <c r="AE63" s="376"/>
      <c r="AF63" s="376"/>
      <c r="AG63" s="376"/>
      <c r="AH63" s="376"/>
      <c r="AI63" s="376"/>
      <c r="AJ63" s="376"/>
      <c r="AK63" s="376"/>
      <c r="AL63" s="376"/>
      <c r="AM63" s="376"/>
      <c r="AN63" s="376"/>
      <c r="AO63" s="376"/>
      <c r="AP63" s="376"/>
      <c r="AQ63" s="700"/>
      <c r="AR63" s="700"/>
      <c r="AS63" s="700"/>
      <c r="AT63" s="700"/>
      <c r="AU63" s="376"/>
      <c r="AV63" s="823"/>
      <c r="AW63" s="823"/>
      <c r="AX63" s="823"/>
      <c r="AY63" s="823"/>
      <c r="AZ63" s="376"/>
      <c r="BA63" s="700"/>
      <c r="BB63" s="700"/>
      <c r="BC63" s="700"/>
      <c r="BD63" s="700"/>
      <c r="BE63" s="376"/>
      <c r="BF63" s="376"/>
      <c r="BG63" s="376"/>
      <c r="BH63" s="376"/>
      <c r="BI63" s="376"/>
      <c r="BJ63" s="376"/>
      <c r="BK63" s="376"/>
      <c r="BL63" s="376"/>
      <c r="BM63" s="376"/>
      <c r="BN63" s="376"/>
      <c r="BO63" s="376"/>
      <c r="BP63" s="376"/>
      <c r="BQ63" s="376"/>
      <c r="BR63" s="376"/>
      <c r="BS63" s="376"/>
    </row>
    <row r="64" spans="1:71">
      <c r="A64" s="278" t="s">
        <v>1817</v>
      </c>
      <c r="B64" s="262"/>
      <c r="C64" s="262"/>
      <c r="D64" s="262"/>
      <c r="E64" s="263"/>
      <c r="F64" s="279"/>
      <c r="G64" s="280"/>
      <c r="H64" s="264"/>
      <c r="I64" s="279"/>
      <c r="J64" s="264"/>
      <c r="K64" s="261"/>
      <c r="L64" s="262"/>
      <c r="M64" s="708">
        <f>MAX(MAX(M65:M77),ABS(MIN(M65:M77)))</f>
        <v>0</v>
      </c>
      <c r="N64" s="708">
        <f>MAX(MAX(N65:N77),ABS(MIN(N65:N77)))</f>
        <v>0</v>
      </c>
      <c r="O64" s="708">
        <f>MAX(MAX(O65:O77),ABS(MIN(O65:O77)))</f>
        <v>0</v>
      </c>
      <c r="P64" s="708">
        <f>MAX(MAX(P65:P77),ABS(MIN(P65:P77)))</f>
        <v>0</v>
      </c>
      <c r="Q64" s="1319"/>
      <c r="R64" s="708">
        <f>MAX(MAX(R65:R77),ABS(MIN(R65:R77)))</f>
        <v>0</v>
      </c>
      <c r="S64" s="708">
        <f>MAX(MAX(S65:S77),ABS(MIN(S65:S77)))</f>
        <v>0</v>
      </c>
      <c r="T64" s="708">
        <f>MAX(MAX(T65:T77),ABS(MIN(T65:T77)))</f>
        <v>0</v>
      </c>
      <c r="U64" s="708">
        <f>MAX(MAX(U65:U77),ABS(MIN(U65:U77)))</f>
        <v>0</v>
      </c>
      <c r="V64" s="1319"/>
      <c r="W64" s="708">
        <f>MAX(MAX(W65:W77),ABS(MIN(W65:W77)))</f>
        <v>0.22499999999999998</v>
      </c>
      <c r="X64" s="708">
        <f>MAX(MAX(X65:X77),ABS(MIN(X65:X77)))</f>
        <v>0.75</v>
      </c>
      <c r="Y64" s="708">
        <f>MAX(MAX(Y65:Y77),ABS(MIN(Y65:Y77)))</f>
        <v>0.22499999999999998</v>
      </c>
      <c r="Z64" s="708">
        <f>MAX(MAX(Z65:Z77),ABS(MIN(Z65:Z77)))</f>
        <v>0.75</v>
      </c>
      <c r="AA64" s="995"/>
      <c r="AB64" s="708">
        <f>MAX(MAX(AB65:AB77),ABS(MIN(AB65:AB77)))</f>
        <v>0.44999999999999996</v>
      </c>
      <c r="AC64" s="708">
        <f>MAX(MAX(AC65:AC77),ABS(MIN(AC65:AC77)))</f>
        <v>1.5</v>
      </c>
      <c r="AD64" s="708">
        <f>MAX(MAX(AD65:AD77),ABS(MIN(AD65:AD77)))</f>
        <v>0.44999999999999996</v>
      </c>
      <c r="AE64" s="708">
        <f>MAX(MAX(AE65:AE77),ABS(MIN(AE65:AE77)))</f>
        <v>1.5</v>
      </c>
      <c r="AF64" s="708"/>
      <c r="AG64" s="708">
        <f>MAX(MAX(AG65:AG77),ABS(MIN(AG65:AG77)))</f>
        <v>0.44999999999999996</v>
      </c>
      <c r="AH64" s="708">
        <f>MAX(MAX(AH65:AH77),ABS(MIN(AH65:AH77)))</f>
        <v>1.5</v>
      </c>
      <c r="AI64" s="708">
        <f>MAX(MAX(AI65:AI77),ABS(MIN(AI65:AI77)))</f>
        <v>0.44999999999999996</v>
      </c>
      <c r="AJ64" s="708">
        <f>MAX(MAX(AJ65:AJ77),ABS(MIN(AJ65:AJ77)))</f>
        <v>1.5</v>
      </c>
      <c r="AK64" s="708"/>
      <c r="AL64" s="708">
        <f>MAX(MAX(AL65:AL77),ABS(MIN(AL65:AL77)))</f>
        <v>0.44999999999999996</v>
      </c>
      <c r="AM64" s="708">
        <f>MAX(MAX(AM65:AM77),ABS(MIN(AM65:AM77)))</f>
        <v>1.5</v>
      </c>
      <c r="AN64" s="708">
        <f>MAX(MAX(AN65:AN77),ABS(MIN(AN65:AN77)))</f>
        <v>0.44999999999999996</v>
      </c>
      <c r="AO64" s="708">
        <f>MAX(MAX(AO65:AO77),ABS(MIN(AO65:AO77)))</f>
        <v>1.5</v>
      </c>
      <c r="AP64" s="708"/>
      <c r="AQ64" s="708">
        <f>MAX(MAX(AQ65:AQ77),ABS(MIN(AQ65:AQ77)))</f>
        <v>0</v>
      </c>
      <c r="AR64" s="708">
        <f>MAX(MAX(AR65:AR77),ABS(MIN(AR65:AR77)))</f>
        <v>0</v>
      </c>
      <c r="AS64" s="708">
        <f>MAX(MAX(AS65:AS77),ABS(MIN(AS65:AS77)))</f>
        <v>0</v>
      </c>
      <c r="AT64" s="708">
        <f>MAX(MAX(AT65:AT77),ABS(MIN(AT65:AT77)))</f>
        <v>0</v>
      </c>
      <c r="AU64" s="994"/>
      <c r="AV64" s="708">
        <f>MAX(MAX(AV65:AV77),ABS(MIN(AV65:AV77)))</f>
        <v>0</v>
      </c>
      <c r="AW64" s="708">
        <f>MAX(MAX(AW65:AW77),ABS(MIN(AW65:AW77)))</f>
        <v>0</v>
      </c>
      <c r="AX64" s="708">
        <f>MAX(MAX(AX65:AX77),ABS(MIN(AX65:AX77)))</f>
        <v>0</v>
      </c>
      <c r="AY64" s="708">
        <f>MAX(MAX(AY65:AY77),ABS(MIN(AY65:AY77)))</f>
        <v>0</v>
      </c>
      <c r="AZ64" s="994"/>
      <c r="BA64" s="708">
        <f>MAX(MAX(BA65:BA77),ABS(MIN(BA65:BA77)))</f>
        <v>0.22499999999999998</v>
      </c>
      <c r="BB64" s="708">
        <f>MAX(MAX(BB65:BB77),ABS(MIN(BB65:BB77)))</f>
        <v>0.75</v>
      </c>
      <c r="BC64" s="708">
        <f>MAX(MAX(BC65:BC77),ABS(MIN(BC65:BC77)))</f>
        <v>0.22499999999999998</v>
      </c>
      <c r="BD64" s="708">
        <f>MAX(MAX(BD65:BD77),ABS(MIN(BD65:BD77)))</f>
        <v>0.75</v>
      </c>
      <c r="BE64" s="994"/>
      <c r="BF64" s="708">
        <f>MAX(MAX(BF65:BF77),ABS(MIN(BF65:BF77)))</f>
        <v>0.44999999999999996</v>
      </c>
      <c r="BG64" s="708">
        <f>MAX(MAX(BG65:BG77),ABS(MIN(BG65:BG77)))</f>
        <v>1.5</v>
      </c>
      <c r="BH64" s="708">
        <f>MAX(MAX(BH65:BH77),ABS(MIN(BH65:BH77)))</f>
        <v>0.44999999999999996</v>
      </c>
      <c r="BI64" s="708">
        <f>MAX(MAX(BI65:BI77),ABS(MIN(BI65:BI77)))</f>
        <v>1.5</v>
      </c>
      <c r="BJ64" s="994"/>
      <c r="BK64" s="708">
        <f>MAX(MAX(BK65:BK77),ABS(MIN(BK65:BK77)))</f>
        <v>0.44999999999999996</v>
      </c>
      <c r="BL64" s="708">
        <f>MAX(MAX(BL65:BL77),ABS(MIN(BL65:BL77)))</f>
        <v>1.5</v>
      </c>
      <c r="BM64" s="708">
        <f>MAX(MAX(BM65:BM77),ABS(MIN(BM65:BM77)))</f>
        <v>0.44999999999999996</v>
      </c>
      <c r="BN64" s="708">
        <f>MAX(MAX(BN65:BN77),ABS(MIN(BN65:BN77)))</f>
        <v>1.5</v>
      </c>
      <c r="BO64" s="994"/>
      <c r="BP64" s="708">
        <f>MAX(MAX(BP65:BP77),ABS(MIN(BP65:BP77)))</f>
        <v>0.44999999999999996</v>
      </c>
      <c r="BQ64" s="708">
        <f>MAX(MAX(BQ65:BQ77),ABS(MIN(BQ65:BQ77)))</f>
        <v>1.5</v>
      </c>
      <c r="BR64" s="708">
        <f>MAX(MAX(BR65:BR77),ABS(MIN(BR65:BR77)))</f>
        <v>0.44999999999999996</v>
      </c>
      <c r="BS64" s="708">
        <f>MAX(MAX(BS65:BS77),ABS(MIN(BS65:BS77)))</f>
        <v>1.5</v>
      </c>
    </row>
    <row r="65" spans="1:71">
      <c r="A65" s="25" t="s">
        <v>992</v>
      </c>
      <c r="B65" s="26"/>
      <c r="C65" s="26"/>
      <c r="D65" s="26"/>
      <c r="E65" s="27"/>
      <c r="F65" s="197"/>
      <c r="G65" s="211"/>
      <c r="H65" s="34"/>
      <c r="I65" s="197"/>
      <c r="J65" s="89"/>
      <c r="K65" s="265"/>
      <c r="L65" s="266"/>
      <c r="M65" s="268"/>
      <c r="N65" s="268"/>
      <c r="O65" s="268"/>
      <c r="P65" s="268"/>
      <c r="Q65" s="267"/>
      <c r="R65" s="268"/>
      <c r="S65" s="268"/>
      <c r="T65" s="268"/>
      <c r="U65" s="268"/>
      <c r="V65" s="267"/>
      <c r="W65" s="268"/>
      <c r="X65" s="268"/>
      <c r="Y65" s="268"/>
      <c r="Z65" s="268"/>
      <c r="AA65" s="268"/>
      <c r="AB65" s="268"/>
      <c r="AC65" s="268"/>
      <c r="AD65" s="268"/>
      <c r="AE65" s="268"/>
      <c r="AF65" s="268"/>
      <c r="AG65" s="268"/>
      <c r="AH65" s="268"/>
      <c r="AI65" s="268"/>
      <c r="AJ65" s="268"/>
      <c r="AK65" s="268"/>
      <c r="AL65" s="268"/>
      <c r="AM65" s="268"/>
      <c r="AN65" s="268"/>
      <c r="AO65" s="268"/>
      <c r="AP65" s="268"/>
      <c r="AQ65" s="699"/>
      <c r="AR65" s="699"/>
      <c r="AS65" s="699"/>
      <c r="AT65" s="699"/>
      <c r="AU65" s="376"/>
      <c r="AV65" s="477"/>
      <c r="AW65" s="477"/>
      <c r="AX65" s="477"/>
      <c r="AY65" s="477"/>
      <c r="AZ65" s="376"/>
      <c r="BA65" s="699"/>
      <c r="BB65" s="699"/>
      <c r="BC65" s="699"/>
      <c r="BD65" s="699"/>
      <c r="BE65" s="376"/>
      <c r="BF65" s="268"/>
      <c r="BG65" s="268"/>
      <c r="BH65" s="268"/>
      <c r="BI65" s="268"/>
      <c r="BJ65" s="376"/>
      <c r="BK65" s="268"/>
      <c r="BL65" s="268"/>
      <c r="BM65" s="268"/>
      <c r="BN65" s="268"/>
      <c r="BO65" s="376"/>
      <c r="BP65" s="268"/>
      <c r="BQ65" s="268"/>
      <c r="BR65" s="268"/>
      <c r="BS65" s="268"/>
    </row>
    <row r="66" spans="1:71">
      <c r="A66" s="25" t="s">
        <v>997</v>
      </c>
      <c r="B66" s="26" t="s">
        <v>988</v>
      </c>
      <c r="C66" s="26"/>
      <c r="D66" s="26"/>
      <c r="E66" s="27"/>
      <c r="F66" s="197"/>
      <c r="G66" s="211"/>
      <c r="H66" s="172">
        <f>SF!H67</f>
        <v>47.410919999999997</v>
      </c>
      <c r="I66" s="197"/>
      <c r="J66" s="172">
        <f>SF!J67</f>
        <v>433.10062959257624</v>
      </c>
      <c r="K66" s="265"/>
      <c r="L66" s="266"/>
      <c r="M66" s="268">
        <v>0</v>
      </c>
      <c r="N66" s="268">
        <v>0</v>
      </c>
      <c r="O66" s="268">
        <v>0</v>
      </c>
      <c r="P66" s="268">
        <v>0</v>
      </c>
      <c r="Q66" s="267"/>
      <c r="R66" s="268">
        <v>0</v>
      </c>
      <c r="S66" s="268">
        <v>0</v>
      </c>
      <c r="T66" s="268">
        <v>0</v>
      </c>
      <c r="U66" s="268">
        <v>0</v>
      </c>
      <c r="V66" s="267"/>
      <c r="W66" s="268">
        <v>0</v>
      </c>
      <c r="X66" s="268">
        <v>0</v>
      </c>
      <c r="Y66" s="268">
        <v>0</v>
      </c>
      <c r="Z66" s="268">
        <v>0</v>
      </c>
      <c r="AA66" s="268"/>
      <c r="AB66" s="268">
        <f>0.3*1.5</f>
        <v>0.44999999999999996</v>
      </c>
      <c r="AC66" s="268">
        <v>1.5</v>
      </c>
      <c r="AD66" s="268">
        <f>0.3*1.5</f>
        <v>0.44999999999999996</v>
      </c>
      <c r="AE66" s="268">
        <v>1.5</v>
      </c>
      <c r="AF66" s="268"/>
      <c r="AG66" s="268">
        <f>0.3*1.5</f>
        <v>0.44999999999999996</v>
      </c>
      <c r="AH66" s="268">
        <v>1.5</v>
      </c>
      <c r="AI66" s="268">
        <f>0.3*1.5</f>
        <v>0.44999999999999996</v>
      </c>
      <c r="AJ66" s="268">
        <v>1.5</v>
      </c>
      <c r="AK66" s="268"/>
      <c r="AL66" s="268">
        <f>0.3*1.5</f>
        <v>0.44999999999999996</v>
      </c>
      <c r="AM66" s="268">
        <v>1.5</v>
      </c>
      <c r="AN66" s="268">
        <f>0.3*1.5</f>
        <v>0.44999999999999996</v>
      </c>
      <c r="AO66" s="268">
        <v>1.5</v>
      </c>
      <c r="AP66" s="268"/>
      <c r="AQ66" s="699">
        <v>0</v>
      </c>
      <c r="AR66" s="699">
        <v>0</v>
      </c>
      <c r="AS66" s="699">
        <v>0</v>
      </c>
      <c r="AT66" s="699">
        <v>0</v>
      </c>
      <c r="AU66" s="376"/>
      <c r="AV66" s="477">
        <v>0</v>
      </c>
      <c r="AW66" s="477">
        <v>0</v>
      </c>
      <c r="AX66" s="477">
        <v>0</v>
      </c>
      <c r="AY66" s="477">
        <v>0</v>
      </c>
      <c r="AZ66" s="376"/>
      <c r="BA66" s="699">
        <v>0</v>
      </c>
      <c r="BB66" s="699">
        <v>0</v>
      </c>
      <c r="BC66" s="699">
        <v>0</v>
      </c>
      <c r="BD66" s="699">
        <v>0</v>
      </c>
      <c r="BE66" s="376"/>
      <c r="BF66" s="268">
        <f>0.3*1.5</f>
        <v>0.44999999999999996</v>
      </c>
      <c r="BG66" s="268">
        <v>1.5</v>
      </c>
      <c r="BH66" s="268">
        <f>0.3*1.5</f>
        <v>0.44999999999999996</v>
      </c>
      <c r="BI66" s="268">
        <v>1.5</v>
      </c>
      <c r="BJ66" s="376"/>
      <c r="BK66" s="268">
        <f>0.3*1.5</f>
        <v>0.44999999999999996</v>
      </c>
      <c r="BL66" s="268">
        <v>1.5</v>
      </c>
      <c r="BM66" s="268">
        <f>0.3*1.5</f>
        <v>0.44999999999999996</v>
      </c>
      <c r="BN66" s="268">
        <v>1.5</v>
      </c>
      <c r="BO66" s="376"/>
      <c r="BP66" s="268">
        <f>0.3*1.5</f>
        <v>0.44999999999999996</v>
      </c>
      <c r="BQ66" s="268">
        <v>1.5</v>
      </c>
      <c r="BR66" s="268">
        <f>0.3*1.5</f>
        <v>0.44999999999999996</v>
      </c>
      <c r="BS66" s="268">
        <v>1.5</v>
      </c>
    </row>
    <row r="67" spans="1:71">
      <c r="A67" s="25" t="s">
        <v>998</v>
      </c>
      <c r="B67" s="26" t="s">
        <v>989</v>
      </c>
      <c r="C67" s="26"/>
      <c r="D67" s="26"/>
      <c r="E67" s="27"/>
      <c r="F67" s="197"/>
      <c r="G67" s="211"/>
      <c r="H67" s="172">
        <f>SF!H68</f>
        <v>47.410919999999997</v>
      </c>
      <c r="I67" s="197"/>
      <c r="J67" s="172">
        <f>SF!J68</f>
        <v>433.10062959257624</v>
      </c>
      <c r="K67" s="265"/>
      <c r="L67" s="266"/>
      <c r="M67" s="376">
        <v>0</v>
      </c>
      <c r="N67" s="376">
        <v>0</v>
      </c>
      <c r="O67" s="376">
        <v>0</v>
      </c>
      <c r="P67" s="376">
        <v>0</v>
      </c>
      <c r="Q67" s="267"/>
      <c r="R67" s="376">
        <v>0</v>
      </c>
      <c r="S67" s="376">
        <v>0</v>
      </c>
      <c r="T67" s="376">
        <v>0</v>
      </c>
      <c r="U67" s="376">
        <v>0</v>
      </c>
      <c r="V67" s="267"/>
      <c r="W67" s="376">
        <f>0.3*0.75</f>
        <v>0.22499999999999998</v>
      </c>
      <c r="X67" s="376">
        <f>0.75</f>
        <v>0.75</v>
      </c>
      <c r="Y67" s="376">
        <f>0.3*0.75</f>
        <v>0.22499999999999998</v>
      </c>
      <c r="Z67" s="376">
        <f>0.75</f>
        <v>0.75</v>
      </c>
      <c r="AA67" s="376"/>
      <c r="AB67" s="376">
        <f>0.3*1.5</f>
        <v>0.44999999999999996</v>
      </c>
      <c r="AC67" s="376">
        <v>1.5</v>
      </c>
      <c r="AD67" s="376">
        <f>0.3*1.5</f>
        <v>0.44999999999999996</v>
      </c>
      <c r="AE67" s="376">
        <v>1.5</v>
      </c>
      <c r="AF67" s="376"/>
      <c r="AG67" s="376">
        <f>0.3*1.5</f>
        <v>0.44999999999999996</v>
      </c>
      <c r="AH67" s="376">
        <v>1.5</v>
      </c>
      <c r="AI67" s="376">
        <f>0.3*1.5</f>
        <v>0.44999999999999996</v>
      </c>
      <c r="AJ67" s="376">
        <v>1.5</v>
      </c>
      <c r="AK67" s="376"/>
      <c r="AL67" s="376">
        <f>0.3*1.5</f>
        <v>0.44999999999999996</v>
      </c>
      <c r="AM67" s="376">
        <v>1.5</v>
      </c>
      <c r="AN67" s="376">
        <f>0.3*1.5</f>
        <v>0.44999999999999996</v>
      </c>
      <c r="AO67" s="376">
        <v>1.5</v>
      </c>
      <c r="AP67" s="376"/>
      <c r="AQ67" s="700">
        <v>0</v>
      </c>
      <c r="AR67" s="700">
        <v>0</v>
      </c>
      <c r="AS67" s="700">
        <v>0</v>
      </c>
      <c r="AT67" s="700">
        <v>0</v>
      </c>
      <c r="AU67" s="376"/>
      <c r="AV67" s="823">
        <v>0</v>
      </c>
      <c r="AW67" s="823">
        <v>0</v>
      </c>
      <c r="AX67" s="823">
        <v>0</v>
      </c>
      <c r="AY67" s="823">
        <v>0</v>
      </c>
      <c r="AZ67" s="376"/>
      <c r="BA67" s="700">
        <f>0.3*0.75</f>
        <v>0.22499999999999998</v>
      </c>
      <c r="BB67" s="700">
        <f>0.75</f>
        <v>0.75</v>
      </c>
      <c r="BC67" s="700">
        <f>0.3*0.75</f>
        <v>0.22499999999999998</v>
      </c>
      <c r="BD67" s="700">
        <f>0.75</f>
        <v>0.75</v>
      </c>
      <c r="BE67" s="376"/>
      <c r="BF67" s="376">
        <f>0.3*1.5</f>
        <v>0.44999999999999996</v>
      </c>
      <c r="BG67" s="376">
        <v>1.5</v>
      </c>
      <c r="BH67" s="376">
        <f>0.3*1.5</f>
        <v>0.44999999999999996</v>
      </c>
      <c r="BI67" s="376">
        <v>1.5</v>
      </c>
      <c r="BJ67" s="376"/>
      <c r="BK67" s="268">
        <f>0.3*1.5</f>
        <v>0.44999999999999996</v>
      </c>
      <c r="BL67" s="268">
        <v>1.5</v>
      </c>
      <c r="BM67" s="268">
        <f>0.3*1.5</f>
        <v>0.44999999999999996</v>
      </c>
      <c r="BN67" s="268">
        <v>1.5</v>
      </c>
      <c r="BO67" s="376"/>
      <c r="BP67" s="268">
        <f>0.3*1.5</f>
        <v>0.44999999999999996</v>
      </c>
      <c r="BQ67" s="268">
        <v>1.5</v>
      </c>
      <c r="BR67" s="268">
        <f>0.3*1.5</f>
        <v>0.44999999999999996</v>
      </c>
      <c r="BS67" s="268">
        <v>1.5</v>
      </c>
    </row>
    <row r="68" spans="1:71">
      <c r="A68" s="69"/>
      <c r="B68" s="26"/>
      <c r="C68" s="26"/>
      <c r="D68" s="26"/>
      <c r="E68" s="27"/>
      <c r="F68" s="197"/>
      <c r="G68" s="211"/>
      <c r="H68" s="34"/>
      <c r="I68" s="197"/>
      <c r="J68" s="89"/>
      <c r="K68" s="265"/>
      <c r="L68" s="266"/>
      <c r="M68" s="376"/>
      <c r="N68" s="376"/>
      <c r="O68" s="376"/>
      <c r="P68" s="376"/>
      <c r="Q68" s="267"/>
      <c r="R68" s="376"/>
      <c r="S68" s="376"/>
      <c r="T68" s="376"/>
      <c r="U68" s="376"/>
      <c r="V68" s="267"/>
      <c r="W68" s="376"/>
      <c r="X68" s="376"/>
      <c r="Y68" s="376"/>
      <c r="Z68" s="376"/>
      <c r="AA68" s="376"/>
      <c r="AB68" s="376"/>
      <c r="AC68" s="376"/>
      <c r="AD68" s="376"/>
      <c r="AE68" s="376"/>
      <c r="AF68" s="376"/>
      <c r="AG68" s="376"/>
      <c r="AH68" s="376"/>
      <c r="AI68" s="376"/>
      <c r="AJ68" s="376"/>
      <c r="AK68" s="376"/>
      <c r="AL68" s="376"/>
      <c r="AM68" s="376"/>
      <c r="AN68" s="376"/>
      <c r="AO68" s="376"/>
      <c r="AP68" s="376"/>
      <c r="AQ68" s="700"/>
      <c r="AR68" s="700"/>
      <c r="AS68" s="700"/>
      <c r="AT68" s="700"/>
      <c r="AU68" s="376"/>
      <c r="AV68" s="823"/>
      <c r="AW68" s="823"/>
      <c r="AX68" s="823"/>
      <c r="AY68" s="823"/>
      <c r="AZ68" s="376"/>
      <c r="BA68" s="700"/>
      <c r="BB68" s="700"/>
      <c r="BC68" s="700"/>
      <c r="BD68" s="700"/>
      <c r="BE68" s="376"/>
      <c r="BF68" s="376"/>
      <c r="BG68" s="376"/>
      <c r="BH68" s="376"/>
      <c r="BI68" s="376"/>
      <c r="BJ68" s="376"/>
      <c r="BK68" s="376"/>
      <c r="BL68" s="376"/>
      <c r="BM68" s="376"/>
      <c r="BN68" s="376"/>
      <c r="BO68" s="376"/>
      <c r="BP68" s="376"/>
      <c r="BQ68" s="376"/>
      <c r="BR68" s="376"/>
      <c r="BS68" s="376"/>
    </row>
    <row r="69" spans="1:71">
      <c r="A69" s="25" t="s">
        <v>999</v>
      </c>
      <c r="B69" s="26"/>
      <c r="C69" s="26"/>
      <c r="D69" s="26"/>
      <c r="E69" s="27"/>
      <c r="F69" s="197"/>
      <c r="G69" s="211"/>
      <c r="H69" s="34"/>
      <c r="I69" s="197"/>
      <c r="J69" s="89"/>
      <c r="K69" s="265"/>
      <c r="L69" s="266"/>
      <c r="M69" s="376"/>
      <c r="N69" s="376"/>
      <c r="O69" s="376"/>
      <c r="P69" s="376"/>
      <c r="Q69" s="267"/>
      <c r="R69" s="376"/>
      <c r="S69" s="376"/>
      <c r="T69" s="376"/>
      <c r="U69" s="376"/>
      <c r="V69" s="267"/>
      <c r="W69" s="376"/>
      <c r="X69" s="376"/>
      <c r="Y69" s="376"/>
      <c r="Z69" s="376"/>
      <c r="AA69" s="376"/>
      <c r="AB69" s="376"/>
      <c r="AC69" s="376"/>
      <c r="AD69" s="376"/>
      <c r="AE69" s="376"/>
      <c r="AF69" s="376"/>
      <c r="AG69" s="376"/>
      <c r="AH69" s="376"/>
      <c r="AI69" s="376"/>
      <c r="AJ69" s="376"/>
      <c r="AK69" s="376"/>
      <c r="AL69" s="376"/>
      <c r="AM69" s="376"/>
      <c r="AN69" s="376"/>
      <c r="AO69" s="376"/>
      <c r="AP69" s="376"/>
      <c r="AQ69" s="700"/>
      <c r="AR69" s="700"/>
      <c r="AS69" s="700"/>
      <c r="AT69" s="700"/>
      <c r="AU69" s="376"/>
      <c r="AV69" s="823"/>
      <c r="AW69" s="823"/>
      <c r="AX69" s="823"/>
      <c r="AY69" s="823"/>
      <c r="AZ69" s="376"/>
      <c r="BA69" s="700"/>
      <c r="BB69" s="700"/>
      <c r="BC69" s="700"/>
      <c r="BD69" s="700"/>
      <c r="BE69" s="376"/>
      <c r="BF69" s="376"/>
      <c r="BG69" s="376"/>
      <c r="BH69" s="376"/>
      <c r="BI69" s="376"/>
      <c r="BJ69" s="376"/>
      <c r="BK69" s="376"/>
      <c r="BL69" s="376"/>
      <c r="BM69" s="376"/>
      <c r="BN69" s="376"/>
      <c r="BO69" s="376"/>
      <c r="BP69" s="376"/>
      <c r="BQ69" s="376"/>
      <c r="BR69" s="376"/>
      <c r="BS69" s="376"/>
    </row>
    <row r="70" spans="1:71">
      <c r="A70" s="25" t="s">
        <v>1002</v>
      </c>
      <c r="B70" s="26"/>
      <c r="C70" s="26"/>
      <c r="D70" s="26"/>
      <c r="E70" s="27"/>
      <c r="F70" s="197"/>
      <c r="G70" s="211"/>
      <c r="H70" s="34"/>
      <c r="I70" s="197"/>
      <c r="J70" s="89"/>
      <c r="K70" s="265"/>
      <c r="L70" s="266"/>
      <c r="M70" s="376"/>
      <c r="N70" s="376"/>
      <c r="O70" s="376"/>
      <c r="P70" s="376"/>
      <c r="Q70" s="267"/>
      <c r="R70" s="376"/>
      <c r="S70" s="376"/>
      <c r="T70" s="376"/>
      <c r="U70" s="376"/>
      <c r="V70" s="267"/>
      <c r="W70" s="376"/>
      <c r="X70" s="376"/>
      <c r="Y70" s="376"/>
      <c r="Z70" s="376"/>
      <c r="AA70" s="376"/>
      <c r="AB70" s="376"/>
      <c r="AC70" s="376"/>
      <c r="AD70" s="376"/>
      <c r="AE70" s="376"/>
      <c r="AF70" s="376"/>
      <c r="AG70" s="376"/>
      <c r="AH70" s="376"/>
      <c r="AI70" s="376"/>
      <c r="AJ70" s="376"/>
      <c r="AK70" s="376"/>
      <c r="AL70" s="376"/>
      <c r="AM70" s="376"/>
      <c r="AN70" s="376"/>
      <c r="AO70" s="376"/>
      <c r="AP70" s="376"/>
      <c r="AQ70" s="700"/>
      <c r="AR70" s="700"/>
      <c r="AS70" s="700"/>
      <c r="AT70" s="700"/>
      <c r="AU70" s="376"/>
      <c r="AV70" s="823"/>
      <c r="AW70" s="823"/>
      <c r="AX70" s="823"/>
      <c r="AY70" s="823"/>
      <c r="AZ70" s="376"/>
      <c r="BA70" s="700"/>
      <c r="BB70" s="700"/>
      <c r="BC70" s="700"/>
      <c r="BD70" s="700"/>
      <c r="BE70" s="376"/>
      <c r="BF70" s="376"/>
      <c r="BG70" s="376"/>
      <c r="BH70" s="376"/>
      <c r="BI70" s="376"/>
      <c r="BJ70" s="376"/>
      <c r="BK70" s="376"/>
      <c r="BL70" s="376"/>
      <c r="BM70" s="376"/>
      <c r="BN70" s="376"/>
      <c r="BO70" s="376"/>
      <c r="BP70" s="376"/>
      <c r="BQ70" s="376"/>
      <c r="BR70" s="376"/>
      <c r="BS70" s="376"/>
    </row>
    <row r="71" spans="1:71">
      <c r="A71" s="25" t="s">
        <v>1004</v>
      </c>
      <c r="B71" s="26" t="s">
        <v>1000</v>
      </c>
      <c r="C71" s="26"/>
      <c r="D71" s="26"/>
      <c r="E71" s="27"/>
      <c r="F71" s="197"/>
      <c r="G71" s="211"/>
      <c r="H71" s="172">
        <f>SF!H72</f>
        <v>10.555984799999999</v>
      </c>
      <c r="I71" s="197"/>
      <c r="J71" s="172">
        <f>SF!J72</f>
        <v>115.74637333199999</v>
      </c>
      <c r="K71" s="265"/>
      <c r="L71" s="266"/>
      <c r="M71" s="376">
        <v>0</v>
      </c>
      <c r="N71" s="376">
        <v>0</v>
      </c>
      <c r="O71" s="376">
        <v>0</v>
      </c>
      <c r="P71" s="376">
        <v>0</v>
      </c>
      <c r="Q71" s="267"/>
      <c r="R71" s="376">
        <v>0</v>
      </c>
      <c r="S71" s="376">
        <v>0</v>
      </c>
      <c r="T71" s="376">
        <v>0</v>
      </c>
      <c r="U71" s="376">
        <v>0</v>
      </c>
      <c r="V71" s="267"/>
      <c r="W71" s="376">
        <v>0</v>
      </c>
      <c r="X71" s="376">
        <v>0</v>
      </c>
      <c r="Y71" s="376">
        <v>0</v>
      </c>
      <c r="Z71" s="376">
        <v>0</v>
      </c>
      <c r="AA71" s="376"/>
      <c r="AB71" s="376">
        <v>0</v>
      </c>
      <c r="AC71" s="376">
        <v>0</v>
      </c>
      <c r="AD71" s="376">
        <v>0</v>
      </c>
      <c r="AE71" s="376">
        <v>0</v>
      </c>
      <c r="AF71" s="376"/>
      <c r="AG71" s="376">
        <f>0.3*0.2*1.5</f>
        <v>0.09</v>
      </c>
      <c r="AH71" s="376">
        <f>0.2*1.5</f>
        <v>0.30000000000000004</v>
      </c>
      <c r="AI71" s="376">
        <f>0.3*0.2*1.5</f>
        <v>0.09</v>
      </c>
      <c r="AJ71" s="376">
        <f>0.2*1.5</f>
        <v>0.30000000000000004</v>
      </c>
      <c r="AK71" s="376"/>
      <c r="AL71" s="376">
        <v>0</v>
      </c>
      <c r="AM71" s="376">
        <v>0</v>
      </c>
      <c r="AN71" s="376">
        <v>0</v>
      </c>
      <c r="AO71" s="376">
        <v>0</v>
      </c>
      <c r="AP71" s="376"/>
      <c r="AQ71" s="700">
        <v>0</v>
      </c>
      <c r="AR71" s="700">
        <v>0</v>
      </c>
      <c r="AS71" s="700">
        <v>0</v>
      </c>
      <c r="AT71" s="700">
        <v>0</v>
      </c>
      <c r="AU71" s="376"/>
      <c r="AV71" s="823">
        <v>0</v>
      </c>
      <c r="AW71" s="823">
        <v>0</v>
      </c>
      <c r="AX71" s="823">
        <v>0</v>
      </c>
      <c r="AY71" s="823">
        <v>0</v>
      </c>
      <c r="AZ71" s="376"/>
      <c r="BA71" s="700">
        <v>0</v>
      </c>
      <c r="BB71" s="700">
        <v>0</v>
      </c>
      <c r="BC71" s="700">
        <v>0</v>
      </c>
      <c r="BD71" s="700">
        <v>0</v>
      </c>
      <c r="BE71" s="376"/>
      <c r="BF71" s="376">
        <v>0</v>
      </c>
      <c r="BG71" s="376">
        <v>0</v>
      </c>
      <c r="BH71" s="376">
        <v>0</v>
      </c>
      <c r="BI71" s="376">
        <v>0</v>
      </c>
      <c r="BJ71" s="376"/>
      <c r="BK71" s="376">
        <f>0.3*0.2*1.5</f>
        <v>0.09</v>
      </c>
      <c r="BL71" s="376">
        <f>0.2*1.5</f>
        <v>0.30000000000000004</v>
      </c>
      <c r="BM71" s="376">
        <f>0.3*0.2*1.5</f>
        <v>0.09</v>
      </c>
      <c r="BN71" s="376">
        <f>0.2*1.5</f>
        <v>0.30000000000000004</v>
      </c>
      <c r="BO71" s="376"/>
      <c r="BP71" s="376">
        <v>0</v>
      </c>
      <c r="BQ71" s="376">
        <v>0</v>
      </c>
      <c r="BR71" s="376">
        <v>0</v>
      </c>
      <c r="BS71" s="376">
        <v>0</v>
      </c>
    </row>
    <row r="72" spans="1:71">
      <c r="A72" s="25" t="s">
        <v>1005</v>
      </c>
      <c r="B72" s="26" t="s">
        <v>1001</v>
      </c>
      <c r="C72" s="26"/>
      <c r="D72" s="26"/>
      <c r="E72" s="27"/>
      <c r="F72" s="197"/>
      <c r="G72" s="211"/>
      <c r="H72" s="172">
        <f>SF!H73</f>
        <v>12.18002091428572</v>
      </c>
      <c r="I72" s="197"/>
      <c r="J72" s="172">
        <f>SF!J73</f>
        <v>133.55392932514292</v>
      </c>
      <c r="K72" s="265"/>
      <c r="L72" s="266"/>
      <c r="M72" s="376">
        <v>0</v>
      </c>
      <c r="N72" s="376">
        <v>0</v>
      </c>
      <c r="O72" s="376">
        <v>0</v>
      </c>
      <c r="P72" s="376">
        <v>0</v>
      </c>
      <c r="Q72" s="267"/>
      <c r="R72" s="376">
        <v>0</v>
      </c>
      <c r="S72" s="376">
        <v>0</v>
      </c>
      <c r="T72" s="376">
        <v>0</v>
      </c>
      <c r="U72" s="376">
        <v>0</v>
      </c>
      <c r="V72" s="267"/>
      <c r="W72" s="376">
        <v>0</v>
      </c>
      <c r="X72" s="376">
        <v>0</v>
      </c>
      <c r="Y72" s="376">
        <v>0</v>
      </c>
      <c r="Z72" s="376">
        <v>0</v>
      </c>
      <c r="AA72" s="376"/>
      <c r="AB72" s="376">
        <v>0</v>
      </c>
      <c r="AC72" s="376">
        <v>0</v>
      </c>
      <c r="AD72" s="376">
        <v>0</v>
      </c>
      <c r="AE72" s="376">
        <v>0</v>
      </c>
      <c r="AF72" s="376"/>
      <c r="AG72" s="376">
        <f>0.3*0.2*1.5</f>
        <v>0.09</v>
      </c>
      <c r="AH72" s="376">
        <f>0.2*1.5</f>
        <v>0.30000000000000004</v>
      </c>
      <c r="AI72" s="376">
        <f>0.3*0.2*1.5</f>
        <v>0.09</v>
      </c>
      <c r="AJ72" s="376">
        <f>0.2*1.5</f>
        <v>0.30000000000000004</v>
      </c>
      <c r="AK72" s="376"/>
      <c r="AL72" s="376">
        <v>0</v>
      </c>
      <c r="AM72" s="376">
        <v>0</v>
      </c>
      <c r="AN72" s="376">
        <v>0</v>
      </c>
      <c r="AO72" s="376">
        <v>0</v>
      </c>
      <c r="AP72" s="376"/>
      <c r="AQ72" s="700">
        <v>0</v>
      </c>
      <c r="AR72" s="700">
        <v>0</v>
      </c>
      <c r="AS72" s="700">
        <v>0</v>
      </c>
      <c r="AT72" s="700">
        <v>0</v>
      </c>
      <c r="AU72" s="376"/>
      <c r="AV72" s="823">
        <v>0</v>
      </c>
      <c r="AW72" s="823">
        <v>0</v>
      </c>
      <c r="AX72" s="823">
        <v>0</v>
      </c>
      <c r="AY72" s="823">
        <v>0</v>
      </c>
      <c r="AZ72" s="376"/>
      <c r="BA72" s="700">
        <v>0</v>
      </c>
      <c r="BB72" s="700">
        <v>0</v>
      </c>
      <c r="BC72" s="700">
        <v>0</v>
      </c>
      <c r="BD72" s="700">
        <v>0</v>
      </c>
      <c r="BE72" s="376"/>
      <c r="BF72" s="376">
        <v>0</v>
      </c>
      <c r="BG72" s="376">
        <v>0</v>
      </c>
      <c r="BH72" s="376">
        <v>0</v>
      </c>
      <c r="BI72" s="376">
        <v>0</v>
      </c>
      <c r="BJ72" s="376"/>
      <c r="BK72" s="376">
        <f>0.3*0.2*1.5</f>
        <v>0.09</v>
      </c>
      <c r="BL72" s="376">
        <f>0.2*1.5</f>
        <v>0.30000000000000004</v>
      </c>
      <c r="BM72" s="376">
        <f>0.3*0.2*1.5</f>
        <v>0.09</v>
      </c>
      <c r="BN72" s="376">
        <f>0.2*1.5</f>
        <v>0.30000000000000004</v>
      </c>
      <c r="BO72" s="376"/>
      <c r="BP72" s="376">
        <v>0</v>
      </c>
      <c r="BQ72" s="376">
        <v>0</v>
      </c>
      <c r="BR72" s="376">
        <v>0</v>
      </c>
      <c r="BS72" s="376">
        <v>0</v>
      </c>
    </row>
    <row r="73" spans="1:71">
      <c r="A73" s="25" t="s">
        <v>1003</v>
      </c>
      <c r="B73" s="26"/>
      <c r="C73" s="26"/>
      <c r="D73" s="26"/>
      <c r="E73" s="27"/>
      <c r="F73" s="197"/>
      <c r="G73" s="211"/>
      <c r="H73" s="34"/>
      <c r="I73" s="197"/>
      <c r="J73" s="89"/>
      <c r="K73" s="265"/>
      <c r="L73" s="266"/>
      <c r="M73" s="376"/>
      <c r="N73" s="376"/>
      <c r="O73" s="376"/>
      <c r="P73" s="376"/>
      <c r="Q73" s="267"/>
      <c r="R73" s="376"/>
      <c r="S73" s="376"/>
      <c r="T73" s="376"/>
      <c r="U73" s="376"/>
      <c r="V73" s="267"/>
      <c r="W73" s="376"/>
      <c r="X73" s="376"/>
      <c r="Y73" s="376"/>
      <c r="Z73" s="376"/>
      <c r="AA73" s="376"/>
      <c r="AB73" s="376"/>
      <c r="AC73" s="376"/>
      <c r="AD73" s="376"/>
      <c r="AE73" s="376"/>
      <c r="AF73" s="376"/>
      <c r="AG73" s="376"/>
      <c r="AH73" s="376"/>
      <c r="AI73" s="376"/>
      <c r="AJ73" s="376"/>
      <c r="AK73" s="376"/>
      <c r="AL73" s="376"/>
      <c r="AM73" s="376"/>
      <c r="AN73" s="376"/>
      <c r="AO73" s="376"/>
      <c r="AP73" s="376"/>
      <c r="AQ73" s="700"/>
      <c r="AR73" s="700"/>
      <c r="AS73" s="700"/>
      <c r="AT73" s="700"/>
      <c r="AU73" s="376"/>
      <c r="AV73" s="823"/>
      <c r="AW73" s="823"/>
      <c r="AX73" s="823"/>
      <c r="AY73" s="823"/>
      <c r="AZ73" s="376"/>
      <c r="BA73" s="700"/>
      <c r="BB73" s="700"/>
      <c r="BC73" s="700"/>
      <c r="BD73" s="700"/>
      <c r="BE73" s="376"/>
      <c r="BF73" s="376"/>
      <c r="BG73" s="376"/>
      <c r="BH73" s="376"/>
      <c r="BI73" s="376"/>
      <c r="BJ73" s="376"/>
      <c r="BK73" s="376"/>
      <c r="BL73" s="376"/>
      <c r="BM73" s="376"/>
      <c r="BN73" s="376"/>
      <c r="BO73" s="376"/>
      <c r="BP73" s="376"/>
      <c r="BQ73" s="376"/>
      <c r="BR73" s="376"/>
      <c r="BS73" s="376"/>
    </row>
    <row r="74" spans="1:71">
      <c r="A74" s="25" t="s">
        <v>1004</v>
      </c>
      <c r="B74" s="26" t="s">
        <v>1000</v>
      </c>
      <c r="C74" s="26"/>
      <c r="D74" s="26"/>
      <c r="E74" s="27"/>
      <c r="F74" s="197"/>
      <c r="G74" s="211"/>
      <c r="H74" s="172">
        <f>SF!H75</f>
        <v>0</v>
      </c>
      <c r="I74" s="197"/>
      <c r="J74" s="172">
        <f>SF!J75</f>
        <v>0</v>
      </c>
      <c r="K74" s="265"/>
      <c r="L74" s="266"/>
      <c r="M74" s="376">
        <v>0</v>
      </c>
      <c r="N74" s="376">
        <v>0</v>
      </c>
      <c r="O74" s="376">
        <v>0</v>
      </c>
      <c r="P74" s="376">
        <v>0</v>
      </c>
      <c r="Q74" s="267"/>
      <c r="R74" s="376">
        <v>0</v>
      </c>
      <c r="S74" s="376">
        <v>0</v>
      </c>
      <c r="T74" s="376">
        <v>0</v>
      </c>
      <c r="U74" s="376">
        <v>0</v>
      </c>
      <c r="V74" s="267"/>
      <c r="W74" s="376">
        <v>0</v>
      </c>
      <c r="X74" s="376">
        <v>0</v>
      </c>
      <c r="Y74" s="376">
        <v>0</v>
      </c>
      <c r="Z74" s="376">
        <v>0</v>
      </c>
      <c r="AA74" s="376"/>
      <c r="AB74" s="376">
        <v>0</v>
      </c>
      <c r="AC74" s="376">
        <v>0</v>
      </c>
      <c r="AD74" s="376">
        <v>0</v>
      </c>
      <c r="AE74" s="376">
        <v>0</v>
      </c>
      <c r="AF74" s="376"/>
      <c r="AG74" s="376">
        <v>0</v>
      </c>
      <c r="AH74" s="376">
        <v>0</v>
      </c>
      <c r="AI74" s="376">
        <v>0</v>
      </c>
      <c r="AJ74" s="376">
        <v>0</v>
      </c>
      <c r="AK74" s="376"/>
      <c r="AL74" s="376">
        <f>0.3*0.2*1.5</f>
        <v>0.09</v>
      </c>
      <c r="AM74" s="376">
        <f>0.2*1.5</f>
        <v>0.30000000000000004</v>
      </c>
      <c r="AN74" s="376">
        <f>0.3*0.2*1.5</f>
        <v>0.09</v>
      </c>
      <c r="AO74" s="376">
        <f>0.2*1.5</f>
        <v>0.30000000000000004</v>
      </c>
      <c r="AP74" s="376"/>
      <c r="AQ74" s="700">
        <v>0</v>
      </c>
      <c r="AR74" s="700">
        <v>0</v>
      </c>
      <c r="AS74" s="700">
        <v>0</v>
      </c>
      <c r="AT74" s="700">
        <v>0</v>
      </c>
      <c r="AU74" s="376"/>
      <c r="AV74" s="823">
        <v>0</v>
      </c>
      <c r="AW74" s="823">
        <v>0</v>
      </c>
      <c r="AX74" s="823">
        <v>0</v>
      </c>
      <c r="AY74" s="823">
        <v>0</v>
      </c>
      <c r="AZ74" s="376"/>
      <c r="BA74" s="700">
        <v>0</v>
      </c>
      <c r="BB74" s="700">
        <v>0</v>
      </c>
      <c r="BC74" s="700">
        <v>0</v>
      </c>
      <c r="BD74" s="700">
        <v>0</v>
      </c>
      <c r="BE74" s="376"/>
      <c r="BF74" s="376">
        <v>0</v>
      </c>
      <c r="BG74" s="376">
        <v>0</v>
      </c>
      <c r="BH74" s="376">
        <v>0</v>
      </c>
      <c r="BI74" s="376">
        <v>0</v>
      </c>
      <c r="BJ74" s="376"/>
      <c r="BK74" s="376">
        <v>0</v>
      </c>
      <c r="BL74" s="376">
        <v>0</v>
      </c>
      <c r="BM74" s="376">
        <v>0</v>
      </c>
      <c r="BN74" s="376">
        <v>0</v>
      </c>
      <c r="BO74" s="376"/>
      <c r="BP74" s="376">
        <f>0.3*0.2*1.5</f>
        <v>0.09</v>
      </c>
      <c r="BQ74" s="376">
        <f>0.2*1.5</f>
        <v>0.30000000000000004</v>
      </c>
      <c r="BR74" s="376">
        <f>0.3*0.2*1.5</f>
        <v>0.09</v>
      </c>
      <c r="BS74" s="376">
        <f>0.2*1.5</f>
        <v>0.30000000000000004</v>
      </c>
    </row>
    <row r="75" spans="1:71">
      <c r="A75" s="25" t="s">
        <v>1005</v>
      </c>
      <c r="B75" s="26" t="s">
        <v>1001</v>
      </c>
      <c r="C75" s="26"/>
      <c r="D75" s="26"/>
      <c r="E75" s="27"/>
      <c r="F75" s="197"/>
      <c r="G75" s="211"/>
      <c r="H75" s="172">
        <f>SF!H76</f>
        <v>20.719716685714292</v>
      </c>
      <c r="I75" s="197"/>
      <c r="J75" s="172">
        <f>SF!J76</f>
        <v>227.1916934588572</v>
      </c>
      <c r="K75" s="265"/>
      <c r="L75" s="266"/>
      <c r="M75" s="376">
        <v>0</v>
      </c>
      <c r="N75" s="376">
        <v>0</v>
      </c>
      <c r="O75" s="376">
        <v>0</v>
      </c>
      <c r="P75" s="376">
        <v>0</v>
      </c>
      <c r="Q75" s="267"/>
      <c r="R75" s="376">
        <v>0</v>
      </c>
      <c r="S75" s="376">
        <v>0</v>
      </c>
      <c r="T75" s="376">
        <v>0</v>
      </c>
      <c r="U75" s="376">
        <v>0</v>
      </c>
      <c r="V75" s="267"/>
      <c r="W75" s="376">
        <v>0</v>
      </c>
      <c r="X75" s="376">
        <v>0</v>
      </c>
      <c r="Y75" s="376">
        <v>0</v>
      </c>
      <c r="Z75" s="376">
        <v>0</v>
      </c>
      <c r="AA75" s="376"/>
      <c r="AB75" s="376">
        <v>0</v>
      </c>
      <c r="AC75" s="376">
        <v>0</v>
      </c>
      <c r="AD75" s="376">
        <v>0</v>
      </c>
      <c r="AE75" s="376">
        <v>0</v>
      </c>
      <c r="AF75" s="376"/>
      <c r="AG75" s="376">
        <v>0</v>
      </c>
      <c r="AH75" s="376">
        <v>0</v>
      </c>
      <c r="AI75" s="376">
        <v>0</v>
      </c>
      <c r="AJ75" s="376">
        <v>0</v>
      </c>
      <c r="AK75" s="376"/>
      <c r="AL75" s="376">
        <f>0.3*0.2*1.5</f>
        <v>0.09</v>
      </c>
      <c r="AM75" s="376">
        <f>0.2*1.5</f>
        <v>0.30000000000000004</v>
      </c>
      <c r="AN75" s="376">
        <f>0.3*0.2*1.5</f>
        <v>0.09</v>
      </c>
      <c r="AO75" s="376">
        <f>0.2*1.5</f>
        <v>0.30000000000000004</v>
      </c>
      <c r="AP75" s="376"/>
      <c r="AQ75" s="700">
        <v>0</v>
      </c>
      <c r="AR75" s="700">
        <v>0</v>
      </c>
      <c r="AS75" s="700">
        <v>0</v>
      </c>
      <c r="AT75" s="700">
        <v>0</v>
      </c>
      <c r="AU75" s="376"/>
      <c r="AV75" s="823">
        <v>0</v>
      </c>
      <c r="AW75" s="823">
        <v>0</v>
      </c>
      <c r="AX75" s="823">
        <v>0</v>
      </c>
      <c r="AY75" s="823">
        <v>0</v>
      </c>
      <c r="AZ75" s="376"/>
      <c r="BA75" s="700">
        <v>0</v>
      </c>
      <c r="BB75" s="700">
        <v>0</v>
      </c>
      <c r="BC75" s="700">
        <v>0</v>
      </c>
      <c r="BD75" s="700">
        <v>0</v>
      </c>
      <c r="BE75" s="376"/>
      <c r="BF75" s="376">
        <v>0</v>
      </c>
      <c r="BG75" s="376">
        <v>0</v>
      </c>
      <c r="BH75" s="376">
        <v>0</v>
      </c>
      <c r="BI75" s="376">
        <v>0</v>
      </c>
      <c r="BJ75" s="376"/>
      <c r="BK75" s="376">
        <v>0</v>
      </c>
      <c r="BL75" s="376">
        <v>0</v>
      </c>
      <c r="BM75" s="376">
        <v>0</v>
      </c>
      <c r="BN75" s="376">
        <v>0</v>
      </c>
      <c r="BO75" s="376"/>
      <c r="BP75" s="376">
        <f>0.3*0.2*1.5</f>
        <v>0.09</v>
      </c>
      <c r="BQ75" s="376">
        <f>0.2*1.5</f>
        <v>0.30000000000000004</v>
      </c>
      <c r="BR75" s="376">
        <f>0.3*0.2*1.5</f>
        <v>0.09</v>
      </c>
      <c r="BS75" s="376">
        <f>0.2*1.5</f>
        <v>0.30000000000000004</v>
      </c>
    </row>
    <row r="76" spans="1:71">
      <c r="A76" s="69"/>
      <c r="B76" s="26"/>
      <c r="C76" s="26"/>
      <c r="D76" s="26"/>
      <c r="E76" s="27"/>
      <c r="F76" s="197"/>
      <c r="G76" s="211"/>
      <c r="H76" s="34"/>
      <c r="I76" s="197"/>
      <c r="J76" s="89"/>
      <c r="K76" s="265"/>
      <c r="L76" s="266"/>
      <c r="M76" s="376"/>
      <c r="N76" s="376"/>
      <c r="O76" s="376"/>
      <c r="P76" s="376"/>
      <c r="Q76" s="267"/>
      <c r="R76" s="376"/>
      <c r="S76" s="376"/>
      <c r="T76" s="376"/>
      <c r="U76" s="376"/>
      <c r="V76" s="267"/>
      <c r="W76" s="376"/>
      <c r="X76" s="376"/>
      <c r="Y76" s="376"/>
      <c r="Z76" s="376"/>
      <c r="AA76" s="376"/>
      <c r="AB76" s="376"/>
      <c r="AC76" s="376"/>
      <c r="AD76" s="376"/>
      <c r="AE76" s="376"/>
      <c r="AF76" s="376"/>
      <c r="AG76" s="376"/>
      <c r="AH76" s="376"/>
      <c r="AI76" s="376"/>
      <c r="AJ76" s="376"/>
      <c r="AK76" s="376"/>
      <c r="AL76" s="376"/>
      <c r="AM76" s="376"/>
      <c r="AN76" s="376"/>
      <c r="AO76" s="376"/>
      <c r="AP76" s="376"/>
      <c r="AQ76" s="700"/>
      <c r="AR76" s="700"/>
      <c r="AS76" s="700"/>
      <c r="AT76" s="700"/>
      <c r="AU76" s="376"/>
      <c r="AV76" s="823"/>
      <c r="AW76" s="823"/>
      <c r="AX76" s="823"/>
      <c r="AY76" s="823"/>
      <c r="AZ76" s="376"/>
      <c r="BA76" s="700"/>
      <c r="BB76" s="700"/>
      <c r="BC76" s="700"/>
      <c r="BD76" s="704"/>
      <c r="BE76" s="376"/>
      <c r="BF76" s="376"/>
      <c r="BG76" s="376"/>
      <c r="BH76" s="376"/>
      <c r="BI76" s="376"/>
      <c r="BJ76" s="376"/>
      <c r="BK76" s="376"/>
      <c r="BL76" s="376"/>
      <c r="BM76" s="376"/>
      <c r="BN76" s="376"/>
      <c r="BO76" s="376"/>
      <c r="BP76" s="376"/>
      <c r="BQ76" s="376"/>
      <c r="BR76" s="376"/>
      <c r="BS76" s="376"/>
    </row>
    <row r="77" spans="1:71">
      <c r="A77" s="25" t="s">
        <v>1006</v>
      </c>
      <c r="B77" s="26" t="s">
        <v>211</v>
      </c>
      <c r="C77" s="26"/>
      <c r="D77" s="26"/>
      <c r="E77" s="27"/>
      <c r="F77" s="197"/>
      <c r="G77" s="195"/>
      <c r="H77" s="172">
        <f>SF!H78</f>
        <v>26.798532263701709</v>
      </c>
      <c r="I77" s="195"/>
      <c r="J77" s="172">
        <f>SF!J78</f>
        <v>147.28381289471153</v>
      </c>
      <c r="K77" s="265"/>
      <c r="L77" s="266"/>
      <c r="M77" s="376">
        <v>0</v>
      </c>
      <c r="N77" s="376">
        <v>0</v>
      </c>
      <c r="O77" s="376">
        <v>0</v>
      </c>
      <c r="P77" s="376">
        <v>0</v>
      </c>
      <c r="Q77" s="267"/>
      <c r="R77" s="376">
        <v>0</v>
      </c>
      <c r="S77" s="376">
        <v>0</v>
      </c>
      <c r="T77" s="376">
        <v>0</v>
      </c>
      <c r="U77" s="376">
        <v>0</v>
      </c>
      <c r="V77" s="267"/>
      <c r="W77" s="376">
        <f>0.3*0.75</f>
        <v>0.22499999999999998</v>
      </c>
      <c r="X77" s="376">
        <f>0.75</f>
        <v>0.75</v>
      </c>
      <c r="Y77" s="376">
        <f>0.3*0.75</f>
        <v>0.22499999999999998</v>
      </c>
      <c r="Z77" s="376">
        <f>0.75</f>
        <v>0.75</v>
      </c>
      <c r="AA77" s="376"/>
      <c r="AB77" s="376">
        <f>0.3*1.5</f>
        <v>0.44999999999999996</v>
      </c>
      <c r="AC77" s="376">
        <v>1.5</v>
      </c>
      <c r="AD77" s="376">
        <f>0.3*1.5</f>
        <v>0.44999999999999996</v>
      </c>
      <c r="AE77" s="376">
        <v>1.5</v>
      </c>
      <c r="AF77" s="376"/>
      <c r="AG77" s="376">
        <f>0.3*1.5</f>
        <v>0.44999999999999996</v>
      </c>
      <c r="AH77" s="376">
        <v>1.5</v>
      </c>
      <c r="AI77" s="376">
        <f>0.3*1.5</f>
        <v>0.44999999999999996</v>
      </c>
      <c r="AJ77" s="376">
        <v>1.5</v>
      </c>
      <c r="AK77" s="376"/>
      <c r="AL77" s="376">
        <f>0.3*1.5</f>
        <v>0.44999999999999996</v>
      </c>
      <c r="AM77" s="376">
        <v>1.5</v>
      </c>
      <c r="AN77" s="376">
        <f>0.3*1.5</f>
        <v>0.44999999999999996</v>
      </c>
      <c r="AO77" s="376">
        <v>1.5</v>
      </c>
      <c r="AP77" s="376"/>
      <c r="AQ77" s="700">
        <v>0</v>
      </c>
      <c r="AR77" s="700">
        <v>0</v>
      </c>
      <c r="AS77" s="700">
        <v>0</v>
      </c>
      <c r="AT77" s="700">
        <v>0</v>
      </c>
      <c r="AU77" s="376"/>
      <c r="AV77" s="823">
        <v>0</v>
      </c>
      <c r="AW77" s="823">
        <v>0</v>
      </c>
      <c r="AX77" s="823">
        <v>0</v>
      </c>
      <c r="AY77" s="823">
        <v>0</v>
      </c>
      <c r="AZ77" s="376"/>
      <c r="BA77" s="700">
        <f>0.3*0.75</f>
        <v>0.22499999999999998</v>
      </c>
      <c r="BB77" s="700">
        <f>0.75</f>
        <v>0.75</v>
      </c>
      <c r="BC77" s="700">
        <f>0.3*0.75</f>
        <v>0.22499999999999998</v>
      </c>
      <c r="BD77" s="704">
        <f>0.75</f>
        <v>0.75</v>
      </c>
      <c r="BE77" s="376"/>
      <c r="BF77" s="376">
        <f>0.3*1.5</f>
        <v>0.44999999999999996</v>
      </c>
      <c r="BG77" s="376">
        <v>1.5</v>
      </c>
      <c r="BH77" s="376">
        <f>0.3*1.5</f>
        <v>0.44999999999999996</v>
      </c>
      <c r="BI77" s="376">
        <v>1.5</v>
      </c>
      <c r="BJ77" s="376"/>
      <c r="BK77" s="376">
        <f>0.3*1.5</f>
        <v>0.44999999999999996</v>
      </c>
      <c r="BL77" s="376">
        <v>1.5</v>
      </c>
      <c r="BM77" s="376">
        <f>0.3*1.5</f>
        <v>0.44999999999999996</v>
      </c>
      <c r="BN77" s="376">
        <f>1*1.5</f>
        <v>1.5</v>
      </c>
      <c r="BO77" s="376"/>
      <c r="BP77" s="376">
        <f>0.3*1.5</f>
        <v>0.44999999999999996</v>
      </c>
      <c r="BQ77" s="376">
        <v>1.5</v>
      </c>
      <c r="BR77" s="376">
        <f>0.3*1.5</f>
        <v>0.44999999999999996</v>
      </c>
      <c r="BS77" s="376">
        <f>1*1.5</f>
        <v>1.5</v>
      </c>
    </row>
    <row r="78" spans="1:71">
      <c r="A78" s="25"/>
      <c r="B78" s="26"/>
      <c r="C78" s="26"/>
      <c r="D78" s="26"/>
      <c r="E78" s="27"/>
      <c r="F78" s="197"/>
      <c r="G78" s="211"/>
      <c r="H78" s="34"/>
      <c r="I78" s="197"/>
      <c r="J78" s="89"/>
      <c r="K78" s="265"/>
      <c r="L78" s="266"/>
      <c r="M78" s="376"/>
      <c r="N78" s="376"/>
      <c r="O78" s="376"/>
      <c r="P78" s="376"/>
      <c r="Q78" s="267"/>
      <c r="R78" s="376"/>
      <c r="S78" s="376"/>
      <c r="T78" s="376"/>
      <c r="U78" s="376"/>
      <c r="V78" s="267"/>
      <c r="W78" s="376"/>
      <c r="X78" s="376"/>
      <c r="Y78" s="376"/>
      <c r="Z78" s="376"/>
      <c r="AA78" s="376"/>
      <c r="AB78" s="376"/>
      <c r="AC78" s="376"/>
      <c r="AD78" s="376"/>
      <c r="AE78" s="376"/>
      <c r="AF78" s="376"/>
      <c r="AG78" s="376"/>
      <c r="AH78" s="376"/>
      <c r="AI78" s="376"/>
      <c r="AJ78" s="376"/>
      <c r="AK78" s="376"/>
      <c r="AL78" s="376"/>
      <c r="AM78" s="376"/>
      <c r="AN78" s="376"/>
      <c r="AO78" s="376"/>
      <c r="AP78" s="376"/>
      <c r="AQ78" s="700"/>
      <c r="AR78" s="700"/>
      <c r="AS78" s="700"/>
      <c r="AT78" s="700"/>
      <c r="AU78" s="376"/>
      <c r="AV78" s="823"/>
      <c r="AW78" s="823"/>
      <c r="AX78" s="823"/>
      <c r="AY78" s="823"/>
      <c r="AZ78" s="376"/>
      <c r="BA78" s="700"/>
      <c r="BB78" s="700"/>
      <c r="BC78" s="700"/>
      <c r="BD78" s="704"/>
      <c r="BE78" s="376"/>
      <c r="BF78" s="376"/>
      <c r="BG78" s="376"/>
      <c r="BH78" s="376"/>
      <c r="BI78" s="376"/>
      <c r="BJ78" s="376"/>
      <c r="BK78" s="376"/>
      <c r="BL78" s="376"/>
      <c r="BM78" s="376"/>
      <c r="BN78" s="376"/>
      <c r="BO78" s="376"/>
      <c r="BP78" s="376"/>
      <c r="BQ78" s="376"/>
      <c r="BR78" s="376"/>
      <c r="BS78" s="376"/>
    </row>
    <row r="79" spans="1:71">
      <c r="A79" s="693" t="s">
        <v>1134</v>
      </c>
      <c r="B79" s="688"/>
      <c r="C79" s="688"/>
      <c r="D79" s="688"/>
      <c r="E79" s="27"/>
      <c r="F79" s="197"/>
      <c r="G79" s="211"/>
      <c r="H79" s="34"/>
      <c r="I79" s="197"/>
      <c r="J79" s="89"/>
      <c r="K79" s="265"/>
      <c r="L79" s="266"/>
      <c r="M79" s="376"/>
      <c r="N79" s="376"/>
      <c r="O79" s="376"/>
      <c r="P79" s="376"/>
      <c r="Q79" s="267"/>
      <c r="R79" s="376"/>
      <c r="S79" s="376"/>
      <c r="T79" s="376"/>
      <c r="U79" s="376"/>
      <c r="V79" s="267"/>
      <c r="W79" s="376"/>
      <c r="X79" s="376"/>
      <c r="Y79" s="376"/>
      <c r="Z79" s="376"/>
      <c r="AA79" s="376"/>
      <c r="AB79" s="376"/>
      <c r="AC79" s="376"/>
      <c r="AD79" s="376"/>
      <c r="AE79" s="376"/>
      <c r="AF79" s="376"/>
      <c r="AG79" s="376"/>
      <c r="AH79" s="376"/>
      <c r="AI79" s="376"/>
      <c r="AJ79" s="376"/>
      <c r="AK79" s="376"/>
      <c r="AL79" s="376"/>
      <c r="AM79" s="376"/>
      <c r="AN79" s="376"/>
      <c r="AO79" s="376"/>
      <c r="AP79" s="376"/>
      <c r="AQ79" s="700"/>
      <c r="AR79" s="700"/>
      <c r="AS79" s="700"/>
      <c r="AT79" s="700"/>
      <c r="AU79" s="376"/>
      <c r="AV79" s="823"/>
      <c r="AW79" s="823"/>
      <c r="AX79" s="823"/>
      <c r="AY79" s="823"/>
      <c r="AZ79" s="376"/>
      <c r="BA79" s="700"/>
      <c r="BB79" s="700"/>
      <c r="BC79" s="700"/>
      <c r="BD79" s="704"/>
      <c r="BE79" s="376"/>
      <c r="BF79" s="376"/>
      <c r="BG79" s="376"/>
      <c r="BH79" s="376"/>
      <c r="BI79" s="376"/>
      <c r="BJ79" s="376"/>
      <c r="BK79" s="376"/>
      <c r="BL79" s="376"/>
      <c r="BM79" s="376"/>
      <c r="BN79" s="376"/>
      <c r="BO79" s="376"/>
      <c r="BP79" s="376"/>
      <c r="BQ79" s="376"/>
      <c r="BR79" s="376"/>
      <c r="BS79" s="376"/>
    </row>
    <row r="80" spans="1:71">
      <c r="A80" s="686" t="s">
        <v>1138</v>
      </c>
      <c r="B80" s="688" t="s">
        <v>1045</v>
      </c>
      <c r="C80" s="688"/>
      <c r="D80" s="688"/>
      <c r="E80" s="689"/>
      <c r="F80" s="620"/>
      <c r="G80" s="711"/>
      <c r="H80" s="989">
        <f>SF!H81</f>
        <v>32.345729999999996</v>
      </c>
      <c r="I80" s="696"/>
      <c r="J80" s="989">
        <f>SF!J81</f>
        <v>29.111156999999999</v>
      </c>
      <c r="K80" s="265"/>
      <c r="L80" s="266"/>
      <c r="M80" s="376"/>
      <c r="N80" s="376"/>
      <c r="O80" s="376"/>
      <c r="P80" s="376"/>
      <c r="Q80" s="267"/>
      <c r="R80" s="376"/>
      <c r="S80" s="376"/>
      <c r="T80" s="376"/>
      <c r="U80" s="376"/>
      <c r="V80" s="267"/>
      <c r="W80" s="376"/>
      <c r="X80" s="376"/>
      <c r="Y80" s="376"/>
      <c r="Z80" s="376"/>
      <c r="AA80" s="376"/>
      <c r="AB80" s="376"/>
      <c r="AC80" s="376"/>
      <c r="AD80" s="376"/>
      <c r="AE80" s="376"/>
      <c r="AF80" s="376"/>
      <c r="AG80" s="376"/>
      <c r="AH80" s="376"/>
      <c r="AI80" s="376"/>
      <c r="AJ80" s="376"/>
      <c r="AK80" s="376"/>
      <c r="AL80" s="376"/>
      <c r="AM80" s="376"/>
      <c r="AN80" s="376"/>
      <c r="AO80" s="376"/>
      <c r="AP80" s="376"/>
      <c r="AQ80" s="700">
        <v>0</v>
      </c>
      <c r="AR80" s="700">
        <v>0</v>
      </c>
      <c r="AS80" s="700">
        <v>0</v>
      </c>
      <c r="AT80" s="700">
        <v>0</v>
      </c>
      <c r="AU80" s="376"/>
      <c r="AV80" s="823">
        <v>0</v>
      </c>
      <c r="AW80" s="823">
        <v>0</v>
      </c>
      <c r="AX80" s="823">
        <v>0</v>
      </c>
      <c r="AY80" s="823">
        <v>0</v>
      </c>
      <c r="AZ80" s="376"/>
      <c r="BA80" s="700">
        <f>0.3*0.75</f>
        <v>0.22499999999999998</v>
      </c>
      <c r="BB80" s="700">
        <f>0.75</f>
        <v>0.75</v>
      </c>
      <c r="BC80" s="700">
        <f>0.3*0.75</f>
        <v>0.22499999999999998</v>
      </c>
      <c r="BD80" s="704">
        <f>0.75</f>
        <v>0.75</v>
      </c>
      <c r="BE80" s="376"/>
      <c r="BF80" s="376">
        <f>0.3*1.5</f>
        <v>0.44999999999999996</v>
      </c>
      <c r="BG80" s="376">
        <v>1.5</v>
      </c>
      <c r="BH80" s="376">
        <f>0.3*1.5</f>
        <v>0.44999999999999996</v>
      </c>
      <c r="BI80" s="376">
        <v>1.5</v>
      </c>
      <c r="BJ80" s="376"/>
      <c r="BK80" s="376">
        <f>0.3*1.5</f>
        <v>0.44999999999999996</v>
      </c>
      <c r="BL80" s="376">
        <v>1.5</v>
      </c>
      <c r="BM80" s="376">
        <f>0.3*1.5</f>
        <v>0.44999999999999996</v>
      </c>
      <c r="BN80" s="376">
        <f>1*1.5</f>
        <v>1.5</v>
      </c>
      <c r="BO80" s="376"/>
      <c r="BP80" s="376">
        <f>0.3*1.5</f>
        <v>0.44999999999999996</v>
      </c>
      <c r="BQ80" s="376">
        <v>1.5</v>
      </c>
      <c r="BR80" s="376">
        <f>0.3*1.5</f>
        <v>0.44999999999999996</v>
      </c>
      <c r="BS80" s="376">
        <f>1*1.5</f>
        <v>1.5</v>
      </c>
    </row>
    <row r="81" spans="1:71">
      <c r="A81" s="686"/>
      <c r="B81" s="688"/>
      <c r="C81" s="688"/>
      <c r="D81" s="688"/>
      <c r="E81" s="689"/>
      <c r="F81" s="620"/>
      <c r="G81" s="711"/>
      <c r="H81" s="989"/>
      <c r="I81" s="696"/>
      <c r="J81" s="989"/>
      <c r="K81" s="265"/>
      <c r="L81" s="266"/>
      <c r="M81" s="376"/>
      <c r="N81" s="376"/>
      <c r="O81" s="376"/>
      <c r="P81" s="376"/>
      <c r="Q81" s="267"/>
      <c r="R81" s="376"/>
      <c r="S81" s="376"/>
      <c r="T81" s="376"/>
      <c r="U81" s="376"/>
      <c r="V81" s="267"/>
      <c r="W81" s="376"/>
      <c r="X81" s="376"/>
      <c r="Y81" s="376"/>
      <c r="Z81" s="376"/>
      <c r="AA81" s="376"/>
      <c r="AB81" s="376"/>
      <c r="AC81" s="376"/>
      <c r="AD81" s="376"/>
      <c r="AE81" s="376"/>
      <c r="AF81" s="376"/>
      <c r="AG81" s="376"/>
      <c r="AH81" s="376"/>
      <c r="AI81" s="376"/>
      <c r="AJ81" s="376"/>
      <c r="AK81" s="376"/>
      <c r="AL81" s="376"/>
      <c r="AM81" s="376"/>
      <c r="AN81" s="376"/>
      <c r="AO81" s="376"/>
      <c r="AP81" s="376"/>
      <c r="AQ81" s="700"/>
      <c r="AR81" s="700"/>
      <c r="AS81" s="700"/>
      <c r="AT81" s="700"/>
      <c r="AU81" s="376"/>
      <c r="AV81" s="823"/>
      <c r="AW81" s="823"/>
      <c r="AX81" s="823"/>
      <c r="AY81" s="823"/>
      <c r="AZ81" s="376"/>
      <c r="BA81" s="700"/>
      <c r="BB81" s="700"/>
      <c r="BC81" s="700"/>
      <c r="BD81" s="704"/>
      <c r="BE81" s="376"/>
      <c r="BF81" s="376"/>
      <c r="BG81" s="376"/>
      <c r="BH81" s="376"/>
      <c r="BI81" s="376"/>
      <c r="BJ81" s="376"/>
      <c r="BK81" s="376"/>
      <c r="BL81" s="376"/>
      <c r="BM81" s="376"/>
      <c r="BN81" s="376"/>
      <c r="BO81" s="376"/>
      <c r="BP81" s="376"/>
      <c r="BQ81" s="376"/>
      <c r="BR81" s="376"/>
      <c r="BS81" s="376"/>
    </row>
    <row r="82" spans="1:71">
      <c r="A82" s="686" t="s">
        <v>1138</v>
      </c>
      <c r="B82" s="688" t="s">
        <v>1141</v>
      </c>
      <c r="C82" s="26"/>
      <c r="D82" s="26"/>
      <c r="E82" s="27"/>
      <c r="F82" s="34"/>
      <c r="G82" s="27"/>
      <c r="H82" s="989">
        <f>SF!H83</f>
        <v>19.373390077688924</v>
      </c>
      <c r="I82" s="696"/>
      <c r="J82" s="989">
        <f>SF!J83</f>
        <v>37.512792074379419</v>
      </c>
      <c r="K82" s="265"/>
      <c r="L82" s="266"/>
      <c r="M82" s="376"/>
      <c r="N82" s="376"/>
      <c r="O82" s="376"/>
      <c r="P82" s="376"/>
      <c r="Q82" s="267"/>
      <c r="R82" s="376"/>
      <c r="S82" s="376"/>
      <c r="T82" s="376"/>
      <c r="U82" s="376"/>
      <c r="V82" s="267"/>
      <c r="W82" s="376"/>
      <c r="X82" s="376"/>
      <c r="Y82" s="376"/>
      <c r="Z82" s="376"/>
      <c r="AA82" s="376"/>
      <c r="AB82" s="376"/>
      <c r="AC82" s="376"/>
      <c r="AD82" s="376"/>
      <c r="AE82" s="376"/>
      <c r="AF82" s="376"/>
      <c r="AG82" s="376"/>
      <c r="AH82" s="376"/>
      <c r="AI82" s="376"/>
      <c r="AJ82" s="376"/>
      <c r="AK82" s="376"/>
      <c r="AL82" s="376"/>
      <c r="AM82" s="376"/>
      <c r="AN82" s="376"/>
      <c r="AO82" s="376"/>
      <c r="AP82" s="376"/>
      <c r="AQ82" s="700">
        <v>0</v>
      </c>
      <c r="AR82" s="700">
        <v>0</v>
      </c>
      <c r="AS82" s="700">
        <v>0</v>
      </c>
      <c r="AT82" s="700">
        <v>0</v>
      </c>
      <c r="AU82" s="376"/>
      <c r="AV82" s="823">
        <v>0</v>
      </c>
      <c r="AW82" s="823">
        <v>0</v>
      </c>
      <c r="AX82" s="823">
        <v>0</v>
      </c>
      <c r="AY82" s="823">
        <v>0</v>
      </c>
      <c r="AZ82" s="376"/>
      <c r="BA82" s="700">
        <f>0.3*0.75</f>
        <v>0.22499999999999998</v>
      </c>
      <c r="BB82" s="700">
        <f>0.75</f>
        <v>0.75</v>
      </c>
      <c r="BC82" s="700">
        <f>0.3*0.75</f>
        <v>0.22499999999999998</v>
      </c>
      <c r="BD82" s="704">
        <f>0.75</f>
        <v>0.75</v>
      </c>
      <c r="BE82" s="376"/>
      <c r="BF82" s="376">
        <f>0.3*1</f>
        <v>0.3</v>
      </c>
      <c r="BG82" s="376">
        <v>1</v>
      </c>
      <c r="BH82" s="376">
        <f>0.3*1</f>
        <v>0.3</v>
      </c>
      <c r="BI82" s="376">
        <v>1</v>
      </c>
      <c r="BJ82" s="376"/>
      <c r="BK82" s="376">
        <v>0.3</v>
      </c>
      <c r="BL82" s="376">
        <v>1</v>
      </c>
      <c r="BM82" s="376">
        <v>0.3</v>
      </c>
      <c r="BN82" s="376">
        <v>1</v>
      </c>
      <c r="BO82" s="376"/>
      <c r="BP82" s="376">
        <v>0.3</v>
      </c>
      <c r="BQ82" s="376">
        <v>1</v>
      </c>
      <c r="BR82" s="376">
        <v>0.3</v>
      </c>
      <c r="BS82" s="376">
        <v>1</v>
      </c>
    </row>
    <row r="83" spans="1:71">
      <c r="A83" s="283"/>
      <c r="B83" s="284"/>
      <c r="C83" s="284"/>
      <c r="D83" s="284"/>
      <c r="E83" s="285"/>
      <c r="F83" s="286"/>
      <c r="G83" s="285"/>
      <c r="H83" s="286"/>
      <c r="I83" s="286"/>
      <c r="J83" s="286"/>
      <c r="K83" s="283"/>
      <c r="L83" s="284"/>
      <c r="M83" s="378"/>
      <c r="N83" s="378"/>
      <c r="O83" s="378"/>
      <c r="P83" s="378"/>
      <c r="Q83" s="267"/>
      <c r="R83" s="378"/>
      <c r="S83" s="378"/>
      <c r="T83" s="378"/>
      <c r="U83" s="378"/>
      <c r="V83" s="267"/>
      <c r="W83" s="378"/>
      <c r="X83" s="378"/>
      <c r="Y83" s="378"/>
      <c r="Z83" s="378"/>
      <c r="AA83" s="268"/>
      <c r="AB83" s="378"/>
      <c r="AC83" s="378"/>
      <c r="AD83" s="378"/>
      <c r="AE83" s="378"/>
      <c r="AF83" s="378"/>
      <c r="AG83" s="378"/>
      <c r="AH83" s="378"/>
      <c r="AI83" s="378"/>
      <c r="AJ83" s="378"/>
      <c r="AK83" s="378"/>
      <c r="AL83" s="378"/>
      <c r="AM83" s="378"/>
      <c r="AN83" s="378"/>
      <c r="AO83" s="378"/>
      <c r="AP83" s="378"/>
      <c r="AQ83" s="702"/>
      <c r="AR83" s="702"/>
      <c r="AS83" s="702"/>
      <c r="AT83" s="702"/>
      <c r="AU83" s="378"/>
      <c r="AV83" s="997"/>
      <c r="AW83" s="997"/>
      <c r="AX83" s="997"/>
      <c r="AY83" s="997"/>
      <c r="AZ83" s="378"/>
      <c r="BA83" s="702"/>
      <c r="BB83" s="702"/>
      <c r="BC83" s="702"/>
      <c r="BD83" s="709"/>
      <c r="BE83" s="378"/>
      <c r="BF83" s="378"/>
      <c r="BG83" s="378"/>
      <c r="BH83" s="378"/>
      <c r="BI83" s="378"/>
      <c r="BJ83" s="378"/>
      <c r="BK83" s="378"/>
      <c r="BL83" s="378"/>
      <c r="BM83" s="378"/>
      <c r="BN83" s="378"/>
      <c r="BO83" s="378"/>
      <c r="BP83" s="378"/>
      <c r="BQ83" s="378"/>
      <c r="BR83" s="378"/>
      <c r="BS83" s="378"/>
    </row>
    <row r="84" spans="1:71">
      <c r="A84" s="990" t="s">
        <v>204</v>
      </c>
      <c r="B84" s="661"/>
      <c r="C84" s="661"/>
      <c r="D84" s="661"/>
      <c r="E84" s="584"/>
      <c r="F84" s="991"/>
      <c r="G84" s="992"/>
      <c r="H84" s="370"/>
      <c r="I84" s="991"/>
      <c r="J84" s="370"/>
      <c r="K84" s="261"/>
      <c r="L84" s="262"/>
      <c r="M84" s="994">
        <f>MAX(MAX(M85:M97),ABS(MIN(M85:M97)))</f>
        <v>0</v>
      </c>
      <c r="N84" s="994">
        <f>MAX(MAX(N85:N97),ABS(MIN(N85:N97)))</f>
        <v>0</v>
      </c>
      <c r="O84" s="994">
        <f>MAX(MAX(O85:O97),ABS(MIN(O85:O97)))</f>
        <v>0</v>
      </c>
      <c r="P84" s="994">
        <f>MAX(MAX(P85:P97),ABS(MIN(P85:P97)))</f>
        <v>0</v>
      </c>
      <c r="Q84" s="267"/>
      <c r="R84" s="994">
        <f>MAX(MAX(R85:R97),ABS(MIN(R85:R97)))</f>
        <v>0</v>
      </c>
      <c r="S84" s="994">
        <f>MAX(MAX(S85:S97),ABS(MIN(S85:S97)))</f>
        <v>0</v>
      </c>
      <c r="T84" s="994">
        <f>MAX(MAX(T85:T97),ABS(MIN(T85:T97)))</f>
        <v>0</v>
      </c>
      <c r="U84" s="994">
        <f>MAX(MAX(U85:U97),ABS(MIN(U85:U97)))</f>
        <v>0</v>
      </c>
      <c r="V84" s="267"/>
      <c r="W84" s="994">
        <f>MAX(MAX(W85:W97),ABS(MIN(W85:W97)))</f>
        <v>0.22499999999999998</v>
      </c>
      <c r="X84" s="994">
        <f>MAX(MAX(X85:X97),ABS(MIN(X85:X97)))</f>
        <v>0.22499999999999998</v>
      </c>
      <c r="Y84" s="994">
        <f>MAX(MAX(Y85:Y97),ABS(MIN(Y85:Y97)))</f>
        <v>0.22499999999999998</v>
      </c>
      <c r="Z84" s="994">
        <f>MAX(MAX(Z85:Z97),ABS(MIN(Z85:Z97)))</f>
        <v>0.22499999999999998</v>
      </c>
      <c r="AA84" s="388"/>
      <c r="AB84" s="981">
        <f>MAX(MAX(AB85:AB97),ABS(MIN(AB85:AB97)))</f>
        <v>0.44999999999999996</v>
      </c>
      <c r="AC84" s="981">
        <f>MAX(MAX(AC85:AC97),ABS(MIN(AC85:AC97)))</f>
        <v>0.44999999999999996</v>
      </c>
      <c r="AD84" s="981">
        <f>MAX(MAX(AD85:AD97),ABS(MIN(AD85:AD97)))</f>
        <v>0.44999999999999996</v>
      </c>
      <c r="AE84" s="981">
        <f>MAX(MAX(AE85:AE97),ABS(MIN(AE85:AE97)))</f>
        <v>0.44999999999999996</v>
      </c>
      <c r="AF84" s="981"/>
      <c r="AG84" s="981">
        <f>MAX(MAX(AG85:AG97),ABS(MIN(AG85:AG97)))</f>
        <v>0.44999999999999996</v>
      </c>
      <c r="AH84" s="981">
        <f>MAX(MAX(AH85:AH97),ABS(MIN(AH85:AH97)))</f>
        <v>0.44999999999999996</v>
      </c>
      <c r="AI84" s="981">
        <f>MAX(MAX(AI85:AI97),ABS(MIN(AI85:AI97)))</f>
        <v>0.44999999999999996</v>
      </c>
      <c r="AJ84" s="981">
        <f>MAX(MAX(AJ85:AJ97),ABS(MIN(AJ85:AJ97)))</f>
        <v>0.44999999999999996</v>
      </c>
      <c r="AK84" s="981"/>
      <c r="AL84" s="981">
        <f>MAX(MAX(AL85:AL97),ABS(MIN(AL85:AL97)))</f>
        <v>0.44999999999999996</v>
      </c>
      <c r="AM84" s="981">
        <f>MAX(MAX(AM85:AM97),ABS(MIN(AM85:AM97)))</f>
        <v>0.44999999999999996</v>
      </c>
      <c r="AN84" s="981">
        <f>MAX(MAX(AN85:AN97),ABS(MIN(AN85:AN97)))</f>
        <v>0.44999999999999996</v>
      </c>
      <c r="AO84" s="981">
        <f>MAX(MAX(AO85:AO97),ABS(MIN(AO85:AO97)))</f>
        <v>0.44999999999999996</v>
      </c>
      <c r="AP84" s="981"/>
      <c r="AQ84" s="994">
        <f>MAX(MAX(AQ85:AQ97),ABS(MIN(AQ85:AQ97)))</f>
        <v>0</v>
      </c>
      <c r="AR84" s="994">
        <f>MAX(MAX(AR85:AR97),ABS(MIN(AR85:AR97)))</f>
        <v>0</v>
      </c>
      <c r="AS84" s="994">
        <f>MAX(MAX(AS85:AS97),ABS(MIN(AS85:AS97)))</f>
        <v>0</v>
      </c>
      <c r="AT84" s="994">
        <f>MAX(MAX(AT85:AT97),ABS(MIN(AT85:AT97)))</f>
        <v>0</v>
      </c>
      <c r="AU84" s="377"/>
      <c r="AV84" s="994">
        <f>MAX(MAX(AV85:AV97),ABS(MIN(AV85:AV97)))</f>
        <v>0</v>
      </c>
      <c r="AW84" s="994">
        <f>MAX(MAX(AW85:AW97),ABS(MIN(AW85:AW97)))</f>
        <v>0</v>
      </c>
      <c r="AX84" s="994">
        <f>MAX(MAX(AX85:AX97),ABS(MIN(AX85:AX97)))</f>
        <v>0</v>
      </c>
      <c r="AY84" s="994">
        <f>MAX(MAX(AY85:AY97),ABS(MIN(AY85:AY97)))</f>
        <v>0</v>
      </c>
      <c r="AZ84" s="377"/>
      <c r="BA84" s="994">
        <f>MAX(MAX(BA85:BA97),ABS(MIN(BA85:BA97)))</f>
        <v>0.22499999999999998</v>
      </c>
      <c r="BB84" s="994">
        <f>MAX(MAX(BB85:BB97),ABS(MIN(BB85:BB97)))</f>
        <v>0.22499999999999998</v>
      </c>
      <c r="BC84" s="994">
        <f>MAX(MAX(BC85:BC97),ABS(MIN(BC85:BC97)))</f>
        <v>0.22499999999999998</v>
      </c>
      <c r="BD84" s="994">
        <f>MAX(MAX(BD85:BD97),ABS(MIN(BD85:BD97)))</f>
        <v>0.22499999999999998</v>
      </c>
      <c r="BE84" s="377"/>
      <c r="BF84" s="981">
        <f>MAX(MAX(BF85:BF97),ABS(MIN(BF85:BF97)))</f>
        <v>0.44999999999999996</v>
      </c>
      <c r="BG84" s="981">
        <f>MAX(MAX(BG85:BG97),ABS(MIN(BG85:BG97)))</f>
        <v>0.44999999999999996</v>
      </c>
      <c r="BH84" s="981">
        <f>MAX(MAX(BH85:BH97),ABS(MIN(BH85:BH97)))</f>
        <v>0.44999999999999996</v>
      </c>
      <c r="BI84" s="981">
        <f>MAX(MAX(BI85:BI97),ABS(MIN(BI85:BI97)))</f>
        <v>0.44999999999999996</v>
      </c>
      <c r="BJ84" s="377"/>
      <c r="BK84" s="981">
        <f>MAX(MAX(BK85:BK97),ABS(MIN(BK85:BK97)))</f>
        <v>0.44999999999999996</v>
      </c>
      <c r="BL84" s="981">
        <f>MAX(MAX(BL85:BL97),ABS(MIN(BL85:BL97)))</f>
        <v>0.44999999999999996</v>
      </c>
      <c r="BM84" s="981">
        <f>MAX(MAX(BM85:BM97),ABS(MIN(BM85:BM97)))</f>
        <v>0.44999999999999996</v>
      </c>
      <c r="BN84" s="981">
        <f>MAX(MAX(BN85:BN97),ABS(MIN(BN85:BN97)))</f>
        <v>0.44999999999999996</v>
      </c>
      <c r="BO84" s="377"/>
      <c r="BP84" s="981">
        <f>MAX(MAX(BP85:BP97),ABS(MIN(BP85:BP97)))</f>
        <v>0.44999999999999996</v>
      </c>
      <c r="BQ84" s="981">
        <f>MAX(MAX(BQ85:BQ97),ABS(MIN(BQ85:BQ97)))</f>
        <v>0.44999999999999996</v>
      </c>
      <c r="BR84" s="981">
        <f>MAX(MAX(BR85:BR97),ABS(MIN(BR85:BR97)))</f>
        <v>0.44999999999999996</v>
      </c>
      <c r="BS84" s="981">
        <f>MAX(MAX(BS85:BS97),ABS(MIN(BS85:BS97)))</f>
        <v>0.44999999999999996</v>
      </c>
    </row>
    <row r="85" spans="1:71">
      <c r="A85" s="25" t="s">
        <v>992</v>
      </c>
      <c r="B85" s="26"/>
      <c r="C85" s="26"/>
      <c r="D85" s="26"/>
      <c r="E85" s="27"/>
      <c r="F85" s="197"/>
      <c r="G85" s="211"/>
      <c r="H85" s="34"/>
      <c r="I85" s="197"/>
      <c r="J85" s="89"/>
      <c r="K85" s="265"/>
      <c r="L85" s="266"/>
      <c r="M85" s="376"/>
      <c r="N85" s="376"/>
      <c r="O85" s="376"/>
      <c r="P85" s="376"/>
      <c r="Q85" s="267"/>
      <c r="R85" s="376"/>
      <c r="S85" s="376"/>
      <c r="T85" s="376"/>
      <c r="U85" s="376"/>
      <c r="V85" s="267"/>
      <c r="W85" s="376"/>
      <c r="X85" s="376"/>
      <c r="Y85" s="376"/>
      <c r="Z85" s="376"/>
      <c r="AA85" s="376"/>
      <c r="AB85" s="376"/>
      <c r="AC85" s="376"/>
      <c r="AD85" s="376"/>
      <c r="AE85" s="376"/>
      <c r="AF85" s="376"/>
      <c r="AG85" s="376"/>
      <c r="AH85" s="376"/>
      <c r="AI85" s="376"/>
      <c r="AJ85" s="376"/>
      <c r="AK85" s="376"/>
      <c r="AL85" s="376"/>
      <c r="AM85" s="376"/>
      <c r="AN85" s="376"/>
      <c r="AO85" s="376"/>
      <c r="AP85" s="376"/>
      <c r="AQ85" s="700"/>
      <c r="AR85" s="700"/>
      <c r="AS85" s="700"/>
      <c r="AT85" s="700"/>
      <c r="AU85" s="268"/>
      <c r="AV85" s="823"/>
      <c r="AW85" s="823"/>
      <c r="AX85" s="823"/>
      <c r="AY85" s="823"/>
      <c r="AZ85" s="268"/>
      <c r="BA85" s="700"/>
      <c r="BB85" s="700"/>
      <c r="BC85" s="700"/>
      <c r="BD85" s="700"/>
      <c r="BE85" s="268"/>
      <c r="BF85" s="376"/>
      <c r="BG85" s="376"/>
      <c r="BH85" s="376"/>
      <c r="BI85" s="376"/>
      <c r="BJ85" s="268"/>
      <c r="BK85" s="376"/>
      <c r="BL85" s="376"/>
      <c r="BM85" s="376"/>
      <c r="BN85" s="376"/>
      <c r="BO85" s="268"/>
      <c r="BP85" s="376"/>
      <c r="BQ85" s="376"/>
      <c r="BR85" s="376"/>
      <c r="BS85" s="376"/>
    </row>
    <row r="86" spans="1:71">
      <c r="A86" s="25" t="s">
        <v>1007</v>
      </c>
      <c r="B86" s="26" t="s">
        <v>988</v>
      </c>
      <c r="C86" s="26"/>
      <c r="D86" s="26"/>
      <c r="E86" s="27"/>
      <c r="F86" s="196">
        <f>SF!F87</f>
        <v>31.607279999999999</v>
      </c>
      <c r="G86" s="211"/>
      <c r="H86" s="34"/>
      <c r="I86" s="196">
        <f>SF!I87</f>
        <v>-15.140358000000003</v>
      </c>
      <c r="J86" s="196">
        <f>SF!J87</f>
        <v>0</v>
      </c>
      <c r="K86" s="265"/>
      <c r="L86" s="266"/>
      <c r="M86" s="376">
        <v>0</v>
      </c>
      <c r="N86" s="376">
        <v>0</v>
      </c>
      <c r="O86" s="376">
        <v>0</v>
      </c>
      <c r="P86" s="376">
        <v>0</v>
      </c>
      <c r="Q86" s="267"/>
      <c r="R86" s="376">
        <v>0</v>
      </c>
      <c r="S86" s="376">
        <v>0</v>
      </c>
      <c r="T86" s="376">
        <v>0</v>
      </c>
      <c r="U86" s="376">
        <v>0</v>
      </c>
      <c r="V86" s="267"/>
      <c r="W86" s="268">
        <v>0</v>
      </c>
      <c r="X86" s="268">
        <v>0</v>
      </c>
      <c r="Y86" s="268">
        <v>0</v>
      </c>
      <c r="Z86" s="268">
        <v>0</v>
      </c>
      <c r="AA86" s="268"/>
      <c r="AB86" s="268">
        <f>-0.3*1.5</f>
        <v>-0.44999999999999996</v>
      </c>
      <c r="AC86" s="268">
        <f>-0.3*1.5</f>
        <v>-0.44999999999999996</v>
      </c>
      <c r="AD86" s="268">
        <f>0.3*1.5</f>
        <v>0.44999999999999996</v>
      </c>
      <c r="AE86" s="268">
        <f>0.3*1.5</f>
        <v>0.44999999999999996</v>
      </c>
      <c r="AF86" s="268"/>
      <c r="AG86" s="376">
        <f>-0.3*1.5</f>
        <v>-0.44999999999999996</v>
      </c>
      <c r="AH86" s="376">
        <f>-0.3*1.5</f>
        <v>-0.44999999999999996</v>
      </c>
      <c r="AI86" s="376">
        <f>0.3*1.5</f>
        <v>0.44999999999999996</v>
      </c>
      <c r="AJ86" s="376">
        <f>0.3*1.5</f>
        <v>0.44999999999999996</v>
      </c>
      <c r="AK86" s="376"/>
      <c r="AL86" s="376">
        <f>-0.3*1.5</f>
        <v>-0.44999999999999996</v>
      </c>
      <c r="AM86" s="376">
        <f>-0.3*1.5</f>
        <v>-0.44999999999999996</v>
      </c>
      <c r="AN86" s="376">
        <f>0.3*1.5</f>
        <v>0.44999999999999996</v>
      </c>
      <c r="AO86" s="376">
        <f>0.3*1.5</f>
        <v>0.44999999999999996</v>
      </c>
      <c r="AP86" s="376"/>
      <c r="AQ86" s="700">
        <v>0</v>
      </c>
      <c r="AR86" s="700">
        <v>0</v>
      </c>
      <c r="AS86" s="700">
        <v>0</v>
      </c>
      <c r="AT86" s="700">
        <v>0</v>
      </c>
      <c r="AU86" s="268"/>
      <c r="AV86" s="823">
        <v>0</v>
      </c>
      <c r="AW86" s="823">
        <v>0</v>
      </c>
      <c r="AX86" s="823">
        <v>0</v>
      </c>
      <c r="AY86" s="823">
        <v>0</v>
      </c>
      <c r="AZ86" s="268"/>
      <c r="BA86" s="699">
        <v>0</v>
      </c>
      <c r="BB86" s="699">
        <v>0</v>
      </c>
      <c r="BC86" s="699">
        <v>0</v>
      </c>
      <c r="BD86" s="699">
        <v>0</v>
      </c>
      <c r="BE86" s="268"/>
      <c r="BF86" s="268">
        <f>-0.3*1.5</f>
        <v>-0.44999999999999996</v>
      </c>
      <c r="BG86" s="268">
        <f>-0.3*1.5</f>
        <v>-0.44999999999999996</v>
      </c>
      <c r="BH86" s="268">
        <f>0.3*1.5</f>
        <v>0.44999999999999996</v>
      </c>
      <c r="BI86" s="268">
        <f>0.3*1.5</f>
        <v>0.44999999999999996</v>
      </c>
      <c r="BJ86" s="268"/>
      <c r="BK86" s="376">
        <f>-0.3*1.5</f>
        <v>-0.44999999999999996</v>
      </c>
      <c r="BL86" s="376">
        <f>-0.3*1.5</f>
        <v>-0.44999999999999996</v>
      </c>
      <c r="BM86" s="376">
        <f>0.3*1.5</f>
        <v>0.44999999999999996</v>
      </c>
      <c r="BN86" s="376">
        <f>0.3*1.5</f>
        <v>0.44999999999999996</v>
      </c>
      <c r="BO86" s="268"/>
      <c r="BP86" s="376">
        <f>-0.3*1.5</f>
        <v>-0.44999999999999996</v>
      </c>
      <c r="BQ86" s="376">
        <f>-0.3*1.5</f>
        <v>-0.44999999999999996</v>
      </c>
      <c r="BR86" s="376">
        <f>0.3*1.5</f>
        <v>0.44999999999999996</v>
      </c>
      <c r="BS86" s="376">
        <f>0.3*1.5</f>
        <v>0.44999999999999996</v>
      </c>
    </row>
    <row r="87" spans="1:71">
      <c r="A87" s="25" t="s">
        <v>1008</v>
      </c>
      <c r="B87" s="26" t="s">
        <v>989</v>
      </c>
      <c r="C87" s="26"/>
      <c r="D87" s="26"/>
      <c r="E87" s="27"/>
      <c r="F87" s="196">
        <f>SF!F88</f>
        <v>31.607279999999999</v>
      </c>
      <c r="G87" s="211"/>
      <c r="H87" s="34"/>
      <c r="I87" s="196">
        <f>SF!I88</f>
        <v>15.140358000000003</v>
      </c>
      <c r="J87" s="196">
        <f>SF!J88</f>
        <v>0</v>
      </c>
      <c r="K87" s="265"/>
      <c r="L87" s="266"/>
      <c r="M87" s="268">
        <v>0</v>
      </c>
      <c r="N87" s="268">
        <v>0</v>
      </c>
      <c r="O87" s="268">
        <v>0</v>
      </c>
      <c r="P87" s="268">
        <v>0</v>
      </c>
      <c r="Q87" s="267"/>
      <c r="R87" s="268">
        <v>0</v>
      </c>
      <c r="S87" s="268">
        <v>0</v>
      </c>
      <c r="T87" s="268">
        <v>0</v>
      </c>
      <c r="U87" s="268">
        <v>0</v>
      </c>
      <c r="V87" s="267"/>
      <c r="W87" s="376">
        <f>-0.3*0.75</f>
        <v>-0.22499999999999998</v>
      </c>
      <c r="X87" s="376">
        <f>-0.3*0.75</f>
        <v>-0.22499999999999998</v>
      </c>
      <c r="Y87" s="376">
        <f>0.3*0.75</f>
        <v>0.22499999999999998</v>
      </c>
      <c r="Z87" s="376">
        <f>0.3*0.75</f>
        <v>0.22499999999999998</v>
      </c>
      <c r="AA87" s="376"/>
      <c r="AB87" s="376">
        <f>-0.3*1.5</f>
        <v>-0.44999999999999996</v>
      </c>
      <c r="AC87" s="376">
        <f>-0.3*1.5</f>
        <v>-0.44999999999999996</v>
      </c>
      <c r="AD87" s="376">
        <f>0.3*1.5</f>
        <v>0.44999999999999996</v>
      </c>
      <c r="AE87" s="376">
        <f>0.3*1.5</f>
        <v>0.44999999999999996</v>
      </c>
      <c r="AF87" s="376"/>
      <c r="AG87" s="268">
        <f>-0.3*1.5</f>
        <v>-0.44999999999999996</v>
      </c>
      <c r="AH87" s="268">
        <f>-0.3*1.5</f>
        <v>-0.44999999999999996</v>
      </c>
      <c r="AI87" s="268">
        <f>0.3*1.5</f>
        <v>0.44999999999999996</v>
      </c>
      <c r="AJ87" s="268">
        <f>0.3*1.5</f>
        <v>0.44999999999999996</v>
      </c>
      <c r="AK87" s="268"/>
      <c r="AL87" s="268">
        <f>-0.3*1.5</f>
        <v>-0.44999999999999996</v>
      </c>
      <c r="AM87" s="268">
        <f>-0.3*1.5</f>
        <v>-0.44999999999999996</v>
      </c>
      <c r="AN87" s="268">
        <f>0.3*1.5</f>
        <v>0.44999999999999996</v>
      </c>
      <c r="AO87" s="268">
        <f>0.3*1.5</f>
        <v>0.44999999999999996</v>
      </c>
      <c r="AP87" s="268"/>
      <c r="AQ87" s="699">
        <v>0</v>
      </c>
      <c r="AR87" s="699">
        <v>0</v>
      </c>
      <c r="AS87" s="699">
        <v>0</v>
      </c>
      <c r="AT87" s="699">
        <v>0</v>
      </c>
      <c r="AU87" s="268"/>
      <c r="AV87" s="477">
        <v>0</v>
      </c>
      <c r="AW87" s="477">
        <v>0</v>
      </c>
      <c r="AX87" s="477">
        <v>0</v>
      </c>
      <c r="AY87" s="477">
        <v>0</v>
      </c>
      <c r="AZ87" s="268"/>
      <c r="BA87" s="700">
        <f>-0.3*0.75</f>
        <v>-0.22499999999999998</v>
      </c>
      <c r="BB87" s="700">
        <f>-0.3*0.75</f>
        <v>-0.22499999999999998</v>
      </c>
      <c r="BC87" s="700">
        <f>0.3*0.75</f>
        <v>0.22499999999999998</v>
      </c>
      <c r="BD87" s="700">
        <f>0.3*0.75</f>
        <v>0.22499999999999998</v>
      </c>
      <c r="BE87" s="268"/>
      <c r="BF87" s="376">
        <f>-0.3*1.5</f>
        <v>-0.44999999999999996</v>
      </c>
      <c r="BG87" s="376">
        <f>-0.3*1.5</f>
        <v>-0.44999999999999996</v>
      </c>
      <c r="BH87" s="376">
        <f>0.3*1.5</f>
        <v>0.44999999999999996</v>
      </c>
      <c r="BI87" s="376">
        <f>0.3*1.5</f>
        <v>0.44999999999999996</v>
      </c>
      <c r="BJ87" s="268"/>
      <c r="BK87" s="268">
        <f>-0.3*1.5</f>
        <v>-0.44999999999999996</v>
      </c>
      <c r="BL87" s="268">
        <f>-0.3*1.5</f>
        <v>-0.44999999999999996</v>
      </c>
      <c r="BM87" s="268">
        <f>0.3*1.5</f>
        <v>0.44999999999999996</v>
      </c>
      <c r="BN87" s="268">
        <f>0.3*1.5</f>
        <v>0.44999999999999996</v>
      </c>
      <c r="BO87" s="268"/>
      <c r="BP87" s="268">
        <f>-0.3*1.5</f>
        <v>-0.44999999999999996</v>
      </c>
      <c r="BQ87" s="268">
        <f>-0.3*1.5</f>
        <v>-0.44999999999999996</v>
      </c>
      <c r="BR87" s="268">
        <f>0.3*1.5</f>
        <v>0.44999999999999996</v>
      </c>
      <c r="BS87" s="268">
        <f>0.3*1.5</f>
        <v>0.44999999999999996</v>
      </c>
    </row>
    <row r="88" spans="1:71">
      <c r="A88" s="69"/>
      <c r="B88" s="26"/>
      <c r="C88" s="26"/>
      <c r="D88" s="26"/>
      <c r="E88" s="27"/>
      <c r="F88" s="197"/>
      <c r="G88" s="211"/>
      <c r="H88" s="34"/>
      <c r="I88" s="197"/>
      <c r="J88" s="89"/>
      <c r="K88" s="265"/>
      <c r="L88" s="266"/>
      <c r="M88" s="268"/>
      <c r="N88" s="268"/>
      <c r="O88" s="268"/>
      <c r="P88" s="268"/>
      <c r="Q88" s="267"/>
      <c r="R88" s="268"/>
      <c r="S88" s="268"/>
      <c r="T88" s="268"/>
      <c r="U88" s="268"/>
      <c r="V88" s="267"/>
      <c r="W88" s="268"/>
      <c r="X88" s="268"/>
      <c r="Y88" s="268"/>
      <c r="Z88" s="268"/>
      <c r="AA88" s="268"/>
      <c r="AB88" s="268"/>
      <c r="AC88" s="268"/>
      <c r="AD88" s="268"/>
      <c r="AE88" s="268"/>
      <c r="AF88" s="268"/>
      <c r="AG88" s="268"/>
      <c r="AH88" s="268"/>
      <c r="AI88" s="268"/>
      <c r="AJ88" s="268"/>
      <c r="AK88" s="268"/>
      <c r="AL88" s="268"/>
      <c r="AM88" s="268"/>
      <c r="AN88" s="268"/>
      <c r="AO88" s="268"/>
      <c r="AP88" s="268"/>
      <c r="AQ88" s="699"/>
      <c r="AR88" s="699"/>
      <c r="AS88" s="699"/>
      <c r="AT88" s="699"/>
      <c r="AU88" s="268"/>
      <c r="AV88" s="477"/>
      <c r="AW88" s="477"/>
      <c r="AX88" s="477"/>
      <c r="AY88" s="477"/>
      <c r="AZ88" s="268"/>
      <c r="BA88" s="699"/>
      <c r="BB88" s="699"/>
      <c r="BC88" s="699"/>
      <c r="BD88" s="699"/>
      <c r="BE88" s="268"/>
      <c r="BF88" s="268"/>
      <c r="BG88" s="268"/>
      <c r="BH88" s="268"/>
      <c r="BI88" s="268"/>
      <c r="BJ88" s="268"/>
      <c r="BK88" s="268"/>
      <c r="BL88" s="268"/>
      <c r="BM88" s="268"/>
      <c r="BN88" s="268"/>
      <c r="BO88" s="268"/>
      <c r="BP88" s="268"/>
      <c r="BQ88" s="268"/>
      <c r="BR88" s="268"/>
      <c r="BS88" s="268"/>
    </row>
    <row r="89" spans="1:71">
      <c r="A89" s="25" t="s">
        <v>999</v>
      </c>
      <c r="B89" s="26"/>
      <c r="C89" s="26"/>
      <c r="D89" s="26"/>
      <c r="E89" s="27"/>
      <c r="F89" s="197"/>
      <c r="G89" s="211"/>
      <c r="H89" s="34"/>
      <c r="I89" s="197"/>
      <c r="J89" s="89"/>
      <c r="K89" s="265"/>
      <c r="L89" s="266"/>
      <c r="M89" s="268"/>
      <c r="N89" s="268"/>
      <c r="O89" s="268"/>
      <c r="P89" s="268"/>
      <c r="Q89" s="267"/>
      <c r="R89" s="268"/>
      <c r="S89" s="268"/>
      <c r="T89" s="268"/>
      <c r="U89" s="268"/>
      <c r="V89" s="267"/>
      <c r="W89" s="268"/>
      <c r="X89" s="268"/>
      <c r="Y89" s="268"/>
      <c r="Z89" s="268"/>
      <c r="AA89" s="268"/>
      <c r="AB89" s="268"/>
      <c r="AC89" s="268"/>
      <c r="AD89" s="268"/>
      <c r="AE89" s="268"/>
      <c r="AF89" s="268"/>
      <c r="AG89" s="268"/>
      <c r="AH89" s="268"/>
      <c r="AI89" s="268"/>
      <c r="AJ89" s="268"/>
      <c r="AK89" s="268"/>
      <c r="AL89" s="268"/>
      <c r="AM89" s="268"/>
      <c r="AN89" s="268"/>
      <c r="AO89" s="268"/>
      <c r="AP89" s="268"/>
      <c r="AQ89" s="699"/>
      <c r="AR89" s="699"/>
      <c r="AS89" s="699"/>
      <c r="AT89" s="699"/>
      <c r="AU89" s="268"/>
      <c r="AV89" s="477"/>
      <c r="AW89" s="477"/>
      <c r="AX89" s="477"/>
      <c r="AY89" s="477"/>
      <c r="AZ89" s="268"/>
      <c r="BA89" s="699"/>
      <c r="BB89" s="699"/>
      <c r="BC89" s="699"/>
      <c r="BD89" s="699"/>
      <c r="BE89" s="268"/>
      <c r="BF89" s="268"/>
      <c r="BG89" s="268"/>
      <c r="BH89" s="268"/>
      <c r="BI89" s="268"/>
      <c r="BJ89" s="268"/>
      <c r="BK89" s="268"/>
      <c r="BL89" s="268"/>
      <c r="BM89" s="268"/>
      <c r="BN89" s="268"/>
      <c r="BO89" s="268"/>
      <c r="BP89" s="268"/>
      <c r="BQ89" s="268"/>
      <c r="BR89" s="268"/>
      <c r="BS89" s="268"/>
    </row>
    <row r="90" spans="1:71">
      <c r="A90" s="25" t="s">
        <v>1002</v>
      </c>
      <c r="B90" s="26"/>
      <c r="C90" s="26"/>
      <c r="D90" s="26"/>
      <c r="E90" s="27"/>
      <c r="F90" s="197"/>
      <c r="G90" s="211"/>
      <c r="H90" s="34"/>
      <c r="I90" s="197"/>
      <c r="J90" s="89"/>
      <c r="K90" s="265"/>
      <c r="L90" s="266"/>
      <c r="M90" s="268"/>
      <c r="N90" s="268"/>
      <c r="O90" s="268"/>
      <c r="P90" s="268"/>
      <c r="Q90" s="267"/>
      <c r="R90" s="268"/>
      <c r="S90" s="268"/>
      <c r="T90" s="268"/>
      <c r="U90" s="268"/>
      <c r="V90" s="267"/>
      <c r="W90" s="268"/>
      <c r="X90" s="268"/>
      <c r="Y90" s="268"/>
      <c r="Z90" s="268"/>
      <c r="AA90" s="268"/>
      <c r="AB90" s="268"/>
      <c r="AC90" s="268"/>
      <c r="AD90" s="268"/>
      <c r="AE90" s="268"/>
      <c r="AF90" s="268"/>
      <c r="AG90" s="268"/>
      <c r="AH90" s="268"/>
      <c r="AI90" s="268"/>
      <c r="AJ90" s="268"/>
      <c r="AK90" s="268"/>
      <c r="AL90" s="268"/>
      <c r="AM90" s="268"/>
      <c r="AN90" s="268"/>
      <c r="AO90" s="268"/>
      <c r="AP90" s="268"/>
      <c r="AQ90" s="699"/>
      <c r="AR90" s="699"/>
      <c r="AS90" s="699"/>
      <c r="AT90" s="699"/>
      <c r="AU90" s="268"/>
      <c r="AV90" s="477"/>
      <c r="AW90" s="477"/>
      <c r="AX90" s="477"/>
      <c r="AY90" s="477"/>
      <c r="AZ90" s="268"/>
      <c r="BA90" s="699"/>
      <c r="BB90" s="699"/>
      <c r="BC90" s="699"/>
      <c r="BD90" s="699"/>
      <c r="BE90" s="268"/>
      <c r="BF90" s="268"/>
      <c r="BG90" s="268"/>
      <c r="BH90" s="268"/>
      <c r="BI90" s="268"/>
      <c r="BJ90" s="268"/>
      <c r="BK90" s="268"/>
      <c r="BL90" s="268"/>
      <c r="BM90" s="268"/>
      <c r="BN90" s="268"/>
      <c r="BO90" s="268"/>
      <c r="BP90" s="268"/>
      <c r="BQ90" s="268"/>
      <c r="BR90" s="268"/>
      <c r="BS90" s="268"/>
    </row>
    <row r="91" spans="1:71">
      <c r="A91" s="25" t="s">
        <v>1009</v>
      </c>
      <c r="B91" s="26" t="s">
        <v>1000</v>
      </c>
      <c r="C91" s="26"/>
      <c r="D91" s="26"/>
      <c r="E91" s="27"/>
      <c r="F91" s="196">
        <f>SF!F92</f>
        <v>7.0373232000000003</v>
      </c>
      <c r="G91" s="211"/>
      <c r="H91" s="34"/>
      <c r="I91" s="196">
        <f>SF!I92</f>
        <v>-3.5186616000000002</v>
      </c>
      <c r="J91" s="196">
        <f>SF!J92</f>
        <v>-1.0914190890810807</v>
      </c>
      <c r="K91" s="265"/>
      <c r="L91" s="266"/>
      <c r="M91" s="268">
        <v>0</v>
      </c>
      <c r="N91" s="268">
        <v>0</v>
      </c>
      <c r="O91" s="268">
        <v>0</v>
      </c>
      <c r="P91" s="268">
        <v>0</v>
      </c>
      <c r="Q91" s="267"/>
      <c r="R91" s="268">
        <v>0</v>
      </c>
      <c r="S91" s="268">
        <v>0</v>
      </c>
      <c r="T91" s="268">
        <v>0</v>
      </c>
      <c r="U91" s="268">
        <v>0</v>
      </c>
      <c r="V91" s="267"/>
      <c r="W91" s="268">
        <v>0</v>
      </c>
      <c r="X91" s="268">
        <v>0</v>
      </c>
      <c r="Y91" s="268">
        <v>0</v>
      </c>
      <c r="Z91" s="268">
        <v>0</v>
      </c>
      <c r="AA91" s="268"/>
      <c r="AB91" s="268">
        <v>0</v>
      </c>
      <c r="AC91" s="268">
        <v>0</v>
      </c>
      <c r="AD91" s="268">
        <v>0</v>
      </c>
      <c r="AE91" s="268">
        <v>0</v>
      </c>
      <c r="AF91" s="268"/>
      <c r="AG91" s="268">
        <f>-0.3*0.2*1.5</f>
        <v>-0.09</v>
      </c>
      <c r="AH91" s="268">
        <f>-0.3*0.2*1.5</f>
        <v>-0.09</v>
      </c>
      <c r="AI91" s="268">
        <f>0.3*0.2*1.5</f>
        <v>0.09</v>
      </c>
      <c r="AJ91" s="268">
        <f>0.3*0.2*1.5</f>
        <v>0.09</v>
      </c>
      <c r="AK91" s="268"/>
      <c r="AL91" s="268">
        <v>0</v>
      </c>
      <c r="AM91" s="268">
        <v>0</v>
      </c>
      <c r="AN91" s="268">
        <v>0</v>
      </c>
      <c r="AO91" s="268">
        <v>0</v>
      </c>
      <c r="AP91" s="268"/>
      <c r="AQ91" s="699">
        <v>0</v>
      </c>
      <c r="AR91" s="699">
        <v>0</v>
      </c>
      <c r="AS91" s="699">
        <v>0</v>
      </c>
      <c r="AT91" s="699">
        <v>0</v>
      </c>
      <c r="AU91" s="268"/>
      <c r="AV91" s="477">
        <v>0</v>
      </c>
      <c r="AW91" s="477">
        <v>0</v>
      </c>
      <c r="AX91" s="477">
        <v>0</v>
      </c>
      <c r="AY91" s="477">
        <v>0</v>
      </c>
      <c r="AZ91" s="268"/>
      <c r="BA91" s="699">
        <v>0</v>
      </c>
      <c r="BB91" s="699">
        <v>0</v>
      </c>
      <c r="BC91" s="699">
        <v>0</v>
      </c>
      <c r="BD91" s="699">
        <v>0</v>
      </c>
      <c r="BE91" s="268"/>
      <c r="BF91" s="268">
        <v>0</v>
      </c>
      <c r="BG91" s="268">
        <v>0</v>
      </c>
      <c r="BH91" s="268">
        <v>0</v>
      </c>
      <c r="BI91" s="268">
        <v>0</v>
      </c>
      <c r="BJ91" s="268"/>
      <c r="BK91" s="268">
        <f>-0.3*0.2*1.5</f>
        <v>-0.09</v>
      </c>
      <c r="BL91" s="268">
        <f>-0.3*0.2*1.5</f>
        <v>-0.09</v>
      </c>
      <c r="BM91" s="268">
        <f>0.3*0.2*1.5</f>
        <v>0.09</v>
      </c>
      <c r="BN91" s="268">
        <f>0.3*0.2*1.5</f>
        <v>0.09</v>
      </c>
      <c r="BO91" s="268"/>
      <c r="BP91" s="268">
        <v>0</v>
      </c>
      <c r="BQ91" s="268">
        <v>0</v>
      </c>
      <c r="BR91" s="268">
        <v>0</v>
      </c>
      <c r="BS91" s="268">
        <v>0</v>
      </c>
    </row>
    <row r="92" spans="1:71">
      <c r="A92" s="25" t="s">
        <v>1010</v>
      </c>
      <c r="B92" s="26" t="s">
        <v>1001</v>
      </c>
      <c r="C92" s="26"/>
      <c r="D92" s="26"/>
      <c r="E92" s="27"/>
      <c r="F92" s="196">
        <f>SF!F93</f>
        <v>8.1200139428571472</v>
      </c>
      <c r="G92" s="211"/>
      <c r="H92" s="34"/>
      <c r="I92" s="196">
        <f>SF!I93</f>
        <v>4.0600069714285736</v>
      </c>
      <c r="J92" s="196">
        <f>SF!J93</f>
        <v>-1.259333693930502</v>
      </c>
      <c r="K92" s="265"/>
      <c r="L92" s="266"/>
      <c r="M92" s="268">
        <v>0</v>
      </c>
      <c r="N92" s="268">
        <v>0</v>
      </c>
      <c r="O92" s="268">
        <v>0</v>
      </c>
      <c r="P92" s="268">
        <v>0</v>
      </c>
      <c r="Q92" s="267"/>
      <c r="R92" s="268">
        <v>0</v>
      </c>
      <c r="S92" s="268">
        <v>0</v>
      </c>
      <c r="T92" s="268">
        <v>0</v>
      </c>
      <c r="U92" s="268">
        <v>0</v>
      </c>
      <c r="V92" s="267"/>
      <c r="W92" s="268">
        <v>0</v>
      </c>
      <c r="X92" s="268">
        <v>0</v>
      </c>
      <c r="Y92" s="268">
        <v>0</v>
      </c>
      <c r="Z92" s="268">
        <v>0</v>
      </c>
      <c r="AA92" s="268"/>
      <c r="AB92" s="268">
        <v>0</v>
      </c>
      <c r="AC92" s="268">
        <v>0</v>
      </c>
      <c r="AD92" s="268">
        <v>0</v>
      </c>
      <c r="AE92" s="268">
        <v>0</v>
      </c>
      <c r="AF92" s="268"/>
      <c r="AG92" s="268">
        <f>-0.3*0.2*1.5</f>
        <v>-0.09</v>
      </c>
      <c r="AH92" s="268">
        <f>-0.3*0.2*1.5</f>
        <v>-0.09</v>
      </c>
      <c r="AI92" s="268">
        <f>0.3*0.2*1.5</f>
        <v>0.09</v>
      </c>
      <c r="AJ92" s="268">
        <f>0.3*0.2*1.5</f>
        <v>0.09</v>
      </c>
      <c r="AK92" s="268"/>
      <c r="AL92" s="268">
        <v>0</v>
      </c>
      <c r="AM92" s="268">
        <v>0</v>
      </c>
      <c r="AN92" s="268">
        <v>0</v>
      </c>
      <c r="AO92" s="268">
        <v>0</v>
      </c>
      <c r="AP92" s="268"/>
      <c r="AQ92" s="699">
        <v>0</v>
      </c>
      <c r="AR92" s="699">
        <v>0</v>
      </c>
      <c r="AS92" s="699">
        <v>0</v>
      </c>
      <c r="AT92" s="699">
        <v>0</v>
      </c>
      <c r="AU92" s="268"/>
      <c r="AV92" s="477">
        <v>0</v>
      </c>
      <c r="AW92" s="477">
        <v>0</v>
      </c>
      <c r="AX92" s="477">
        <v>0</v>
      </c>
      <c r="AY92" s="477">
        <v>0</v>
      </c>
      <c r="AZ92" s="268"/>
      <c r="BA92" s="699">
        <v>0</v>
      </c>
      <c r="BB92" s="699">
        <v>0</v>
      </c>
      <c r="BC92" s="699">
        <v>0</v>
      </c>
      <c r="BD92" s="699">
        <v>0</v>
      </c>
      <c r="BE92" s="268"/>
      <c r="BF92" s="268">
        <v>0</v>
      </c>
      <c r="BG92" s="268">
        <v>0</v>
      </c>
      <c r="BH92" s="268">
        <v>0</v>
      </c>
      <c r="BI92" s="268">
        <v>0</v>
      </c>
      <c r="BJ92" s="268"/>
      <c r="BK92" s="268">
        <f>-0.3*0.2*1.5</f>
        <v>-0.09</v>
      </c>
      <c r="BL92" s="268">
        <f>-0.3*0.2*1.5</f>
        <v>-0.09</v>
      </c>
      <c r="BM92" s="268">
        <f>0.3*0.2*1.5</f>
        <v>0.09</v>
      </c>
      <c r="BN92" s="268">
        <f>0.3*0.2*1.5</f>
        <v>0.09</v>
      </c>
      <c r="BO92" s="268"/>
      <c r="BP92" s="268">
        <v>0</v>
      </c>
      <c r="BQ92" s="268">
        <v>0</v>
      </c>
      <c r="BR92" s="268">
        <v>0</v>
      </c>
      <c r="BS92" s="268">
        <v>0</v>
      </c>
    </row>
    <row r="93" spans="1:71">
      <c r="A93" s="25" t="s">
        <v>1003</v>
      </c>
      <c r="B93" s="26"/>
      <c r="C93" s="26"/>
      <c r="D93" s="26"/>
      <c r="E93" s="27"/>
      <c r="F93" s="197"/>
      <c r="G93" s="211"/>
      <c r="H93" s="34"/>
      <c r="I93" s="197"/>
      <c r="J93" s="89"/>
      <c r="K93" s="265"/>
      <c r="L93" s="266"/>
      <c r="M93" s="268"/>
      <c r="N93" s="268"/>
      <c r="O93" s="268"/>
      <c r="P93" s="268"/>
      <c r="Q93" s="267"/>
      <c r="R93" s="268"/>
      <c r="S93" s="268"/>
      <c r="T93" s="268"/>
      <c r="U93" s="268"/>
      <c r="V93" s="267"/>
      <c r="W93" s="268"/>
      <c r="X93" s="268"/>
      <c r="Y93" s="268"/>
      <c r="Z93" s="268"/>
      <c r="AA93" s="268"/>
      <c r="AB93" s="268"/>
      <c r="AC93" s="268"/>
      <c r="AD93" s="268"/>
      <c r="AE93" s="268"/>
      <c r="AF93" s="268"/>
      <c r="AG93" s="268"/>
      <c r="AH93" s="268"/>
      <c r="AI93" s="268"/>
      <c r="AJ93" s="268"/>
      <c r="AK93" s="268"/>
      <c r="AL93" s="268"/>
      <c r="AM93" s="268"/>
      <c r="AN93" s="268"/>
      <c r="AO93" s="268"/>
      <c r="AP93" s="268"/>
      <c r="AQ93" s="699"/>
      <c r="AR93" s="699"/>
      <c r="AS93" s="699"/>
      <c r="AT93" s="699"/>
      <c r="AU93" s="268"/>
      <c r="AV93" s="477"/>
      <c r="AW93" s="477"/>
      <c r="AX93" s="477"/>
      <c r="AY93" s="477"/>
      <c r="AZ93" s="268"/>
      <c r="BA93" s="699"/>
      <c r="BB93" s="699"/>
      <c r="BC93" s="699"/>
      <c r="BD93" s="699"/>
      <c r="BE93" s="268"/>
      <c r="BF93" s="268"/>
      <c r="BG93" s="268"/>
      <c r="BH93" s="268"/>
      <c r="BI93" s="268"/>
      <c r="BJ93" s="268"/>
      <c r="BK93" s="268"/>
      <c r="BL93" s="268"/>
      <c r="BM93" s="268"/>
      <c r="BN93" s="268"/>
      <c r="BO93" s="268"/>
      <c r="BP93" s="268"/>
      <c r="BQ93" s="268"/>
      <c r="BR93" s="268"/>
      <c r="BS93" s="268"/>
    </row>
    <row r="94" spans="1:71">
      <c r="A94" s="25" t="s">
        <v>1009</v>
      </c>
      <c r="B94" s="26" t="s">
        <v>1000</v>
      </c>
      <c r="C94" s="26"/>
      <c r="D94" s="26"/>
      <c r="E94" s="27"/>
      <c r="F94" s="196">
        <f>SF!F95</f>
        <v>0</v>
      </c>
      <c r="G94" s="211"/>
      <c r="H94" s="34"/>
      <c r="I94" s="196">
        <f>SF!I95</f>
        <v>0</v>
      </c>
      <c r="J94" s="196">
        <f>SF!J95</f>
        <v>0</v>
      </c>
      <c r="K94" s="265"/>
      <c r="L94" s="266"/>
      <c r="M94" s="268">
        <v>0</v>
      </c>
      <c r="N94" s="268">
        <v>0</v>
      </c>
      <c r="O94" s="268">
        <v>0</v>
      </c>
      <c r="P94" s="268">
        <v>0</v>
      </c>
      <c r="Q94" s="267"/>
      <c r="R94" s="268">
        <v>0</v>
      </c>
      <c r="S94" s="268">
        <v>0</v>
      </c>
      <c r="T94" s="268">
        <v>0</v>
      </c>
      <c r="U94" s="268">
        <v>0</v>
      </c>
      <c r="V94" s="267"/>
      <c r="W94" s="268">
        <v>0</v>
      </c>
      <c r="X94" s="268">
        <v>0</v>
      </c>
      <c r="Y94" s="268">
        <v>0</v>
      </c>
      <c r="Z94" s="268">
        <v>0</v>
      </c>
      <c r="AA94" s="268"/>
      <c r="AB94" s="268">
        <v>0</v>
      </c>
      <c r="AC94" s="268">
        <v>0</v>
      </c>
      <c r="AD94" s="268">
        <v>0</v>
      </c>
      <c r="AE94" s="268">
        <v>0</v>
      </c>
      <c r="AF94" s="268"/>
      <c r="AG94" s="268">
        <v>0</v>
      </c>
      <c r="AH94" s="268">
        <v>0</v>
      </c>
      <c r="AI94" s="268">
        <v>0</v>
      </c>
      <c r="AJ94" s="268">
        <v>0</v>
      </c>
      <c r="AK94" s="268"/>
      <c r="AL94" s="268">
        <f>-0.3*0.2*1.5</f>
        <v>-0.09</v>
      </c>
      <c r="AM94" s="268">
        <f>-0.3*0.2*1.5</f>
        <v>-0.09</v>
      </c>
      <c r="AN94" s="268">
        <f>0.3*0.2*1.5</f>
        <v>0.09</v>
      </c>
      <c r="AO94" s="268">
        <f>0.3*0.2*1.5</f>
        <v>0.09</v>
      </c>
      <c r="AP94" s="268"/>
      <c r="AQ94" s="699">
        <v>0</v>
      </c>
      <c r="AR94" s="699">
        <v>0</v>
      </c>
      <c r="AS94" s="699">
        <v>0</v>
      </c>
      <c r="AT94" s="699">
        <v>0</v>
      </c>
      <c r="AU94" s="268"/>
      <c r="AV94" s="477">
        <v>0</v>
      </c>
      <c r="AW94" s="477">
        <v>0</v>
      </c>
      <c r="AX94" s="477">
        <v>0</v>
      </c>
      <c r="AY94" s="477">
        <v>0</v>
      </c>
      <c r="AZ94" s="268"/>
      <c r="BA94" s="699">
        <v>0</v>
      </c>
      <c r="BB94" s="699">
        <v>0</v>
      </c>
      <c r="BC94" s="699">
        <v>0</v>
      </c>
      <c r="BD94" s="699">
        <v>0</v>
      </c>
      <c r="BE94" s="268"/>
      <c r="BF94" s="268">
        <v>0</v>
      </c>
      <c r="BG94" s="268">
        <v>0</v>
      </c>
      <c r="BH94" s="268">
        <v>0</v>
      </c>
      <c r="BI94" s="268">
        <v>0</v>
      </c>
      <c r="BJ94" s="268"/>
      <c r="BK94" s="268">
        <v>0</v>
      </c>
      <c r="BL94" s="268">
        <v>0</v>
      </c>
      <c r="BM94" s="268">
        <v>0</v>
      </c>
      <c r="BN94" s="268">
        <v>0</v>
      </c>
      <c r="BO94" s="268"/>
      <c r="BP94" s="268">
        <f>-0.3*0.2*1.5</f>
        <v>-0.09</v>
      </c>
      <c r="BQ94" s="268">
        <f>-0.3*0.2*1.5</f>
        <v>-0.09</v>
      </c>
      <c r="BR94" s="268">
        <f>0.3*0.2*1.5</f>
        <v>0.09</v>
      </c>
      <c r="BS94" s="268">
        <f>0.3*0.2*1.5</f>
        <v>0.09</v>
      </c>
    </row>
    <row r="95" spans="1:71">
      <c r="A95" s="25" t="s">
        <v>1010</v>
      </c>
      <c r="B95" s="26" t="s">
        <v>1001</v>
      </c>
      <c r="C95" s="26"/>
      <c r="D95" s="26"/>
      <c r="E95" s="27"/>
      <c r="F95" s="196">
        <f>SF!F96</f>
        <v>13.813144457142862</v>
      </c>
      <c r="G95" s="211"/>
      <c r="H95" s="34"/>
      <c r="I95" s="196">
        <f>SF!I96</f>
        <v>6.9065722285714308</v>
      </c>
      <c r="J95" s="196">
        <f>SF!J96</f>
        <v>-2.142281818285714</v>
      </c>
      <c r="K95" s="265"/>
      <c r="L95" s="266"/>
      <c r="M95" s="268">
        <v>0</v>
      </c>
      <c r="N95" s="268">
        <v>0</v>
      </c>
      <c r="O95" s="268">
        <v>0</v>
      </c>
      <c r="P95" s="268">
        <v>0</v>
      </c>
      <c r="Q95" s="267"/>
      <c r="R95" s="268">
        <v>0</v>
      </c>
      <c r="S95" s="268">
        <v>0</v>
      </c>
      <c r="T95" s="268">
        <v>0</v>
      </c>
      <c r="U95" s="268">
        <v>0</v>
      </c>
      <c r="V95" s="267"/>
      <c r="W95" s="268">
        <v>0</v>
      </c>
      <c r="X95" s="268">
        <v>0</v>
      </c>
      <c r="Y95" s="268">
        <v>0</v>
      </c>
      <c r="Z95" s="268">
        <v>0</v>
      </c>
      <c r="AA95" s="268"/>
      <c r="AB95" s="268">
        <v>0</v>
      </c>
      <c r="AC95" s="268">
        <v>0</v>
      </c>
      <c r="AD95" s="268">
        <v>0</v>
      </c>
      <c r="AE95" s="268">
        <v>0</v>
      </c>
      <c r="AF95" s="268"/>
      <c r="AG95" s="268">
        <v>0</v>
      </c>
      <c r="AH95" s="268">
        <v>0</v>
      </c>
      <c r="AI95" s="268">
        <v>0</v>
      </c>
      <c r="AJ95" s="268">
        <v>0</v>
      </c>
      <c r="AK95" s="268"/>
      <c r="AL95" s="268">
        <f>-0.3*0.2*1.5</f>
        <v>-0.09</v>
      </c>
      <c r="AM95" s="268">
        <f>-0.3*0.2*1.5</f>
        <v>-0.09</v>
      </c>
      <c r="AN95" s="268">
        <f>0.3*0.2*1.5</f>
        <v>0.09</v>
      </c>
      <c r="AO95" s="268">
        <f>0.3*0.2*1.5</f>
        <v>0.09</v>
      </c>
      <c r="AP95" s="268"/>
      <c r="AQ95" s="699">
        <v>0</v>
      </c>
      <c r="AR95" s="699">
        <v>0</v>
      </c>
      <c r="AS95" s="699">
        <v>0</v>
      </c>
      <c r="AT95" s="699">
        <v>0</v>
      </c>
      <c r="AU95" s="268"/>
      <c r="AV95" s="477">
        <v>0</v>
      </c>
      <c r="AW95" s="477">
        <v>0</v>
      </c>
      <c r="AX95" s="477">
        <v>0</v>
      </c>
      <c r="AY95" s="477">
        <v>0</v>
      </c>
      <c r="AZ95" s="268"/>
      <c r="BA95" s="699">
        <v>0</v>
      </c>
      <c r="BB95" s="699">
        <v>0</v>
      </c>
      <c r="BC95" s="699">
        <v>0</v>
      </c>
      <c r="BD95" s="699">
        <v>0</v>
      </c>
      <c r="BE95" s="268"/>
      <c r="BF95" s="268">
        <v>0</v>
      </c>
      <c r="BG95" s="268">
        <v>0</v>
      </c>
      <c r="BH95" s="268">
        <v>0</v>
      </c>
      <c r="BI95" s="268">
        <v>0</v>
      </c>
      <c r="BJ95" s="268"/>
      <c r="BK95" s="268">
        <v>0</v>
      </c>
      <c r="BL95" s="268">
        <v>0</v>
      </c>
      <c r="BM95" s="268">
        <v>0</v>
      </c>
      <c r="BN95" s="268">
        <v>0</v>
      </c>
      <c r="BO95" s="268"/>
      <c r="BP95" s="268">
        <f>-0.3*0.2*1.5</f>
        <v>-0.09</v>
      </c>
      <c r="BQ95" s="268">
        <f>-0.3*0.2*1.5</f>
        <v>-0.09</v>
      </c>
      <c r="BR95" s="268">
        <f>0.3*0.2*1.5</f>
        <v>0.09</v>
      </c>
      <c r="BS95" s="268">
        <f>0.3*0.2*1.5</f>
        <v>0.09</v>
      </c>
    </row>
    <row r="96" spans="1:71">
      <c r="A96" s="69"/>
      <c r="B96" s="26"/>
      <c r="C96" s="26"/>
      <c r="D96" s="26"/>
      <c r="E96" s="27"/>
      <c r="F96" s="197"/>
      <c r="G96" s="211"/>
      <c r="H96" s="34"/>
      <c r="I96" s="197"/>
      <c r="J96" s="89"/>
      <c r="K96" s="265"/>
      <c r="L96" s="266"/>
      <c r="M96" s="268"/>
      <c r="N96" s="268"/>
      <c r="O96" s="268"/>
      <c r="P96" s="268"/>
      <c r="Q96" s="267"/>
      <c r="R96" s="268"/>
      <c r="S96" s="268"/>
      <c r="T96" s="268"/>
      <c r="U96" s="268"/>
      <c r="V96" s="267"/>
      <c r="W96" s="268"/>
      <c r="X96" s="268"/>
      <c r="Y96" s="268"/>
      <c r="Z96" s="268"/>
      <c r="AA96" s="268"/>
      <c r="AB96" s="268"/>
      <c r="AC96" s="268"/>
      <c r="AD96" s="268"/>
      <c r="AE96" s="268"/>
      <c r="AF96" s="268"/>
      <c r="AG96" s="268"/>
      <c r="AH96" s="268"/>
      <c r="AI96" s="268"/>
      <c r="AJ96" s="268"/>
      <c r="AK96" s="268"/>
      <c r="AL96" s="268"/>
      <c r="AM96" s="268"/>
      <c r="AN96" s="268"/>
      <c r="AO96" s="268"/>
      <c r="AP96" s="268"/>
      <c r="AQ96" s="699"/>
      <c r="AR96" s="699"/>
      <c r="AS96" s="699"/>
      <c r="AT96" s="699"/>
      <c r="AU96" s="268"/>
      <c r="AV96" s="477"/>
      <c r="AW96" s="477"/>
      <c r="AX96" s="477"/>
      <c r="AY96" s="477"/>
      <c r="AZ96" s="268"/>
      <c r="BA96" s="699"/>
      <c r="BB96" s="699"/>
      <c r="BC96" s="699"/>
      <c r="BD96" s="699"/>
      <c r="BE96" s="268"/>
      <c r="BF96" s="268"/>
      <c r="BG96" s="268"/>
      <c r="BH96" s="268"/>
      <c r="BI96" s="268"/>
      <c r="BJ96" s="268"/>
      <c r="BK96" s="268"/>
      <c r="BL96" s="268"/>
      <c r="BM96" s="268"/>
      <c r="BN96" s="268"/>
      <c r="BO96" s="268"/>
      <c r="BP96" s="268"/>
      <c r="BQ96" s="268"/>
      <c r="BR96" s="268"/>
      <c r="BS96" s="268"/>
    </row>
    <row r="97" spans="1:71">
      <c r="A97" s="25" t="s">
        <v>1011</v>
      </c>
      <c r="B97" s="26" t="s">
        <v>211</v>
      </c>
      <c r="C97" s="26"/>
      <c r="D97" s="26"/>
      <c r="E97" s="27"/>
      <c r="F97" s="196">
        <f>SF!F98</f>
        <v>17.865688175801139</v>
      </c>
      <c r="G97" s="211"/>
      <c r="H97" s="197"/>
      <c r="I97" s="196">
        <f>SF!I98</f>
        <v>0</v>
      </c>
      <c r="J97" s="196">
        <f>SF!J98</f>
        <v>0</v>
      </c>
      <c r="K97" s="265"/>
      <c r="L97" s="266"/>
      <c r="M97" s="268">
        <v>0</v>
      </c>
      <c r="N97" s="268">
        <v>0</v>
      </c>
      <c r="O97" s="268">
        <v>0</v>
      </c>
      <c r="P97" s="268">
        <v>0</v>
      </c>
      <c r="Q97" s="267"/>
      <c r="R97" s="268">
        <v>0</v>
      </c>
      <c r="S97" s="268">
        <v>0</v>
      </c>
      <c r="T97" s="268">
        <v>0</v>
      </c>
      <c r="U97" s="268">
        <v>0</v>
      </c>
      <c r="V97" s="267"/>
      <c r="W97" s="376">
        <f>-0.3*0.75</f>
        <v>-0.22499999999999998</v>
      </c>
      <c r="X97" s="376">
        <f>-0.3*0.75</f>
        <v>-0.22499999999999998</v>
      </c>
      <c r="Y97" s="376">
        <f>0.3*0.75</f>
        <v>0.22499999999999998</v>
      </c>
      <c r="Z97" s="376">
        <f>0.3*0.75</f>
        <v>0.22499999999999998</v>
      </c>
      <c r="AA97" s="376"/>
      <c r="AB97" s="376">
        <f>-0.3*1.5</f>
        <v>-0.44999999999999996</v>
      </c>
      <c r="AC97" s="376">
        <f>-0.3*1.5</f>
        <v>-0.44999999999999996</v>
      </c>
      <c r="AD97" s="376">
        <f>0.3*1.5</f>
        <v>0.44999999999999996</v>
      </c>
      <c r="AE97" s="376">
        <f>0.3*1.5</f>
        <v>0.44999999999999996</v>
      </c>
      <c r="AF97" s="376"/>
      <c r="AG97" s="268">
        <f>-0.3*1.5</f>
        <v>-0.44999999999999996</v>
      </c>
      <c r="AH97" s="268">
        <f>-0.3*1.5</f>
        <v>-0.44999999999999996</v>
      </c>
      <c r="AI97" s="268">
        <f>0.3*1.5</f>
        <v>0.44999999999999996</v>
      </c>
      <c r="AJ97" s="268">
        <f>0.3*1.5</f>
        <v>0.44999999999999996</v>
      </c>
      <c r="AK97" s="268"/>
      <c r="AL97" s="268">
        <f>-0.3*1.5</f>
        <v>-0.44999999999999996</v>
      </c>
      <c r="AM97" s="268">
        <f>-0.3*1.5</f>
        <v>-0.44999999999999996</v>
      </c>
      <c r="AN97" s="268">
        <f>0.3*1.5</f>
        <v>0.44999999999999996</v>
      </c>
      <c r="AO97" s="268">
        <f>0.3*1.5</f>
        <v>0.44999999999999996</v>
      </c>
      <c r="AP97" s="268"/>
      <c r="AQ97" s="699">
        <v>0</v>
      </c>
      <c r="AR97" s="699">
        <v>0</v>
      </c>
      <c r="AS97" s="699">
        <v>0</v>
      </c>
      <c r="AT97" s="699">
        <v>0</v>
      </c>
      <c r="AU97" s="268"/>
      <c r="AV97" s="477">
        <v>0</v>
      </c>
      <c r="AW97" s="477">
        <v>0</v>
      </c>
      <c r="AX97" s="477">
        <v>0</v>
      </c>
      <c r="AY97" s="477">
        <v>0</v>
      </c>
      <c r="AZ97" s="268"/>
      <c r="BA97" s="700">
        <f>-0.3*0.75</f>
        <v>-0.22499999999999998</v>
      </c>
      <c r="BB97" s="700">
        <f>-0.3*0.75</f>
        <v>-0.22499999999999998</v>
      </c>
      <c r="BC97" s="700">
        <f>0.3*0.75</f>
        <v>0.22499999999999998</v>
      </c>
      <c r="BD97" s="700">
        <f>0.3*0.75</f>
        <v>0.22499999999999998</v>
      </c>
      <c r="BE97" s="268"/>
      <c r="BF97" s="376">
        <f>-0.3*1.5</f>
        <v>-0.44999999999999996</v>
      </c>
      <c r="BG97" s="376">
        <f>-0.3*1.5</f>
        <v>-0.44999999999999996</v>
      </c>
      <c r="BH97" s="376">
        <f>0.3*1.5</f>
        <v>0.44999999999999996</v>
      </c>
      <c r="BI97" s="376">
        <f>0.3*1.5</f>
        <v>0.44999999999999996</v>
      </c>
      <c r="BJ97" s="268"/>
      <c r="BK97" s="268">
        <f>-0.3*1.5</f>
        <v>-0.44999999999999996</v>
      </c>
      <c r="BL97" s="268">
        <f>-0.3*1.5</f>
        <v>-0.44999999999999996</v>
      </c>
      <c r="BM97" s="268">
        <f>0.3*1.5</f>
        <v>0.44999999999999996</v>
      </c>
      <c r="BN97" s="268">
        <f>0.3*1.5</f>
        <v>0.44999999999999996</v>
      </c>
      <c r="BO97" s="268"/>
      <c r="BP97" s="268">
        <f>-0.3*1.5</f>
        <v>-0.44999999999999996</v>
      </c>
      <c r="BQ97" s="268">
        <f>-0.3*1.5</f>
        <v>-0.44999999999999996</v>
      </c>
      <c r="BR97" s="268">
        <f>0.3*1.5</f>
        <v>0.44999999999999996</v>
      </c>
      <c r="BS97" s="268">
        <f>0.3*1.5</f>
        <v>0.44999999999999996</v>
      </c>
    </row>
    <row r="98" spans="1:71">
      <c r="A98" s="25"/>
      <c r="B98" s="26"/>
      <c r="C98" s="26"/>
      <c r="D98" s="26"/>
      <c r="E98" s="27"/>
      <c r="F98" s="197"/>
      <c r="G98" s="211"/>
      <c r="H98" s="34"/>
      <c r="I98" s="197"/>
      <c r="J98" s="89"/>
      <c r="K98" s="265"/>
      <c r="L98" s="266"/>
      <c r="M98" s="268"/>
      <c r="N98" s="268"/>
      <c r="O98" s="268"/>
      <c r="P98" s="268"/>
      <c r="Q98" s="267"/>
      <c r="R98" s="268"/>
      <c r="S98" s="268"/>
      <c r="T98" s="268"/>
      <c r="U98" s="268"/>
      <c r="V98" s="267"/>
      <c r="W98" s="268"/>
      <c r="X98" s="268"/>
      <c r="Y98" s="268"/>
      <c r="Z98" s="268"/>
      <c r="AA98" s="268"/>
      <c r="AB98" s="268"/>
      <c r="AC98" s="268"/>
      <c r="AD98" s="268"/>
      <c r="AE98" s="268"/>
      <c r="AF98" s="268"/>
      <c r="AG98" s="268"/>
      <c r="AH98" s="268"/>
      <c r="AI98" s="268"/>
      <c r="AJ98" s="268"/>
      <c r="AK98" s="268"/>
      <c r="AL98" s="268"/>
      <c r="AM98" s="268"/>
      <c r="AN98" s="268"/>
      <c r="AO98" s="268"/>
      <c r="AP98" s="268"/>
      <c r="AQ98" s="699"/>
      <c r="AR98" s="699"/>
      <c r="AS98" s="699"/>
      <c r="AT98" s="699"/>
      <c r="AU98" s="268"/>
      <c r="AV98" s="477"/>
      <c r="AW98" s="477"/>
      <c r="AX98" s="477"/>
      <c r="AY98" s="477"/>
      <c r="AZ98" s="268"/>
      <c r="BA98" s="699"/>
      <c r="BB98" s="699"/>
      <c r="BC98" s="699"/>
      <c r="BD98" s="699"/>
      <c r="BE98" s="268"/>
      <c r="BF98" s="268"/>
      <c r="BG98" s="268"/>
      <c r="BH98" s="268"/>
      <c r="BI98" s="268"/>
      <c r="BJ98" s="268"/>
      <c r="BK98" s="268"/>
      <c r="BL98" s="268"/>
      <c r="BM98" s="268"/>
      <c r="BN98" s="268"/>
      <c r="BO98" s="268"/>
      <c r="BP98" s="268"/>
      <c r="BQ98" s="268"/>
      <c r="BR98" s="268"/>
      <c r="BS98" s="268"/>
    </row>
    <row r="99" spans="1:71">
      <c r="A99" s="693" t="s">
        <v>1136</v>
      </c>
      <c r="B99" s="688"/>
      <c r="C99" s="688"/>
      <c r="D99" s="688"/>
      <c r="E99" s="27"/>
      <c r="F99" s="197"/>
      <c r="G99" s="211"/>
      <c r="H99" s="34"/>
      <c r="I99" s="197"/>
      <c r="J99" s="89"/>
      <c r="K99" s="265"/>
      <c r="L99" s="266"/>
      <c r="M99" s="268"/>
      <c r="N99" s="268"/>
      <c r="O99" s="268"/>
      <c r="P99" s="268"/>
      <c r="Q99" s="267"/>
      <c r="R99" s="268"/>
      <c r="S99" s="268"/>
      <c r="T99" s="268"/>
      <c r="U99" s="268"/>
      <c r="V99" s="267"/>
      <c r="W99" s="268"/>
      <c r="X99" s="268"/>
      <c r="Y99" s="268"/>
      <c r="Z99" s="268"/>
      <c r="AA99" s="268"/>
      <c r="AB99" s="268"/>
      <c r="AC99" s="268"/>
      <c r="AD99" s="268"/>
      <c r="AE99" s="268"/>
      <c r="AF99" s="268"/>
      <c r="AG99" s="268"/>
      <c r="AH99" s="268"/>
      <c r="AI99" s="268"/>
      <c r="AJ99" s="268"/>
      <c r="AK99" s="268"/>
      <c r="AL99" s="268"/>
      <c r="AM99" s="268"/>
      <c r="AN99" s="268"/>
      <c r="AO99" s="268"/>
      <c r="AP99" s="268"/>
      <c r="AQ99" s="699"/>
      <c r="AR99" s="699"/>
      <c r="AS99" s="699"/>
      <c r="AT99" s="699"/>
      <c r="AU99" s="268"/>
      <c r="AV99" s="477"/>
      <c r="AW99" s="477"/>
      <c r="AX99" s="477"/>
      <c r="AY99" s="477"/>
      <c r="AZ99" s="268"/>
      <c r="BA99" s="699"/>
      <c r="BB99" s="699"/>
      <c r="BC99" s="699"/>
      <c r="BD99" s="699"/>
      <c r="BE99" s="268"/>
      <c r="BF99" s="268"/>
      <c r="BG99" s="268"/>
      <c r="BH99" s="268"/>
      <c r="BI99" s="268"/>
      <c r="BJ99" s="268"/>
      <c r="BK99" s="268"/>
      <c r="BL99" s="268"/>
      <c r="BM99" s="268"/>
      <c r="BN99" s="268"/>
      <c r="BO99" s="268"/>
      <c r="BP99" s="268"/>
      <c r="BQ99" s="268"/>
      <c r="BR99" s="268"/>
      <c r="BS99" s="268"/>
    </row>
    <row r="100" spans="1:71">
      <c r="A100" s="686" t="s">
        <v>1473</v>
      </c>
      <c r="B100" s="688" t="s">
        <v>1045</v>
      </c>
      <c r="C100" s="688"/>
      <c r="D100" s="688"/>
      <c r="E100" s="689"/>
      <c r="F100" s="695">
        <f>SF!F101</f>
        <v>21.56382</v>
      </c>
      <c r="G100" s="621"/>
      <c r="H100" s="620"/>
      <c r="I100" s="695">
        <f>SF!I101</f>
        <v>0</v>
      </c>
      <c r="J100" s="695">
        <f>SF!J101</f>
        <v>0</v>
      </c>
      <c r="K100" s="265"/>
      <c r="L100" s="266"/>
      <c r="M100" s="268"/>
      <c r="N100" s="268"/>
      <c r="O100" s="268"/>
      <c r="P100" s="268"/>
      <c r="Q100" s="267"/>
      <c r="R100" s="268"/>
      <c r="S100" s="268"/>
      <c r="T100" s="268"/>
      <c r="U100" s="268"/>
      <c r="V100" s="267"/>
      <c r="W100" s="376"/>
      <c r="X100" s="376"/>
      <c r="Y100" s="376"/>
      <c r="Z100" s="376"/>
      <c r="AA100" s="376"/>
      <c r="AB100" s="376"/>
      <c r="AC100" s="376"/>
      <c r="AD100" s="376"/>
      <c r="AE100" s="376"/>
      <c r="AF100" s="376"/>
      <c r="AG100" s="268"/>
      <c r="AH100" s="268"/>
      <c r="AI100" s="268"/>
      <c r="AJ100" s="268"/>
      <c r="AK100" s="268"/>
      <c r="AL100" s="268"/>
      <c r="AM100" s="268"/>
      <c r="AN100" s="268"/>
      <c r="AO100" s="268"/>
      <c r="AP100" s="268"/>
      <c r="AQ100" s="699">
        <v>0</v>
      </c>
      <c r="AR100" s="699">
        <v>0</v>
      </c>
      <c r="AS100" s="699">
        <v>0</v>
      </c>
      <c r="AT100" s="699">
        <v>0</v>
      </c>
      <c r="AU100" s="268"/>
      <c r="AV100" s="477">
        <v>0</v>
      </c>
      <c r="AW100" s="477">
        <v>0</v>
      </c>
      <c r="AX100" s="477">
        <v>0</v>
      </c>
      <c r="AY100" s="477">
        <v>0</v>
      </c>
      <c r="AZ100" s="268"/>
      <c r="BA100" s="700">
        <f>-0.3*0.75</f>
        <v>-0.22499999999999998</v>
      </c>
      <c r="BB100" s="700">
        <f>-0.3*0.75</f>
        <v>-0.22499999999999998</v>
      </c>
      <c r="BC100" s="700">
        <f>0.3*0.75</f>
        <v>0.22499999999999998</v>
      </c>
      <c r="BD100" s="700">
        <f>0.3*0.75</f>
        <v>0.22499999999999998</v>
      </c>
      <c r="BE100" s="268"/>
      <c r="BF100" s="376">
        <f>-0.3*1.5</f>
        <v>-0.44999999999999996</v>
      </c>
      <c r="BG100" s="376">
        <f>-0.3*1.5</f>
        <v>-0.44999999999999996</v>
      </c>
      <c r="BH100" s="376">
        <f>0.3*1.5</f>
        <v>0.44999999999999996</v>
      </c>
      <c r="BI100" s="376">
        <f>0.3*1.5</f>
        <v>0.44999999999999996</v>
      </c>
      <c r="BJ100" s="268"/>
      <c r="BK100" s="268">
        <f>-0.3*1.5</f>
        <v>-0.44999999999999996</v>
      </c>
      <c r="BL100" s="268">
        <f>-0.3*1.5</f>
        <v>-0.44999999999999996</v>
      </c>
      <c r="BM100" s="268">
        <f>0.3*1.5</f>
        <v>0.44999999999999996</v>
      </c>
      <c r="BN100" s="268">
        <f>0.3*1.5</f>
        <v>0.44999999999999996</v>
      </c>
      <c r="BO100" s="268"/>
      <c r="BP100" s="268">
        <f>-0.3*1.5</f>
        <v>-0.44999999999999996</v>
      </c>
      <c r="BQ100" s="268">
        <f>-0.3*1.5</f>
        <v>-0.44999999999999996</v>
      </c>
      <c r="BR100" s="268">
        <f>0.3*1.5</f>
        <v>0.44999999999999996</v>
      </c>
      <c r="BS100" s="268">
        <f>0.3*1.5</f>
        <v>0.44999999999999996</v>
      </c>
    </row>
    <row r="101" spans="1:71">
      <c r="A101" s="686"/>
      <c r="B101" s="688"/>
      <c r="C101" s="688"/>
      <c r="D101" s="688"/>
      <c r="E101" s="689"/>
      <c r="F101" s="695"/>
      <c r="G101" s="621"/>
      <c r="H101" s="620"/>
      <c r="I101" s="695"/>
      <c r="J101" s="695"/>
      <c r="K101" s="265"/>
      <c r="L101" s="266"/>
      <c r="M101" s="268"/>
      <c r="N101" s="268"/>
      <c r="O101" s="268"/>
      <c r="P101" s="268"/>
      <c r="Q101" s="267"/>
      <c r="R101" s="268"/>
      <c r="S101" s="268"/>
      <c r="T101" s="268"/>
      <c r="U101" s="268"/>
      <c r="V101" s="267"/>
      <c r="W101" s="376"/>
      <c r="X101" s="376"/>
      <c r="Y101" s="376"/>
      <c r="Z101" s="376"/>
      <c r="AA101" s="376"/>
      <c r="AB101" s="376"/>
      <c r="AC101" s="376"/>
      <c r="AD101" s="376"/>
      <c r="AE101" s="376"/>
      <c r="AF101" s="376"/>
      <c r="AG101" s="268"/>
      <c r="AH101" s="268"/>
      <c r="AI101" s="268"/>
      <c r="AJ101" s="268"/>
      <c r="AK101" s="268"/>
      <c r="AL101" s="268"/>
      <c r="AM101" s="268"/>
      <c r="AN101" s="268"/>
      <c r="AO101" s="268"/>
      <c r="AP101" s="268"/>
      <c r="AQ101" s="699"/>
      <c r="AR101" s="699"/>
      <c r="AS101" s="699"/>
      <c r="AT101" s="699"/>
      <c r="AU101" s="268"/>
      <c r="AV101" s="477"/>
      <c r="AW101" s="477"/>
      <c r="AX101" s="477"/>
      <c r="AY101" s="477"/>
      <c r="AZ101" s="268"/>
      <c r="BA101" s="700"/>
      <c r="BB101" s="700"/>
      <c r="BC101" s="700"/>
      <c r="BD101" s="700"/>
      <c r="BE101" s="268"/>
      <c r="BF101" s="376"/>
      <c r="BG101" s="376"/>
      <c r="BH101" s="376"/>
      <c r="BI101" s="376"/>
      <c r="BJ101" s="268"/>
      <c r="BK101" s="268"/>
      <c r="BL101" s="268"/>
      <c r="BM101" s="268"/>
      <c r="BN101" s="268"/>
      <c r="BO101" s="268"/>
      <c r="BP101" s="268"/>
      <c r="BQ101" s="268"/>
      <c r="BR101" s="268"/>
      <c r="BS101" s="268"/>
    </row>
    <row r="102" spans="1:71">
      <c r="A102" s="25"/>
      <c r="B102" s="26"/>
      <c r="C102" s="26"/>
      <c r="D102" s="26"/>
      <c r="E102" s="27"/>
      <c r="F102" s="197"/>
      <c r="G102" s="211"/>
      <c r="H102" s="197"/>
      <c r="I102" s="197"/>
      <c r="J102" s="89"/>
      <c r="K102" s="25"/>
      <c r="L102" s="26"/>
      <c r="M102" s="376"/>
      <c r="N102" s="376"/>
      <c r="O102" s="376"/>
      <c r="P102" s="376"/>
      <c r="Q102" s="34"/>
      <c r="R102" s="376"/>
      <c r="S102" s="376"/>
      <c r="T102" s="376"/>
      <c r="U102" s="376"/>
      <c r="V102" s="34"/>
      <c r="W102" s="376"/>
      <c r="X102" s="376"/>
      <c r="Y102" s="376"/>
      <c r="Z102" s="376"/>
      <c r="AA102" s="376"/>
      <c r="AB102" s="376"/>
      <c r="AC102" s="376"/>
      <c r="AD102" s="376"/>
      <c r="AE102" s="376"/>
      <c r="AF102" s="376"/>
      <c r="AG102" s="376"/>
      <c r="AH102" s="376"/>
      <c r="AI102" s="376"/>
      <c r="AJ102" s="376"/>
      <c r="AK102" s="376"/>
      <c r="AL102" s="376"/>
      <c r="AM102" s="376"/>
      <c r="AN102" s="376"/>
      <c r="AO102" s="376"/>
      <c r="AP102" s="376"/>
      <c r="AQ102" s="699"/>
      <c r="AR102" s="699"/>
      <c r="AS102" s="699"/>
      <c r="AT102" s="699"/>
      <c r="AU102" s="376"/>
      <c r="AV102" s="477"/>
      <c r="AW102" s="477"/>
      <c r="AX102" s="477"/>
      <c r="AY102" s="477"/>
      <c r="AZ102" s="376"/>
      <c r="BA102" s="700"/>
      <c r="BB102" s="700"/>
      <c r="BC102" s="700"/>
      <c r="BD102" s="700"/>
      <c r="BE102" s="376"/>
      <c r="BF102" s="376"/>
      <c r="BG102" s="376"/>
      <c r="BH102" s="376"/>
      <c r="BI102" s="376"/>
      <c r="BJ102" s="376"/>
      <c r="BK102" s="268"/>
      <c r="BL102" s="268"/>
      <c r="BM102" s="268"/>
      <c r="BN102" s="268"/>
      <c r="BO102" s="376"/>
      <c r="BP102" s="268"/>
      <c r="BQ102" s="268"/>
      <c r="BR102" s="268"/>
      <c r="BS102" s="268"/>
    </row>
    <row r="103" spans="1:71">
      <c r="A103" s="253"/>
      <c r="B103" s="15"/>
      <c r="C103" s="15"/>
      <c r="D103" s="15"/>
      <c r="E103" s="22"/>
      <c r="F103" s="212"/>
      <c r="G103" s="213"/>
      <c r="H103" s="198"/>
      <c r="I103" s="198"/>
      <c r="J103" s="58"/>
      <c r="K103" s="74"/>
      <c r="L103" s="75"/>
      <c r="M103" s="379"/>
      <c r="N103" s="379"/>
      <c r="O103" s="379"/>
      <c r="P103" s="379"/>
      <c r="Q103" s="379"/>
      <c r="R103" s="379"/>
      <c r="S103" s="379"/>
      <c r="T103" s="379"/>
      <c r="U103" s="379"/>
      <c r="V103" s="379"/>
      <c r="W103" s="379"/>
      <c r="X103" s="379"/>
      <c r="Y103" s="379"/>
      <c r="Z103" s="379"/>
      <c r="AA103" s="379"/>
      <c r="AB103" s="379"/>
      <c r="AC103" s="379"/>
      <c r="AD103" s="379"/>
      <c r="AE103" s="379"/>
      <c r="AF103" s="379"/>
      <c r="AG103" s="379"/>
      <c r="AH103" s="379"/>
      <c r="AI103" s="379"/>
      <c r="AJ103" s="379"/>
      <c r="AK103" s="379"/>
      <c r="AL103" s="379"/>
      <c r="AM103" s="379"/>
      <c r="AN103" s="379"/>
      <c r="AO103" s="379"/>
      <c r="AP103" s="379"/>
      <c r="AQ103" s="703"/>
      <c r="AR103" s="703"/>
      <c r="AS103" s="703"/>
      <c r="AT103" s="703"/>
      <c r="AU103" s="379"/>
      <c r="AV103" s="996"/>
      <c r="AW103" s="996"/>
      <c r="AX103" s="996"/>
      <c r="AY103" s="996"/>
      <c r="AZ103" s="379"/>
      <c r="BA103" s="703"/>
      <c r="BB103" s="703"/>
      <c r="BC103" s="703"/>
      <c r="BD103" s="703"/>
      <c r="BE103" s="379"/>
      <c r="BF103" s="379"/>
      <c r="BG103" s="379"/>
      <c r="BH103" s="379"/>
      <c r="BI103" s="379"/>
      <c r="BJ103" s="379"/>
      <c r="BK103" s="379"/>
      <c r="BL103" s="379"/>
      <c r="BM103" s="379"/>
      <c r="BN103" s="379"/>
      <c r="BO103" s="379"/>
      <c r="BP103" s="379"/>
      <c r="BQ103" s="379"/>
      <c r="BR103" s="379"/>
      <c r="BS103" s="379"/>
    </row>
    <row r="104" spans="1:71">
      <c r="A104" s="46"/>
      <c r="B104" s="46"/>
      <c r="C104" s="46"/>
      <c r="D104" s="46"/>
      <c r="E104" s="46"/>
      <c r="F104" s="46"/>
      <c r="G104" s="46"/>
      <c r="H104" s="46"/>
      <c r="I104" s="46"/>
      <c r="J104" s="46"/>
      <c r="AV104" s="78"/>
      <c r="AW104" s="78"/>
      <c r="AX104" s="78"/>
      <c r="AY104" s="78"/>
    </row>
    <row r="105" spans="1:71">
      <c r="A105" s="220" t="s">
        <v>73</v>
      </c>
      <c r="B105" s="220" t="s">
        <v>74</v>
      </c>
      <c r="C105" s="200"/>
      <c r="D105" s="200"/>
      <c r="E105" s="217"/>
      <c r="F105" s="1636" t="s">
        <v>72</v>
      </c>
      <c r="G105" s="1637"/>
      <c r="H105" s="1637"/>
      <c r="I105" s="1637"/>
      <c r="J105" s="1638"/>
      <c r="AV105" s="78"/>
      <c r="AW105" s="78"/>
      <c r="AX105" s="78"/>
      <c r="AY105" s="78"/>
    </row>
    <row r="106" spans="1:71" ht="18">
      <c r="A106" s="221"/>
      <c r="B106" s="221"/>
      <c r="C106" s="201"/>
      <c r="D106" s="201"/>
      <c r="E106" s="219"/>
      <c r="F106" s="223" t="s">
        <v>23</v>
      </c>
      <c r="G106" s="223" t="s">
        <v>87</v>
      </c>
      <c r="H106" s="223" t="s">
        <v>212</v>
      </c>
      <c r="I106" s="223" t="s">
        <v>80</v>
      </c>
      <c r="J106" s="223" t="s">
        <v>81</v>
      </c>
      <c r="AV106" s="78"/>
      <c r="AW106" s="78"/>
      <c r="AX106" s="78"/>
      <c r="AY106" s="78"/>
    </row>
    <row r="107" spans="1:71">
      <c r="A107" s="222"/>
      <c r="B107" s="222"/>
      <c r="C107" s="203"/>
      <c r="D107" s="203"/>
      <c r="E107" s="218"/>
      <c r="F107" s="204" t="s">
        <v>34</v>
      </c>
      <c r="G107" s="204" t="s">
        <v>34</v>
      </c>
      <c r="H107" s="203" t="s">
        <v>34</v>
      </c>
      <c r="I107" s="204" t="s">
        <v>77</v>
      </c>
      <c r="J107" s="204" t="s">
        <v>77</v>
      </c>
      <c r="AV107" s="78"/>
      <c r="AW107" s="78"/>
      <c r="AX107" s="78"/>
      <c r="AY107" s="78"/>
    </row>
    <row r="108" spans="1:71">
      <c r="A108" s="202"/>
      <c r="B108" s="200"/>
      <c r="C108" s="200"/>
      <c r="D108" s="200"/>
      <c r="E108" s="217"/>
      <c r="F108" s="205"/>
      <c r="G108" s="205"/>
      <c r="H108" s="201"/>
      <c r="I108" s="205"/>
      <c r="J108" s="205"/>
      <c r="AV108" s="78"/>
      <c r="AW108" s="78"/>
      <c r="AX108" s="78"/>
      <c r="AY108" s="78"/>
    </row>
    <row r="109" spans="1:71">
      <c r="A109" s="205" t="str">
        <f>A10</f>
        <v>LC-1</v>
      </c>
      <c r="B109" s="201" t="str">
        <f>B10</f>
        <v>NS LWL Span dislodge case Comb-1</v>
      </c>
      <c r="C109" s="201"/>
      <c r="D109" s="201"/>
      <c r="E109" s="219"/>
      <c r="F109" s="205">
        <f>SUMPRODUCT(F13:F102,$M$13:$M$102)</f>
        <v>962.48653816786953</v>
      </c>
      <c r="G109" s="219">
        <f>SUMPRODUCT(G13:G102,$M$13:$M$102)</f>
        <v>21.9495</v>
      </c>
      <c r="H109" s="219">
        <f>SUMPRODUCT(H13:H102,$M$13:$M$102)</f>
        <v>0</v>
      </c>
      <c r="I109" s="219">
        <f>SUMPRODUCT(I13:I102,$M$13:$M$102)</f>
        <v>381.07173499999999</v>
      </c>
      <c r="J109" s="219">
        <f>SUMPRODUCT(J13:J102,$M$13:$M$102)</f>
        <v>0</v>
      </c>
      <c r="AV109" s="78"/>
      <c r="AW109" s="78"/>
      <c r="AX109" s="78"/>
      <c r="AY109" s="78"/>
    </row>
    <row r="110" spans="1:71">
      <c r="A110" s="204"/>
      <c r="B110" s="203"/>
      <c r="C110" s="203"/>
      <c r="D110" s="203"/>
      <c r="E110" s="218"/>
      <c r="F110" s="204"/>
      <c r="G110" s="204"/>
      <c r="H110" s="203"/>
      <c r="I110" s="204"/>
      <c r="J110" s="204"/>
    </row>
    <row r="112" spans="1:71">
      <c r="A112" s="112" t="str">
        <f>A109</f>
        <v>LC-1</v>
      </c>
      <c r="B112" s="112" t="str">
        <f>B109</f>
        <v>NS LWL Span dislodge case Comb-1</v>
      </c>
      <c r="C112" s="11"/>
      <c r="D112" s="11"/>
      <c r="E112" s="191"/>
    </row>
  </sheetData>
  <mergeCells count="2">
    <mergeCell ref="F10:J10"/>
    <mergeCell ref="F105:J105"/>
  </mergeCells>
  <pageMargins left="0.59055118110236227" right="0.15748031496062992" top="0.59055118110236227" bottom="0.15748031496062992" header="0.31496062992125984" footer="0.31496062992125984"/>
  <pageSetup paperSize="9" orientation="portrait" r:id="rId1"/>
  <legacyDrawing r:id="rId2"/>
</worksheet>
</file>

<file path=xl/worksheets/sheet22.xml><?xml version="1.0" encoding="utf-8"?>
<worksheet xmlns="http://schemas.openxmlformats.org/spreadsheetml/2006/main" xmlns:r="http://schemas.openxmlformats.org/officeDocument/2006/relationships">
  <sheetPr codeName="Sheet25">
    <tabColor theme="5" tint="0.59999389629810485"/>
  </sheetPr>
  <dimension ref="A1:M1594"/>
  <sheetViews>
    <sheetView view="pageBreakPreview" topLeftCell="A1570" zoomScaleSheetLayoutView="100" workbookViewId="0">
      <selection activeCell="R13" sqref="R13"/>
    </sheetView>
  </sheetViews>
  <sheetFormatPr defaultColWidth="7.7109375" defaultRowHeight="15"/>
  <cols>
    <col min="1" max="11" width="7.7109375" style="1"/>
    <col min="12" max="12" width="7.7109375" style="26"/>
    <col min="13" max="13" width="7.7109375" style="87"/>
    <col min="14" max="16384" width="7.7109375" style="1"/>
  </cols>
  <sheetData>
    <row r="1" spans="1:13">
      <c r="A1" s="1" t="s">
        <v>1821</v>
      </c>
    </row>
    <row r="2" spans="1:13">
      <c r="A2" s="1" t="s">
        <v>1822</v>
      </c>
    </row>
    <row r="3" spans="1:13">
      <c r="A3" s="1" t="s">
        <v>221</v>
      </c>
    </row>
    <row r="5" spans="1:13">
      <c r="M5" s="1"/>
    </row>
    <row r="6" spans="1:13">
      <c r="M6" s="1"/>
    </row>
    <row r="7" spans="1:13">
      <c r="A7" s="811" t="str">
        <f>K7</f>
        <v>LC-1</v>
      </c>
      <c r="B7" s="31" t="str">
        <f>VLOOKUP(A7,LC_DEF_2!A45:B92,2,FALSE)</f>
        <v>NS LWL Span dislodge case Comb-1</v>
      </c>
      <c r="C7" s="31"/>
      <c r="D7" s="31"/>
      <c r="E7" s="32"/>
      <c r="F7" s="1599" t="s">
        <v>742</v>
      </c>
      <c r="G7" s="1635"/>
      <c r="H7" s="1635"/>
      <c r="I7" s="1635"/>
      <c r="J7" s="1600"/>
      <c r="K7" s="1580" t="s">
        <v>122</v>
      </c>
      <c r="L7" s="293"/>
    </row>
    <row r="8" spans="1:13" ht="18">
      <c r="A8" s="25" t="s">
        <v>73</v>
      </c>
      <c r="B8" s="26" t="s">
        <v>74</v>
      </c>
      <c r="C8" s="26"/>
      <c r="D8" s="26"/>
      <c r="E8" s="27"/>
      <c r="F8" s="58" t="s">
        <v>23</v>
      </c>
      <c r="G8" s="58" t="s">
        <v>87</v>
      </c>
      <c r="H8" s="58" t="s">
        <v>212</v>
      </c>
      <c r="I8" s="58" t="s">
        <v>80</v>
      </c>
      <c r="J8" s="58" t="s">
        <v>81</v>
      </c>
      <c r="K8" s="433"/>
      <c r="L8" s="293"/>
    </row>
    <row r="9" spans="1:13">
      <c r="A9" s="25"/>
      <c r="B9" s="26"/>
      <c r="C9" s="26"/>
      <c r="D9" s="26"/>
      <c r="E9" s="27"/>
      <c r="F9" s="36" t="s">
        <v>34</v>
      </c>
      <c r="G9" s="36" t="s">
        <v>34</v>
      </c>
      <c r="H9" s="36" t="s">
        <v>34</v>
      </c>
      <c r="I9" s="36" t="s">
        <v>77</v>
      </c>
      <c r="J9" s="36" t="s">
        <v>77</v>
      </c>
      <c r="K9" s="433"/>
      <c r="L9" s="293"/>
    </row>
    <row r="10" spans="1:13">
      <c r="A10" s="25" t="s">
        <v>88</v>
      </c>
      <c r="B10" s="26" t="s">
        <v>75</v>
      </c>
      <c r="C10" s="26"/>
      <c r="D10" s="26"/>
      <c r="E10" s="27"/>
      <c r="F10" s="195">
        <f>SF!F14</f>
        <v>365.08803866482532</v>
      </c>
      <c r="G10" s="210"/>
      <c r="H10" s="34"/>
      <c r="I10" s="195">
        <f>SF!I14</f>
        <v>0</v>
      </c>
      <c r="J10" s="195">
        <f>SF!J14</f>
        <v>0</v>
      </c>
      <c r="K10" s="511">
        <v>1.35</v>
      </c>
      <c r="L10" s="266"/>
    </row>
    <row r="11" spans="1:13">
      <c r="A11" s="25" t="s">
        <v>90</v>
      </c>
      <c r="B11" s="26" t="s">
        <v>249</v>
      </c>
      <c r="C11" s="26"/>
      <c r="D11" s="26"/>
      <c r="E11" s="27"/>
      <c r="F11" s="195">
        <f>SF!F16</f>
        <v>36.639026644707663</v>
      </c>
      <c r="G11" s="210"/>
      <c r="H11" s="34"/>
      <c r="I11" s="195">
        <f>SF!I16</f>
        <v>0</v>
      </c>
      <c r="J11" s="195">
        <f>SF!J16</f>
        <v>0</v>
      </c>
      <c r="K11" s="511">
        <v>1.35</v>
      </c>
      <c r="L11" s="266"/>
    </row>
    <row r="12" spans="1:13">
      <c r="A12" s="25" t="s">
        <v>250</v>
      </c>
      <c r="B12" s="26" t="s">
        <v>970</v>
      </c>
      <c r="C12" s="26"/>
      <c r="D12" s="26"/>
      <c r="E12" s="27"/>
      <c r="F12" s="195">
        <f>SF!F23</f>
        <v>230</v>
      </c>
      <c r="G12" s="27"/>
      <c r="H12" s="34"/>
      <c r="I12" s="195">
        <f>SF!I23</f>
        <v>115</v>
      </c>
      <c r="J12" s="195">
        <f>SF!J23</f>
        <v>0</v>
      </c>
      <c r="K12" s="433">
        <v>1.35</v>
      </c>
      <c r="L12" s="11"/>
    </row>
    <row r="13" spans="1:13">
      <c r="A13" s="25" t="s">
        <v>251</v>
      </c>
      <c r="B13" s="26" t="s">
        <v>971</v>
      </c>
      <c r="C13" s="26"/>
      <c r="D13" s="26"/>
      <c r="E13" s="27"/>
      <c r="F13" s="195">
        <f>SF!F24</f>
        <v>20.660000000000004</v>
      </c>
      <c r="G13" s="27"/>
      <c r="H13" s="34"/>
      <c r="I13" s="195">
        <f>SF!I24</f>
        <v>10.330000000000002</v>
      </c>
      <c r="J13" s="195">
        <f>SF!J24</f>
        <v>0</v>
      </c>
      <c r="K13" s="433">
        <v>1.75</v>
      </c>
      <c r="L13" s="266"/>
    </row>
    <row r="14" spans="1:13">
      <c r="A14" s="25" t="s">
        <v>97</v>
      </c>
      <c r="B14" s="26" t="s">
        <v>972</v>
      </c>
      <c r="C14" s="26"/>
      <c r="D14" s="26"/>
      <c r="E14" s="27"/>
      <c r="F14" s="195">
        <f>SF!F25</f>
        <v>42</v>
      </c>
      <c r="G14" s="27"/>
      <c r="H14" s="34"/>
      <c r="I14" s="195">
        <f>SF!I25</f>
        <v>14.858499999999999</v>
      </c>
      <c r="J14" s="195">
        <f>SF!J25</f>
        <v>0</v>
      </c>
      <c r="K14" s="511">
        <v>1.75</v>
      </c>
      <c r="L14" s="11"/>
    </row>
    <row r="15" spans="1:13">
      <c r="A15" s="25" t="s">
        <v>987</v>
      </c>
      <c r="B15" s="163" t="s">
        <v>957</v>
      </c>
      <c r="C15" s="26"/>
      <c r="D15" s="26"/>
      <c r="E15" s="27"/>
      <c r="F15" s="34"/>
      <c r="G15" s="195">
        <f>SF!G41</f>
        <v>14.632999999999999</v>
      </c>
      <c r="H15" s="34"/>
      <c r="I15" s="195">
        <f>SF!I41</f>
        <v>121.16124000000001</v>
      </c>
      <c r="J15" s="34"/>
      <c r="K15" s="433">
        <v>1.5</v>
      </c>
      <c r="L15" s="266"/>
    </row>
    <row r="16" spans="1:13">
      <c r="A16" s="253"/>
      <c r="B16" s="15"/>
      <c r="C16" s="15"/>
      <c r="D16" s="15"/>
      <c r="E16" s="22"/>
      <c r="F16" s="212"/>
      <c r="G16" s="213"/>
      <c r="H16" s="198"/>
      <c r="I16" s="198"/>
      <c r="J16" s="58"/>
      <c r="K16" s="208"/>
      <c r="L16" s="293"/>
    </row>
    <row r="17" spans="1:12">
      <c r="A17" s="46"/>
      <c r="B17" s="46"/>
      <c r="C17" s="46"/>
      <c r="D17" s="46"/>
      <c r="E17" s="46"/>
      <c r="F17" s="46"/>
      <c r="G17" s="46"/>
      <c r="H17" s="46"/>
      <c r="I17" s="46"/>
      <c r="J17" s="46"/>
      <c r="K17" s="87"/>
      <c r="L17" s="293"/>
    </row>
    <row r="18" spans="1:12">
      <c r="A18" s="220" t="s">
        <v>73</v>
      </c>
      <c r="B18" s="220" t="s">
        <v>74</v>
      </c>
      <c r="C18" s="200"/>
      <c r="D18" s="200"/>
      <c r="E18" s="217"/>
      <c r="F18" s="1636" t="s">
        <v>72</v>
      </c>
      <c r="G18" s="1637"/>
      <c r="H18" s="1637"/>
      <c r="I18" s="1637"/>
      <c r="J18" s="1638"/>
      <c r="K18" s="87"/>
      <c r="L18" s="293"/>
    </row>
    <row r="19" spans="1:12" ht="18">
      <c r="A19" s="221"/>
      <c r="B19" s="221"/>
      <c r="C19" s="201"/>
      <c r="D19" s="201"/>
      <c r="E19" s="219"/>
      <c r="F19" s="223" t="s">
        <v>23</v>
      </c>
      <c r="G19" s="223" t="s">
        <v>87</v>
      </c>
      <c r="H19" s="223" t="s">
        <v>212</v>
      </c>
      <c r="I19" s="223" t="s">
        <v>80</v>
      </c>
      <c r="J19" s="223" t="s">
        <v>81</v>
      </c>
      <c r="K19" s="87"/>
      <c r="L19" s="293"/>
    </row>
    <row r="20" spans="1:12">
      <c r="A20" s="222"/>
      <c r="B20" s="222"/>
      <c r="C20" s="203"/>
      <c r="D20" s="203"/>
      <c r="E20" s="218"/>
      <c r="F20" s="204" t="s">
        <v>34</v>
      </c>
      <c r="G20" s="204" t="s">
        <v>34</v>
      </c>
      <c r="H20" s="203" t="s">
        <v>34</v>
      </c>
      <c r="I20" s="204" t="s">
        <v>77</v>
      </c>
      <c r="J20" s="204" t="s">
        <v>77</v>
      </c>
      <c r="K20" s="87"/>
      <c r="L20" s="293"/>
    </row>
    <row r="21" spans="1:12">
      <c r="A21" s="202"/>
      <c r="B21" s="200"/>
      <c r="C21" s="200"/>
      <c r="D21" s="200"/>
      <c r="E21" s="217"/>
      <c r="F21" s="205"/>
      <c r="G21" s="205"/>
      <c r="H21" s="201"/>
      <c r="I21" s="205"/>
      <c r="J21" s="205"/>
      <c r="K21" s="87"/>
      <c r="L21" s="293"/>
    </row>
    <row r="22" spans="1:12">
      <c r="A22" s="205" t="str">
        <f>A7</f>
        <v>LC-1</v>
      </c>
      <c r="B22" s="201" t="str">
        <f>B7</f>
        <v>NS LWL Span dislodge case Comb-1</v>
      </c>
      <c r="C22" s="201"/>
      <c r="D22" s="201"/>
      <c r="E22" s="219"/>
      <c r="F22" s="205">
        <f>SUMPRODUCT(F10:F15,$K$10:$K$15)</f>
        <v>962.48653816786953</v>
      </c>
      <c r="G22" s="219">
        <f>SUMPRODUCT(G10:G15,$K$10:$K$15)</f>
        <v>21.9495</v>
      </c>
      <c r="H22" s="219">
        <f>SUMPRODUCT(H10:H15,$K$10:$K$15)</f>
        <v>0</v>
      </c>
      <c r="I22" s="219">
        <f>SUMPRODUCT(I10:I15,$K$10:$K$15)</f>
        <v>381.07173499999999</v>
      </c>
      <c r="J22" s="219">
        <f>SUMPRODUCT(J10:J15,$K$10:$K$15)</f>
        <v>0</v>
      </c>
      <c r="K22" s="87"/>
      <c r="L22" s="293"/>
    </row>
    <row r="23" spans="1:12">
      <c r="A23" s="204"/>
      <c r="B23" s="203"/>
      <c r="C23" s="203"/>
      <c r="D23" s="203"/>
      <c r="E23" s="218"/>
      <c r="F23" s="204"/>
      <c r="G23" s="204"/>
      <c r="H23" s="203"/>
      <c r="I23" s="204"/>
      <c r="J23" s="204"/>
      <c r="K23" s="87"/>
      <c r="L23" s="293"/>
    </row>
    <row r="26" spans="1:12">
      <c r="A26" s="811" t="str">
        <f>K26</f>
        <v>LC-2</v>
      </c>
      <c r="B26" s="31" t="str">
        <f>VLOOKUP(A26,LC_DEF_2!A45:B92,2,FALSE)</f>
        <v>NS LWL No Live load  Comb-1</v>
      </c>
      <c r="C26" s="31"/>
      <c r="D26" s="31"/>
      <c r="E26" s="32"/>
      <c r="F26" s="1599" t="s">
        <v>742</v>
      </c>
      <c r="G26" s="1635"/>
      <c r="H26" s="1635"/>
      <c r="I26" s="1635"/>
      <c r="J26" s="1600"/>
      <c r="K26" s="1580" t="s">
        <v>123</v>
      </c>
      <c r="L26" s="293"/>
    </row>
    <row r="27" spans="1:12" ht="18">
      <c r="A27" s="25" t="s">
        <v>73</v>
      </c>
      <c r="B27" s="26" t="s">
        <v>74</v>
      </c>
      <c r="C27" s="26"/>
      <c r="D27" s="26"/>
      <c r="E27" s="27"/>
      <c r="F27" s="58" t="s">
        <v>23</v>
      </c>
      <c r="G27" s="58" t="s">
        <v>87</v>
      </c>
      <c r="H27" s="58" t="s">
        <v>212</v>
      </c>
      <c r="I27" s="58" t="s">
        <v>80</v>
      </c>
      <c r="J27" s="58" t="s">
        <v>81</v>
      </c>
      <c r="K27" s="433"/>
      <c r="L27" s="293"/>
    </row>
    <row r="28" spans="1:12">
      <c r="A28" s="25"/>
      <c r="B28" s="26"/>
      <c r="C28" s="26"/>
      <c r="D28" s="26"/>
      <c r="E28" s="27"/>
      <c r="F28" s="36" t="s">
        <v>34</v>
      </c>
      <c r="G28" s="36" t="s">
        <v>34</v>
      </c>
      <c r="H28" s="36" t="s">
        <v>34</v>
      </c>
      <c r="I28" s="36" t="s">
        <v>77</v>
      </c>
      <c r="J28" s="36" t="s">
        <v>77</v>
      </c>
      <c r="K28" s="433"/>
      <c r="L28" s="293"/>
    </row>
    <row r="29" spans="1:12">
      <c r="A29" s="25" t="s">
        <v>88</v>
      </c>
      <c r="B29" s="26" t="s">
        <v>75</v>
      </c>
      <c r="C29" s="26"/>
      <c r="D29" s="26"/>
      <c r="E29" s="27"/>
      <c r="F29" s="195">
        <f>SF!F14</f>
        <v>365.08803866482532</v>
      </c>
      <c r="G29" s="210"/>
      <c r="H29" s="34"/>
      <c r="I29" s="195">
        <f>SF!I14</f>
        <v>0</v>
      </c>
      <c r="J29" s="195">
        <f>SF!J14</f>
        <v>0</v>
      </c>
      <c r="K29" s="511">
        <v>1.35</v>
      </c>
      <c r="L29" s="266"/>
    </row>
    <row r="30" spans="1:12">
      <c r="A30" s="25" t="s">
        <v>90</v>
      </c>
      <c r="B30" s="26" t="s">
        <v>249</v>
      </c>
      <c r="C30" s="26"/>
      <c r="D30" s="26"/>
      <c r="E30" s="27"/>
      <c r="F30" s="195">
        <f>SF!F16</f>
        <v>36.639026644707663</v>
      </c>
      <c r="G30" s="210"/>
      <c r="H30" s="34"/>
      <c r="I30" s="195">
        <f>SF!I16</f>
        <v>0</v>
      </c>
      <c r="J30" s="195">
        <f>SF!J16</f>
        <v>0</v>
      </c>
      <c r="K30" s="511">
        <v>1.35</v>
      </c>
      <c r="L30" s="266"/>
    </row>
    <row r="31" spans="1:12">
      <c r="A31" s="25" t="s">
        <v>250</v>
      </c>
      <c r="B31" s="26" t="s">
        <v>967</v>
      </c>
      <c r="C31" s="26"/>
      <c r="D31" s="26"/>
      <c r="E31" s="27"/>
      <c r="F31" s="195">
        <f>SF!F19</f>
        <v>230</v>
      </c>
      <c r="G31" s="27"/>
      <c r="H31" s="34"/>
      <c r="I31" s="195">
        <f>SF!I19</f>
        <v>-115</v>
      </c>
      <c r="J31" s="195">
        <f>SF!J19</f>
        <v>0</v>
      </c>
      <c r="K31" s="433">
        <v>1.35</v>
      </c>
      <c r="L31" s="11"/>
    </row>
    <row r="32" spans="1:12">
      <c r="A32" s="25" t="s">
        <v>251</v>
      </c>
      <c r="B32" s="26" t="s">
        <v>968</v>
      </c>
      <c r="C32" s="26"/>
      <c r="D32" s="26"/>
      <c r="E32" s="27"/>
      <c r="F32" s="195">
        <f>SF!F20</f>
        <v>20.660000000000004</v>
      </c>
      <c r="G32" s="27"/>
      <c r="H32" s="34"/>
      <c r="I32" s="195">
        <f>SF!I20</f>
        <v>-10.330000000000002</v>
      </c>
      <c r="J32" s="195">
        <f>SF!J20</f>
        <v>0</v>
      </c>
      <c r="K32" s="433">
        <v>1.35</v>
      </c>
      <c r="L32" s="11"/>
    </row>
    <row r="33" spans="1:12">
      <c r="A33" s="25" t="s">
        <v>97</v>
      </c>
      <c r="B33" s="26" t="s">
        <v>969</v>
      </c>
      <c r="C33" s="26"/>
      <c r="D33" s="26"/>
      <c r="E33" s="27"/>
      <c r="F33" s="195">
        <f>SF!F21</f>
        <v>42</v>
      </c>
      <c r="G33" s="27"/>
      <c r="H33" s="34"/>
      <c r="I33" s="195">
        <f>SF!I21</f>
        <v>-14.858499999999999</v>
      </c>
      <c r="J33" s="195">
        <f>SF!J21</f>
        <v>0</v>
      </c>
      <c r="K33" s="433">
        <v>1.35</v>
      </c>
      <c r="L33" s="11"/>
    </row>
    <row r="34" spans="1:12">
      <c r="A34" s="25" t="s">
        <v>250</v>
      </c>
      <c r="B34" s="26" t="s">
        <v>970</v>
      </c>
      <c r="C34" s="26"/>
      <c r="D34" s="26"/>
      <c r="E34" s="27"/>
      <c r="F34" s="195">
        <f>SF!F23</f>
        <v>230</v>
      </c>
      <c r="G34" s="27"/>
      <c r="H34" s="34"/>
      <c r="I34" s="195">
        <f>SF!I23</f>
        <v>115</v>
      </c>
      <c r="J34" s="195">
        <f>SF!J23</f>
        <v>0</v>
      </c>
      <c r="K34" s="433">
        <v>1.35</v>
      </c>
      <c r="L34" s="11"/>
    </row>
    <row r="35" spans="1:12">
      <c r="A35" s="25" t="s">
        <v>251</v>
      </c>
      <c r="B35" s="26" t="s">
        <v>971</v>
      </c>
      <c r="C35" s="26"/>
      <c r="D35" s="26"/>
      <c r="E35" s="27"/>
      <c r="F35" s="195">
        <f>SF!F24</f>
        <v>20.660000000000004</v>
      </c>
      <c r="G35" s="27"/>
      <c r="H35" s="34"/>
      <c r="I35" s="195">
        <f>SF!I24</f>
        <v>10.330000000000002</v>
      </c>
      <c r="J35" s="195">
        <f>SF!J24</f>
        <v>0</v>
      </c>
      <c r="K35" s="433">
        <v>1.35</v>
      </c>
      <c r="L35" s="266"/>
    </row>
    <row r="36" spans="1:12">
      <c r="A36" s="25" t="s">
        <v>97</v>
      </c>
      <c r="B36" s="26" t="s">
        <v>972</v>
      </c>
      <c r="C36" s="26"/>
      <c r="D36" s="26"/>
      <c r="E36" s="27"/>
      <c r="F36" s="195">
        <f>SF!F25</f>
        <v>42</v>
      </c>
      <c r="G36" s="27"/>
      <c r="H36" s="34"/>
      <c r="I36" s="195">
        <f>SF!I25</f>
        <v>14.858499999999999</v>
      </c>
      <c r="J36" s="195">
        <f>SF!J25</f>
        <v>0</v>
      </c>
      <c r="K36" s="511">
        <v>1.75</v>
      </c>
      <c r="L36" s="11"/>
    </row>
    <row r="37" spans="1:12">
      <c r="A37" s="25" t="s">
        <v>986</v>
      </c>
      <c r="B37" s="163" t="s">
        <v>955</v>
      </c>
      <c r="C37" s="26"/>
      <c r="D37" s="26"/>
      <c r="E37" s="27"/>
      <c r="F37" s="34"/>
      <c r="G37" s="195">
        <f>SF!G40</f>
        <v>5.8532000000000011</v>
      </c>
      <c r="H37" s="34"/>
      <c r="I37" s="195">
        <f>SF!I40</f>
        <v>48.464496000000018</v>
      </c>
      <c r="J37" s="34"/>
      <c r="K37" s="433">
        <v>1.5</v>
      </c>
      <c r="L37" s="266"/>
    </row>
    <row r="38" spans="1:12">
      <c r="A38" s="253"/>
      <c r="B38" s="15"/>
      <c r="C38" s="15"/>
      <c r="D38" s="15"/>
      <c r="E38" s="22"/>
      <c r="F38" s="212"/>
      <c r="G38" s="213"/>
      <c r="H38" s="198"/>
      <c r="I38" s="198"/>
      <c r="J38" s="58"/>
      <c r="K38" s="208"/>
      <c r="L38" s="293"/>
    </row>
    <row r="39" spans="1:12">
      <c r="A39" s="46"/>
      <c r="B39" s="46"/>
      <c r="C39" s="46"/>
      <c r="D39" s="46"/>
      <c r="E39" s="46"/>
      <c r="F39" s="46"/>
      <c r="G39" s="46"/>
      <c r="H39" s="46"/>
      <c r="I39" s="46"/>
      <c r="J39" s="46"/>
      <c r="K39" s="87"/>
      <c r="L39" s="293"/>
    </row>
    <row r="40" spans="1:12">
      <c r="A40" s="220" t="s">
        <v>73</v>
      </c>
      <c r="B40" s="220" t="s">
        <v>74</v>
      </c>
      <c r="C40" s="200"/>
      <c r="D40" s="200"/>
      <c r="E40" s="217"/>
      <c r="F40" s="1636" t="s">
        <v>72</v>
      </c>
      <c r="G40" s="1637"/>
      <c r="H40" s="1637"/>
      <c r="I40" s="1637"/>
      <c r="J40" s="1638"/>
      <c r="K40" s="87"/>
      <c r="L40" s="293"/>
    </row>
    <row r="41" spans="1:12" ht="18">
      <c r="A41" s="221"/>
      <c r="B41" s="221"/>
      <c r="C41" s="201"/>
      <c r="D41" s="201"/>
      <c r="E41" s="219"/>
      <c r="F41" s="223" t="s">
        <v>23</v>
      </c>
      <c r="G41" s="223" t="s">
        <v>87</v>
      </c>
      <c r="H41" s="223" t="s">
        <v>212</v>
      </c>
      <c r="I41" s="223" t="s">
        <v>80</v>
      </c>
      <c r="J41" s="223" t="s">
        <v>81</v>
      </c>
      <c r="K41" s="87"/>
      <c r="L41" s="293"/>
    </row>
    <row r="42" spans="1:12">
      <c r="A42" s="222"/>
      <c r="B42" s="222"/>
      <c r="C42" s="203"/>
      <c r="D42" s="203"/>
      <c r="E42" s="218"/>
      <c r="F42" s="204" t="s">
        <v>34</v>
      </c>
      <c r="G42" s="204" t="s">
        <v>34</v>
      </c>
      <c r="H42" s="203" t="s">
        <v>34</v>
      </c>
      <c r="I42" s="204" t="s">
        <v>77</v>
      </c>
      <c r="J42" s="204" t="s">
        <v>77</v>
      </c>
      <c r="K42" s="87"/>
      <c r="L42" s="293"/>
    </row>
    <row r="43" spans="1:12">
      <c r="A43" s="202"/>
      <c r="B43" s="200"/>
      <c r="C43" s="200"/>
      <c r="D43" s="200"/>
      <c r="E43" s="217"/>
      <c r="F43" s="205"/>
      <c r="G43" s="205"/>
      <c r="H43" s="201"/>
      <c r="I43" s="205"/>
      <c r="J43" s="205"/>
      <c r="K43" s="87"/>
      <c r="L43" s="293"/>
    </row>
    <row r="44" spans="1:12">
      <c r="A44" s="205" t="str">
        <f>A26</f>
        <v>LC-2</v>
      </c>
      <c r="B44" s="201" t="str">
        <f>B26</f>
        <v>NS LWL No Live load  Comb-1</v>
      </c>
      <c r="C44" s="201"/>
      <c r="D44" s="201"/>
      <c r="E44" s="219"/>
      <c r="F44" s="205">
        <f>SUMPRODUCT(F29:F37,$K$29:$K$37)</f>
        <v>1349.3135381678696</v>
      </c>
      <c r="G44" s="219">
        <f>SUMPRODUCT(G29:G37,$K$29:$K$37)</f>
        <v>8.7798000000000016</v>
      </c>
      <c r="H44" s="219">
        <f>SUMPRODUCT(H29:H37,$K$29:$K$37)</f>
        <v>0</v>
      </c>
      <c r="I44" s="219">
        <f>SUMPRODUCT(I29:I37,$K$29:$K$37)</f>
        <v>78.640144000000021</v>
      </c>
      <c r="J44" s="219">
        <f>SUMPRODUCT(J29:J37,$K$29:$K$37)</f>
        <v>0</v>
      </c>
      <c r="K44" s="87"/>
      <c r="L44" s="293"/>
    </row>
    <row r="45" spans="1:12">
      <c r="A45" s="204"/>
      <c r="B45" s="203"/>
      <c r="C45" s="203"/>
      <c r="D45" s="203"/>
      <c r="E45" s="218"/>
      <c r="F45" s="204"/>
      <c r="G45" s="204"/>
      <c r="H45" s="203"/>
      <c r="I45" s="204"/>
      <c r="J45" s="204"/>
      <c r="K45" s="87"/>
      <c r="L45" s="293"/>
    </row>
    <row r="48" spans="1:12">
      <c r="A48" s="811" t="str">
        <f>K48</f>
        <v>LC-3</v>
      </c>
      <c r="B48" s="31" t="str">
        <f>VLOOKUP(A48,LC_DEF_2!A45:B92,2,FALSE)</f>
        <v>NS LWL With LL max reaction case  Comb-1</v>
      </c>
      <c r="C48" s="31"/>
      <c r="D48" s="31"/>
      <c r="E48" s="32"/>
      <c r="F48" s="1599" t="s">
        <v>742</v>
      </c>
      <c r="G48" s="1635"/>
      <c r="H48" s="1635"/>
      <c r="I48" s="1635"/>
      <c r="J48" s="1600"/>
      <c r="K48" s="1580" t="s">
        <v>126</v>
      </c>
      <c r="L48" s="293"/>
    </row>
    <row r="49" spans="1:12" ht="18">
      <c r="A49" s="25" t="s">
        <v>73</v>
      </c>
      <c r="B49" s="26" t="s">
        <v>74</v>
      </c>
      <c r="C49" s="26"/>
      <c r="D49" s="26"/>
      <c r="E49" s="27"/>
      <c r="F49" s="58" t="s">
        <v>23</v>
      </c>
      <c r="G49" s="58" t="s">
        <v>87</v>
      </c>
      <c r="H49" s="58" t="s">
        <v>212</v>
      </c>
      <c r="I49" s="58" t="s">
        <v>80</v>
      </c>
      <c r="J49" s="58" t="s">
        <v>81</v>
      </c>
      <c r="K49" s="433"/>
      <c r="L49" s="293"/>
    </row>
    <row r="50" spans="1:12">
      <c r="A50" s="25"/>
      <c r="B50" s="26"/>
      <c r="C50" s="26"/>
      <c r="D50" s="26"/>
      <c r="E50" s="27"/>
      <c r="F50" s="36" t="s">
        <v>34</v>
      </c>
      <c r="G50" s="36" t="s">
        <v>34</v>
      </c>
      <c r="H50" s="36" t="s">
        <v>34</v>
      </c>
      <c r="I50" s="36" t="s">
        <v>77</v>
      </c>
      <c r="J50" s="36" t="s">
        <v>77</v>
      </c>
      <c r="K50" s="433"/>
      <c r="L50" s="293"/>
    </row>
    <row r="51" spans="1:12">
      <c r="A51" s="25" t="s">
        <v>88</v>
      </c>
      <c r="B51" s="26" t="s">
        <v>75</v>
      </c>
      <c r="C51" s="26"/>
      <c r="D51" s="26"/>
      <c r="E51" s="27"/>
      <c r="F51" s="195">
        <f>SF!F14</f>
        <v>365.08803866482532</v>
      </c>
      <c r="G51" s="210"/>
      <c r="H51" s="34"/>
      <c r="I51" s="195">
        <f>SF!I14</f>
        <v>0</v>
      </c>
      <c r="J51" s="195">
        <f>SF!J14</f>
        <v>0</v>
      </c>
      <c r="K51" s="511">
        <v>1.35</v>
      </c>
      <c r="L51" s="266"/>
    </row>
    <row r="52" spans="1:12">
      <c r="A52" s="25" t="s">
        <v>90</v>
      </c>
      <c r="B52" s="26" t="s">
        <v>249</v>
      </c>
      <c r="C52" s="26"/>
      <c r="D52" s="26"/>
      <c r="E52" s="27"/>
      <c r="F52" s="195">
        <f>SF!F16</f>
        <v>36.639026644707663</v>
      </c>
      <c r="G52" s="210"/>
      <c r="H52" s="34"/>
      <c r="I52" s="195">
        <f>SF!I16</f>
        <v>0</v>
      </c>
      <c r="J52" s="195">
        <f>SF!J16</f>
        <v>0</v>
      </c>
      <c r="K52" s="511">
        <v>1.35</v>
      </c>
      <c r="L52" s="266"/>
    </row>
    <row r="53" spans="1:12">
      <c r="A53" s="25" t="s">
        <v>250</v>
      </c>
      <c r="B53" s="26" t="s">
        <v>967</v>
      </c>
      <c r="C53" s="26"/>
      <c r="D53" s="26"/>
      <c r="E53" s="27"/>
      <c r="F53" s="195">
        <f>SF!F19</f>
        <v>230</v>
      </c>
      <c r="G53" s="27"/>
      <c r="H53" s="34"/>
      <c r="I53" s="195">
        <f>SF!I19</f>
        <v>-115</v>
      </c>
      <c r="J53" s="195">
        <f>SF!J19</f>
        <v>0</v>
      </c>
      <c r="K53" s="433">
        <v>1.35</v>
      </c>
      <c r="L53" s="11"/>
    </row>
    <row r="54" spans="1:12">
      <c r="A54" s="25" t="s">
        <v>251</v>
      </c>
      <c r="B54" s="26" t="s">
        <v>968</v>
      </c>
      <c r="C54" s="26"/>
      <c r="D54" s="26"/>
      <c r="E54" s="27"/>
      <c r="F54" s="195">
        <f>SF!F20</f>
        <v>20.660000000000004</v>
      </c>
      <c r="G54" s="27"/>
      <c r="H54" s="34"/>
      <c r="I54" s="195">
        <f>SF!I20</f>
        <v>-10.330000000000002</v>
      </c>
      <c r="J54" s="195">
        <f>SF!J20</f>
        <v>0</v>
      </c>
      <c r="K54" s="433">
        <v>1.35</v>
      </c>
      <c r="L54" s="11"/>
    </row>
    <row r="55" spans="1:12">
      <c r="A55" s="25" t="s">
        <v>97</v>
      </c>
      <c r="B55" s="26" t="s">
        <v>969</v>
      </c>
      <c r="C55" s="26"/>
      <c r="D55" s="26"/>
      <c r="E55" s="27"/>
      <c r="F55" s="195">
        <f>SF!F21</f>
        <v>42</v>
      </c>
      <c r="G55" s="27"/>
      <c r="H55" s="34"/>
      <c r="I55" s="195">
        <f>SF!I21</f>
        <v>-14.858499999999999</v>
      </c>
      <c r="J55" s="195">
        <f>SF!J21</f>
        <v>0</v>
      </c>
      <c r="K55" s="433">
        <v>1.35</v>
      </c>
      <c r="L55" s="11"/>
    </row>
    <row r="56" spans="1:12">
      <c r="A56" s="25" t="s">
        <v>250</v>
      </c>
      <c r="B56" s="26" t="s">
        <v>970</v>
      </c>
      <c r="C56" s="26"/>
      <c r="D56" s="26"/>
      <c r="E56" s="27"/>
      <c r="F56" s="195">
        <f>SF!F23</f>
        <v>230</v>
      </c>
      <c r="G56" s="27"/>
      <c r="H56" s="34"/>
      <c r="I56" s="195">
        <f>SF!I23</f>
        <v>115</v>
      </c>
      <c r="J56" s="195">
        <f>SF!J23</f>
        <v>0</v>
      </c>
      <c r="K56" s="433">
        <v>1.35</v>
      </c>
      <c r="L56" s="11"/>
    </row>
    <row r="57" spans="1:12">
      <c r="A57" s="25" t="s">
        <v>251</v>
      </c>
      <c r="B57" s="26" t="s">
        <v>971</v>
      </c>
      <c r="C57" s="26"/>
      <c r="D57" s="26"/>
      <c r="E57" s="27"/>
      <c r="F57" s="195">
        <f>SF!F24</f>
        <v>20.660000000000004</v>
      </c>
      <c r="G57" s="27"/>
      <c r="H57" s="34"/>
      <c r="I57" s="195">
        <f>SF!I24</f>
        <v>10.330000000000002</v>
      </c>
      <c r="J57" s="195">
        <f>SF!J24</f>
        <v>0</v>
      </c>
      <c r="K57" s="433">
        <v>1.35</v>
      </c>
      <c r="L57" s="266"/>
    </row>
    <row r="58" spans="1:12">
      <c r="A58" s="25" t="s">
        <v>97</v>
      </c>
      <c r="B58" s="26" t="s">
        <v>972</v>
      </c>
      <c r="C58" s="26"/>
      <c r="D58" s="26"/>
      <c r="E58" s="27"/>
      <c r="F58" s="195">
        <f>SF!F25</f>
        <v>42</v>
      </c>
      <c r="G58" s="27"/>
      <c r="H58" s="34"/>
      <c r="I58" s="195">
        <f>SF!I25</f>
        <v>14.858499999999999</v>
      </c>
      <c r="J58" s="195">
        <f>SF!J25</f>
        <v>0</v>
      </c>
      <c r="K58" s="511">
        <v>1.75</v>
      </c>
      <c r="L58" s="11"/>
    </row>
    <row r="59" spans="1:12">
      <c r="A59" s="25" t="s">
        <v>976</v>
      </c>
      <c r="B59" s="26" t="s">
        <v>978</v>
      </c>
      <c r="C59" s="26"/>
      <c r="D59" s="26"/>
      <c r="E59" s="27"/>
      <c r="F59" s="195">
        <f>SF!F29</f>
        <v>65.160399999999996</v>
      </c>
      <c r="G59" s="27"/>
      <c r="H59" s="34"/>
      <c r="I59" s="195">
        <f>SF!I29</f>
        <v>-32.580199999999998</v>
      </c>
      <c r="J59" s="195">
        <f>SF!J29</f>
        <v>-10.105732306306301</v>
      </c>
      <c r="K59" s="511">
        <v>1.5</v>
      </c>
      <c r="L59" s="11"/>
    </row>
    <row r="60" spans="1:12">
      <c r="A60" s="25" t="s">
        <v>977</v>
      </c>
      <c r="B60" s="26" t="s">
        <v>979</v>
      </c>
      <c r="C60" s="26"/>
      <c r="D60" s="26"/>
      <c r="E60" s="27"/>
      <c r="F60" s="195">
        <f>SF!F30</f>
        <v>75.185314285714313</v>
      </c>
      <c r="G60" s="27"/>
      <c r="H60" s="34"/>
      <c r="I60" s="195">
        <f>SF!I30</f>
        <v>37.592657142857156</v>
      </c>
      <c r="J60" s="195">
        <f>SF!J30</f>
        <v>-11.660497166023164</v>
      </c>
      <c r="K60" s="511">
        <v>1.5</v>
      </c>
      <c r="L60" s="266"/>
    </row>
    <row r="61" spans="1:12">
      <c r="A61" s="25" t="s">
        <v>984</v>
      </c>
      <c r="B61" s="163" t="s">
        <v>951</v>
      </c>
      <c r="C61" s="26"/>
      <c r="D61" s="26"/>
      <c r="E61" s="27"/>
      <c r="F61" s="34"/>
      <c r="G61" s="195">
        <f>SF!G38</f>
        <v>32.051277714285717</v>
      </c>
      <c r="H61" s="34"/>
      <c r="I61" s="195">
        <f>SF!I38</f>
        <v>265.38457947428577</v>
      </c>
      <c r="J61" s="34"/>
      <c r="K61" s="433">
        <v>1.5</v>
      </c>
      <c r="L61" s="266"/>
    </row>
    <row r="62" spans="1:12">
      <c r="A62" s="253"/>
      <c r="B62" s="15"/>
      <c r="C62" s="15"/>
      <c r="D62" s="15"/>
      <c r="E62" s="22"/>
      <c r="F62" s="212"/>
      <c r="G62" s="213"/>
      <c r="H62" s="198"/>
      <c r="I62" s="198"/>
      <c r="J62" s="58"/>
      <c r="K62" s="208"/>
      <c r="L62" s="293"/>
    </row>
    <row r="63" spans="1:12">
      <c r="A63" s="46"/>
      <c r="B63" s="46"/>
      <c r="C63" s="46"/>
      <c r="D63" s="46"/>
      <c r="E63" s="46"/>
      <c r="F63" s="46"/>
      <c r="G63" s="46"/>
      <c r="H63" s="46"/>
      <c r="I63" s="46"/>
      <c r="J63" s="46"/>
      <c r="K63" s="87"/>
      <c r="L63" s="293"/>
    </row>
    <row r="64" spans="1:12">
      <c r="A64" s="220" t="s">
        <v>73</v>
      </c>
      <c r="B64" s="220" t="s">
        <v>74</v>
      </c>
      <c r="C64" s="200"/>
      <c r="D64" s="200"/>
      <c r="E64" s="217"/>
      <c r="F64" s="1636" t="s">
        <v>72</v>
      </c>
      <c r="G64" s="1637"/>
      <c r="H64" s="1637"/>
      <c r="I64" s="1637"/>
      <c r="J64" s="1638"/>
      <c r="K64" s="87"/>
      <c r="L64" s="293"/>
    </row>
    <row r="65" spans="1:12" ht="18">
      <c r="A65" s="221"/>
      <c r="B65" s="221"/>
      <c r="C65" s="201"/>
      <c r="D65" s="201"/>
      <c r="E65" s="219"/>
      <c r="F65" s="223" t="s">
        <v>23</v>
      </c>
      <c r="G65" s="223" t="s">
        <v>87</v>
      </c>
      <c r="H65" s="223" t="s">
        <v>212</v>
      </c>
      <c r="I65" s="223" t="s">
        <v>80</v>
      </c>
      <c r="J65" s="223" t="s">
        <v>81</v>
      </c>
      <c r="K65" s="87"/>
      <c r="L65" s="293"/>
    </row>
    <row r="66" spans="1:12">
      <c r="A66" s="222"/>
      <c r="B66" s="222"/>
      <c r="C66" s="203"/>
      <c r="D66" s="203"/>
      <c r="E66" s="218"/>
      <c r="F66" s="204" t="s">
        <v>34</v>
      </c>
      <c r="G66" s="204" t="s">
        <v>34</v>
      </c>
      <c r="H66" s="203" t="s">
        <v>34</v>
      </c>
      <c r="I66" s="204" t="s">
        <v>77</v>
      </c>
      <c r="J66" s="204" t="s">
        <v>77</v>
      </c>
      <c r="K66" s="87"/>
      <c r="L66" s="293"/>
    </row>
    <row r="67" spans="1:12">
      <c r="A67" s="202"/>
      <c r="B67" s="200"/>
      <c r="C67" s="200"/>
      <c r="D67" s="200"/>
      <c r="E67" s="217"/>
      <c r="F67" s="205"/>
      <c r="G67" s="205"/>
      <c r="H67" s="201"/>
      <c r="I67" s="205"/>
      <c r="J67" s="205"/>
      <c r="K67" s="87"/>
      <c r="L67" s="293"/>
    </row>
    <row r="68" spans="1:12">
      <c r="A68" s="205" t="str">
        <f>A48</f>
        <v>LC-3</v>
      </c>
      <c r="B68" s="201" t="str">
        <f>B48</f>
        <v>NS LWL With LL max reaction case  Comb-1</v>
      </c>
      <c r="C68" s="201"/>
      <c r="D68" s="201"/>
      <c r="E68" s="219"/>
      <c r="F68" s="205">
        <f>SUMPRODUCT(F51:F61,$K$51:$K$61)</f>
        <v>1559.8321095964411</v>
      </c>
      <c r="G68" s="219">
        <f>SUMPRODUCT(G51:G61,$K$51:$K$61)</f>
        <v>48.076916571428576</v>
      </c>
      <c r="H68" s="219">
        <f>SUMPRODUCT(H51:H61,$K$51:$K$61)</f>
        <v>0</v>
      </c>
      <c r="I68" s="219">
        <f>SUMPRODUCT(I51:I61,$K$51:$K$61)</f>
        <v>411.53895492571434</v>
      </c>
      <c r="J68" s="219">
        <f>SUMPRODUCT(J51:J61,$K$51:$K$61)</f>
        <v>-32.649344208494199</v>
      </c>
      <c r="K68" s="87"/>
      <c r="L68" s="293"/>
    </row>
    <row r="69" spans="1:12">
      <c r="A69" s="204"/>
      <c r="B69" s="203"/>
      <c r="C69" s="203"/>
      <c r="D69" s="203"/>
      <c r="E69" s="218"/>
      <c r="F69" s="204"/>
      <c r="G69" s="204"/>
      <c r="H69" s="203"/>
      <c r="I69" s="204"/>
      <c r="J69" s="204"/>
      <c r="K69" s="87"/>
      <c r="L69" s="293"/>
    </row>
    <row r="72" spans="1:12">
      <c r="A72" s="811" t="str">
        <f>K72</f>
        <v>LC-4</v>
      </c>
      <c r="B72" s="31" t="str">
        <f>VLOOKUP(A72,LC_DEF_2!A45:B92,2,FALSE)</f>
        <v>NS LWL With LL max moment case  Comb-1</v>
      </c>
      <c r="C72" s="31"/>
      <c r="D72" s="31"/>
      <c r="E72" s="32"/>
      <c r="F72" s="1599" t="s">
        <v>742</v>
      </c>
      <c r="G72" s="1635"/>
      <c r="H72" s="1635"/>
      <c r="I72" s="1635"/>
      <c r="J72" s="1600"/>
      <c r="K72" s="1580" t="s">
        <v>214</v>
      </c>
      <c r="L72" s="293"/>
    </row>
    <row r="73" spans="1:12" ht="18">
      <c r="A73" s="25" t="s">
        <v>73</v>
      </c>
      <c r="B73" s="26" t="s">
        <v>74</v>
      </c>
      <c r="C73" s="26"/>
      <c r="D73" s="26"/>
      <c r="E73" s="27"/>
      <c r="F73" s="58" t="s">
        <v>23</v>
      </c>
      <c r="G73" s="58" t="s">
        <v>87</v>
      </c>
      <c r="H73" s="58" t="s">
        <v>212</v>
      </c>
      <c r="I73" s="58" t="s">
        <v>80</v>
      </c>
      <c r="J73" s="58" t="s">
        <v>81</v>
      </c>
      <c r="K73" s="433"/>
      <c r="L73" s="293"/>
    </row>
    <row r="74" spans="1:12">
      <c r="A74" s="25"/>
      <c r="B74" s="26"/>
      <c r="C74" s="26"/>
      <c r="D74" s="26"/>
      <c r="E74" s="27"/>
      <c r="F74" s="36" t="s">
        <v>34</v>
      </c>
      <c r="G74" s="36" t="s">
        <v>34</v>
      </c>
      <c r="H74" s="36" t="s">
        <v>34</v>
      </c>
      <c r="I74" s="36" t="s">
        <v>77</v>
      </c>
      <c r="J74" s="36" t="s">
        <v>77</v>
      </c>
      <c r="K74" s="433"/>
      <c r="L74" s="293"/>
    </row>
    <row r="75" spans="1:12">
      <c r="A75" s="25" t="s">
        <v>88</v>
      </c>
      <c r="B75" s="26" t="s">
        <v>75</v>
      </c>
      <c r="C75" s="26"/>
      <c r="D75" s="26"/>
      <c r="E75" s="27"/>
      <c r="F75" s="195">
        <f>SF!F14</f>
        <v>365.08803866482532</v>
      </c>
      <c r="G75" s="210"/>
      <c r="H75" s="34"/>
      <c r="I75" s="195">
        <f>SF!I14</f>
        <v>0</v>
      </c>
      <c r="J75" s="195">
        <f>SF!J14</f>
        <v>0</v>
      </c>
      <c r="K75" s="511">
        <v>1.35</v>
      </c>
      <c r="L75" s="266"/>
    </row>
    <row r="76" spans="1:12">
      <c r="A76" s="25" t="s">
        <v>90</v>
      </c>
      <c r="B76" s="26" t="s">
        <v>249</v>
      </c>
      <c r="C76" s="26"/>
      <c r="D76" s="26"/>
      <c r="E76" s="27"/>
      <c r="F76" s="195">
        <f>SF!F16</f>
        <v>36.639026644707663</v>
      </c>
      <c r="G76" s="210"/>
      <c r="H76" s="34"/>
      <c r="I76" s="195">
        <f>SF!I16</f>
        <v>0</v>
      </c>
      <c r="J76" s="195">
        <f>SF!J16</f>
        <v>0</v>
      </c>
      <c r="K76" s="511">
        <v>1.35</v>
      </c>
      <c r="L76" s="266"/>
    </row>
    <row r="77" spans="1:12">
      <c r="A77" s="25" t="s">
        <v>250</v>
      </c>
      <c r="B77" s="26" t="s">
        <v>967</v>
      </c>
      <c r="C77" s="26"/>
      <c r="D77" s="26"/>
      <c r="E77" s="27"/>
      <c r="F77" s="195">
        <f>SF!F19</f>
        <v>230</v>
      </c>
      <c r="G77" s="27"/>
      <c r="H77" s="34"/>
      <c r="I77" s="195">
        <f>SF!I19</f>
        <v>-115</v>
      </c>
      <c r="J77" s="195">
        <f>SF!J19</f>
        <v>0</v>
      </c>
      <c r="K77" s="433">
        <v>1.35</v>
      </c>
      <c r="L77" s="11"/>
    </row>
    <row r="78" spans="1:12">
      <c r="A78" s="25" t="s">
        <v>251</v>
      </c>
      <c r="B78" s="26" t="s">
        <v>968</v>
      </c>
      <c r="C78" s="26"/>
      <c r="D78" s="26"/>
      <c r="E78" s="27"/>
      <c r="F78" s="195">
        <f>SF!F20</f>
        <v>20.660000000000004</v>
      </c>
      <c r="G78" s="27"/>
      <c r="H78" s="34"/>
      <c r="I78" s="195">
        <f>SF!I20</f>
        <v>-10.330000000000002</v>
      </c>
      <c r="J78" s="195">
        <f>SF!J20</f>
        <v>0</v>
      </c>
      <c r="K78" s="433">
        <v>1.35</v>
      </c>
      <c r="L78" s="11"/>
    </row>
    <row r="79" spans="1:12">
      <c r="A79" s="25" t="s">
        <v>97</v>
      </c>
      <c r="B79" s="26" t="s">
        <v>969</v>
      </c>
      <c r="C79" s="26"/>
      <c r="D79" s="26"/>
      <c r="E79" s="27"/>
      <c r="F79" s="195">
        <f>SF!F21</f>
        <v>42</v>
      </c>
      <c r="G79" s="27"/>
      <c r="H79" s="34"/>
      <c r="I79" s="195">
        <f>SF!I21</f>
        <v>-14.858499999999999</v>
      </c>
      <c r="J79" s="195">
        <f>SF!J21</f>
        <v>0</v>
      </c>
      <c r="K79" s="433">
        <v>1.35</v>
      </c>
      <c r="L79" s="11"/>
    </row>
    <row r="80" spans="1:12">
      <c r="A80" s="25" t="s">
        <v>250</v>
      </c>
      <c r="B80" s="26" t="s">
        <v>970</v>
      </c>
      <c r="C80" s="26"/>
      <c r="D80" s="26"/>
      <c r="E80" s="27"/>
      <c r="F80" s="195">
        <f>SF!F23</f>
        <v>230</v>
      </c>
      <c r="G80" s="27"/>
      <c r="H80" s="34"/>
      <c r="I80" s="195">
        <f>SF!I23</f>
        <v>115</v>
      </c>
      <c r="J80" s="195">
        <f>SF!J23</f>
        <v>0</v>
      </c>
      <c r="K80" s="433">
        <v>1.35</v>
      </c>
      <c r="L80" s="11"/>
    </row>
    <row r="81" spans="1:12">
      <c r="A81" s="25" t="s">
        <v>251</v>
      </c>
      <c r="B81" s="26" t="s">
        <v>971</v>
      </c>
      <c r="C81" s="26"/>
      <c r="D81" s="26"/>
      <c r="E81" s="27"/>
      <c r="F81" s="195">
        <f>SF!F24</f>
        <v>20.660000000000004</v>
      </c>
      <c r="G81" s="27"/>
      <c r="H81" s="34"/>
      <c r="I81" s="195">
        <f>SF!I24</f>
        <v>10.330000000000002</v>
      </c>
      <c r="J81" s="195">
        <f>SF!J24</f>
        <v>0</v>
      </c>
      <c r="K81" s="433">
        <v>1.35</v>
      </c>
      <c r="L81" s="266"/>
    </row>
    <row r="82" spans="1:12">
      <c r="A82" s="25" t="s">
        <v>97</v>
      </c>
      <c r="B82" s="26" t="s">
        <v>972</v>
      </c>
      <c r="C82" s="26"/>
      <c r="D82" s="26"/>
      <c r="E82" s="27"/>
      <c r="F82" s="195">
        <f>SF!F25</f>
        <v>42</v>
      </c>
      <c r="G82" s="27"/>
      <c r="H82" s="34"/>
      <c r="I82" s="195">
        <f>SF!I25</f>
        <v>14.858499999999999</v>
      </c>
      <c r="J82" s="195">
        <f>SF!J25</f>
        <v>0</v>
      </c>
      <c r="K82" s="511">
        <v>1.75</v>
      </c>
      <c r="L82" s="11"/>
    </row>
    <row r="83" spans="1:12">
      <c r="A83" s="25" t="s">
        <v>976</v>
      </c>
      <c r="B83" s="26" t="s">
        <v>981</v>
      </c>
      <c r="C83" s="26"/>
      <c r="D83" s="26"/>
      <c r="E83" s="27"/>
      <c r="F83" s="195">
        <f>SF!F33</f>
        <v>0</v>
      </c>
      <c r="G83" s="27"/>
      <c r="H83" s="34"/>
      <c r="I83" s="195">
        <f>SF!I33</f>
        <v>0</v>
      </c>
      <c r="J83" s="195">
        <f>SF!J33</f>
        <v>0</v>
      </c>
      <c r="K83" s="433">
        <v>1.5</v>
      </c>
      <c r="L83" s="266"/>
    </row>
    <row r="84" spans="1:12">
      <c r="A84" s="25" t="s">
        <v>977</v>
      </c>
      <c r="B84" s="26" t="s">
        <v>982</v>
      </c>
      <c r="C84" s="26"/>
      <c r="D84" s="26"/>
      <c r="E84" s="27"/>
      <c r="F84" s="195">
        <f>SF!F34</f>
        <v>127.89948571428575</v>
      </c>
      <c r="G84" s="27"/>
      <c r="H84" s="34"/>
      <c r="I84" s="195">
        <f>SF!I34</f>
        <v>63.949742857142873</v>
      </c>
      <c r="J84" s="195">
        <f>SF!J34</f>
        <v>-19.835942761904757</v>
      </c>
      <c r="K84" s="433">
        <v>1.5</v>
      </c>
      <c r="L84" s="266"/>
    </row>
    <row r="85" spans="1:12">
      <c r="A85" s="25" t="s">
        <v>985</v>
      </c>
      <c r="B85" s="163" t="s">
        <v>953</v>
      </c>
      <c r="C85" s="26"/>
      <c r="D85" s="26"/>
      <c r="E85" s="27"/>
      <c r="F85" s="34"/>
      <c r="G85" s="195">
        <f>SF!G39</f>
        <v>29.998225714285713</v>
      </c>
      <c r="H85" s="34"/>
      <c r="I85" s="195">
        <f>SF!I39</f>
        <v>248.38530891428573</v>
      </c>
      <c r="J85" s="34"/>
      <c r="K85" s="433">
        <v>1.5</v>
      </c>
      <c r="L85" s="266"/>
    </row>
    <row r="86" spans="1:12">
      <c r="A86" s="253"/>
      <c r="B86" s="15"/>
      <c r="C86" s="15"/>
      <c r="D86" s="15"/>
      <c r="E86" s="22"/>
      <c r="F86" s="212"/>
      <c r="G86" s="213"/>
      <c r="H86" s="198"/>
      <c r="I86" s="198"/>
      <c r="J86" s="58"/>
      <c r="K86" s="208"/>
      <c r="L86" s="293"/>
    </row>
    <row r="87" spans="1:12">
      <c r="A87" s="46"/>
      <c r="B87" s="46"/>
      <c r="C87" s="46"/>
      <c r="D87" s="46"/>
      <c r="E87" s="46"/>
      <c r="F87" s="46"/>
      <c r="G87" s="46"/>
      <c r="H87" s="46"/>
      <c r="I87" s="46"/>
      <c r="J87" s="46"/>
      <c r="K87" s="87"/>
      <c r="L87" s="293"/>
    </row>
    <row r="88" spans="1:12">
      <c r="A88" s="220" t="s">
        <v>73</v>
      </c>
      <c r="B88" s="220" t="s">
        <v>74</v>
      </c>
      <c r="C88" s="200"/>
      <c r="D88" s="200"/>
      <c r="E88" s="217"/>
      <c r="F88" s="1636" t="s">
        <v>72</v>
      </c>
      <c r="G88" s="1637"/>
      <c r="H88" s="1637"/>
      <c r="I88" s="1637"/>
      <c r="J88" s="1638"/>
      <c r="K88" s="87"/>
      <c r="L88" s="293"/>
    </row>
    <row r="89" spans="1:12" ht="18">
      <c r="A89" s="221"/>
      <c r="B89" s="221"/>
      <c r="C89" s="201"/>
      <c r="D89" s="201"/>
      <c r="E89" s="219"/>
      <c r="F89" s="223" t="s">
        <v>23</v>
      </c>
      <c r="G89" s="223" t="s">
        <v>87</v>
      </c>
      <c r="H89" s="223" t="s">
        <v>212</v>
      </c>
      <c r="I89" s="223" t="s">
        <v>80</v>
      </c>
      <c r="J89" s="223" t="s">
        <v>81</v>
      </c>
      <c r="K89" s="87"/>
      <c r="L89" s="293"/>
    </row>
    <row r="90" spans="1:12">
      <c r="A90" s="222"/>
      <c r="B90" s="222"/>
      <c r="C90" s="203"/>
      <c r="D90" s="203"/>
      <c r="E90" s="218"/>
      <c r="F90" s="204" t="s">
        <v>34</v>
      </c>
      <c r="G90" s="204" t="s">
        <v>34</v>
      </c>
      <c r="H90" s="203" t="s">
        <v>34</v>
      </c>
      <c r="I90" s="204" t="s">
        <v>77</v>
      </c>
      <c r="J90" s="204" t="s">
        <v>77</v>
      </c>
      <c r="K90" s="87"/>
      <c r="L90" s="293"/>
    </row>
    <row r="91" spans="1:12">
      <c r="A91" s="202"/>
      <c r="B91" s="200"/>
      <c r="C91" s="200"/>
      <c r="D91" s="200"/>
      <c r="E91" s="217"/>
      <c r="F91" s="205"/>
      <c r="G91" s="205"/>
      <c r="H91" s="201"/>
      <c r="I91" s="205"/>
      <c r="J91" s="205"/>
      <c r="K91" s="87"/>
      <c r="L91" s="293"/>
    </row>
    <row r="92" spans="1:12">
      <c r="A92" s="205" t="str">
        <f>A72</f>
        <v>LC-4</v>
      </c>
      <c r="B92" s="201" t="str">
        <f>B72</f>
        <v>NS LWL With LL max moment case  Comb-1</v>
      </c>
      <c r="C92" s="201"/>
      <c r="D92" s="201"/>
      <c r="E92" s="219"/>
      <c r="F92" s="205">
        <f>SUMPRODUCT(F75:F85,$K$75:$K$85)</f>
        <v>1541.1627667392981</v>
      </c>
      <c r="G92" s="219">
        <f>SUMPRODUCT(G75:G85,$K$75:$K$85)</f>
        <v>44.997338571428571</v>
      </c>
      <c r="H92" s="219">
        <f>SUMPRODUCT(H75:H85,$K$75:$K$85)</f>
        <v>0</v>
      </c>
      <c r="I92" s="219">
        <f>SUMPRODUCT(I75:I85,$K$75:$K$85)</f>
        <v>474.44597765714292</v>
      </c>
      <c r="J92" s="219">
        <f>SUMPRODUCT(J75:J85,$K$75:$K$85)</f>
        <v>-29.753914142857134</v>
      </c>
      <c r="K92" s="87"/>
      <c r="L92" s="293"/>
    </row>
    <row r="93" spans="1:12">
      <c r="A93" s="204"/>
      <c r="B93" s="203"/>
      <c r="C93" s="203"/>
      <c r="D93" s="203"/>
      <c r="E93" s="218"/>
      <c r="F93" s="204"/>
      <c r="G93" s="204"/>
      <c r="H93" s="203"/>
      <c r="I93" s="204"/>
      <c r="J93" s="204"/>
      <c r="K93" s="87"/>
      <c r="L93" s="293"/>
    </row>
    <row r="96" spans="1:12">
      <c r="A96" s="811" t="str">
        <f>K96</f>
        <v>LC-5</v>
      </c>
      <c r="B96" s="31" t="str">
        <f>VLOOKUP(A96,LC_DEF_2!A45:B92,2,FALSE)</f>
        <v>NS LWL Span dislodge case Comb-2</v>
      </c>
      <c r="C96" s="31"/>
      <c r="D96" s="31"/>
      <c r="E96" s="32"/>
      <c r="F96" s="1599" t="s">
        <v>742</v>
      </c>
      <c r="G96" s="1635"/>
      <c r="H96" s="1635"/>
      <c r="I96" s="1635"/>
      <c r="J96" s="1600"/>
      <c r="K96" s="1580" t="s">
        <v>215</v>
      </c>
      <c r="L96" s="293"/>
    </row>
    <row r="97" spans="1:12" ht="18">
      <c r="A97" s="25" t="s">
        <v>73</v>
      </c>
      <c r="B97" s="26" t="s">
        <v>74</v>
      </c>
      <c r="C97" s="26"/>
      <c r="D97" s="26"/>
      <c r="E97" s="27"/>
      <c r="F97" s="58" t="s">
        <v>23</v>
      </c>
      <c r="G97" s="58" t="s">
        <v>87</v>
      </c>
      <c r="H97" s="58" t="s">
        <v>212</v>
      </c>
      <c r="I97" s="58" t="s">
        <v>80</v>
      </c>
      <c r="J97" s="58" t="s">
        <v>81</v>
      </c>
      <c r="K97" s="433"/>
      <c r="L97" s="293"/>
    </row>
    <row r="98" spans="1:12">
      <c r="A98" s="25"/>
      <c r="B98" s="26"/>
      <c r="C98" s="26"/>
      <c r="D98" s="26"/>
      <c r="E98" s="27"/>
      <c r="F98" s="36" t="s">
        <v>34</v>
      </c>
      <c r="G98" s="36" t="s">
        <v>34</v>
      </c>
      <c r="H98" s="36" t="s">
        <v>34</v>
      </c>
      <c r="I98" s="36" t="s">
        <v>77</v>
      </c>
      <c r="J98" s="36" t="s">
        <v>77</v>
      </c>
      <c r="K98" s="433"/>
      <c r="L98" s="293"/>
    </row>
    <row r="99" spans="1:12">
      <c r="A99" s="25" t="s">
        <v>88</v>
      </c>
      <c r="B99" s="26" t="s">
        <v>75</v>
      </c>
      <c r="C99" s="26"/>
      <c r="D99" s="26"/>
      <c r="E99" s="27"/>
      <c r="F99" s="195">
        <f>SF!F14</f>
        <v>365.08803866482532</v>
      </c>
      <c r="G99" s="210"/>
      <c r="H99" s="34"/>
      <c r="I99" s="195">
        <f>SF!I14</f>
        <v>0</v>
      </c>
      <c r="J99" s="195">
        <f>SF!J14</f>
        <v>0</v>
      </c>
      <c r="K99" s="511">
        <v>1</v>
      </c>
      <c r="L99" s="266"/>
    </row>
    <row r="100" spans="1:12">
      <c r="A100" s="25" t="s">
        <v>90</v>
      </c>
      <c r="B100" s="26" t="s">
        <v>249</v>
      </c>
      <c r="C100" s="26"/>
      <c r="D100" s="26"/>
      <c r="E100" s="27"/>
      <c r="F100" s="195">
        <f>SF!F16</f>
        <v>36.639026644707663</v>
      </c>
      <c r="G100" s="210"/>
      <c r="H100" s="34"/>
      <c r="I100" s="195">
        <f>SF!I16</f>
        <v>0</v>
      </c>
      <c r="J100" s="195">
        <f>SF!J16</f>
        <v>0</v>
      </c>
      <c r="K100" s="511">
        <v>1</v>
      </c>
      <c r="L100" s="266"/>
    </row>
    <row r="101" spans="1:12">
      <c r="A101" s="25" t="s">
        <v>250</v>
      </c>
      <c r="B101" s="26" t="s">
        <v>970</v>
      </c>
      <c r="C101" s="26"/>
      <c r="D101" s="26"/>
      <c r="E101" s="27"/>
      <c r="F101" s="195">
        <f>SF!F23</f>
        <v>230</v>
      </c>
      <c r="G101" s="27"/>
      <c r="H101" s="34"/>
      <c r="I101" s="195">
        <f>SF!I23</f>
        <v>115</v>
      </c>
      <c r="J101" s="195">
        <f>SF!J23</f>
        <v>0</v>
      </c>
      <c r="K101" s="433">
        <v>1</v>
      </c>
      <c r="L101" s="11"/>
    </row>
    <row r="102" spans="1:12">
      <c r="A102" s="25" t="s">
        <v>251</v>
      </c>
      <c r="B102" s="26" t="s">
        <v>971</v>
      </c>
      <c r="C102" s="26"/>
      <c r="D102" s="26"/>
      <c r="E102" s="27"/>
      <c r="F102" s="195">
        <f>SF!F24</f>
        <v>20.660000000000004</v>
      </c>
      <c r="G102" s="27"/>
      <c r="H102" s="34"/>
      <c r="I102" s="195">
        <f>SF!I24</f>
        <v>10.330000000000002</v>
      </c>
      <c r="J102" s="195">
        <f>SF!J24</f>
        <v>0</v>
      </c>
      <c r="K102" s="433">
        <v>1</v>
      </c>
      <c r="L102" s="266"/>
    </row>
    <row r="103" spans="1:12">
      <c r="A103" s="25" t="s">
        <v>97</v>
      </c>
      <c r="B103" s="26" t="s">
        <v>972</v>
      </c>
      <c r="C103" s="26"/>
      <c r="D103" s="26"/>
      <c r="E103" s="27"/>
      <c r="F103" s="195">
        <f>SF!F25</f>
        <v>42</v>
      </c>
      <c r="G103" s="27"/>
      <c r="H103" s="34"/>
      <c r="I103" s="195">
        <f>SF!I25</f>
        <v>14.858499999999999</v>
      </c>
      <c r="J103" s="195">
        <f>SF!J25</f>
        <v>0</v>
      </c>
      <c r="K103" s="511">
        <v>1</v>
      </c>
      <c r="L103" s="11"/>
    </row>
    <row r="104" spans="1:12">
      <c r="A104" s="25" t="s">
        <v>987</v>
      </c>
      <c r="B104" s="163" t="s">
        <v>957</v>
      </c>
      <c r="C104" s="26"/>
      <c r="D104" s="26"/>
      <c r="E104" s="27"/>
      <c r="F104" s="34"/>
      <c r="G104" s="195">
        <f>SF!G41</f>
        <v>14.632999999999999</v>
      </c>
      <c r="H104" s="34"/>
      <c r="I104" s="195">
        <f>SF!I41</f>
        <v>121.16124000000001</v>
      </c>
      <c r="J104" s="34"/>
      <c r="K104" s="433">
        <v>1.3</v>
      </c>
      <c r="L104" s="266"/>
    </row>
    <row r="105" spans="1:12">
      <c r="A105" s="253"/>
      <c r="B105" s="15"/>
      <c r="C105" s="15"/>
      <c r="D105" s="15"/>
      <c r="E105" s="22"/>
      <c r="F105" s="212"/>
      <c r="G105" s="213"/>
      <c r="H105" s="198"/>
      <c r="I105" s="198"/>
      <c r="J105" s="58"/>
      <c r="K105" s="208"/>
      <c r="L105" s="293"/>
    </row>
    <row r="106" spans="1:12">
      <c r="A106" s="46"/>
      <c r="B106" s="46"/>
      <c r="C106" s="46"/>
      <c r="D106" s="46"/>
      <c r="E106" s="46"/>
      <c r="F106" s="46"/>
      <c r="G106" s="46"/>
      <c r="H106" s="46"/>
      <c r="I106" s="46"/>
      <c r="J106" s="46"/>
      <c r="K106" s="87"/>
      <c r="L106" s="293"/>
    </row>
    <row r="107" spans="1:12">
      <c r="A107" s="220" t="s">
        <v>73</v>
      </c>
      <c r="B107" s="220" t="s">
        <v>74</v>
      </c>
      <c r="C107" s="200"/>
      <c r="D107" s="200"/>
      <c r="E107" s="217"/>
      <c r="F107" s="1636" t="s">
        <v>72</v>
      </c>
      <c r="G107" s="1637"/>
      <c r="H107" s="1637"/>
      <c r="I107" s="1637"/>
      <c r="J107" s="1638"/>
      <c r="K107" s="87"/>
      <c r="L107" s="293"/>
    </row>
    <row r="108" spans="1:12" ht="18">
      <c r="A108" s="221"/>
      <c r="B108" s="221"/>
      <c r="C108" s="201"/>
      <c r="D108" s="201"/>
      <c r="E108" s="219"/>
      <c r="F108" s="223" t="s">
        <v>23</v>
      </c>
      <c r="G108" s="223" t="s">
        <v>87</v>
      </c>
      <c r="H108" s="223" t="s">
        <v>212</v>
      </c>
      <c r="I108" s="223" t="s">
        <v>80</v>
      </c>
      <c r="J108" s="223" t="s">
        <v>81</v>
      </c>
      <c r="K108" s="87"/>
      <c r="L108" s="293"/>
    </row>
    <row r="109" spans="1:12">
      <c r="A109" s="222"/>
      <c r="B109" s="222"/>
      <c r="C109" s="203"/>
      <c r="D109" s="203"/>
      <c r="E109" s="218"/>
      <c r="F109" s="204" t="s">
        <v>34</v>
      </c>
      <c r="G109" s="204" t="s">
        <v>34</v>
      </c>
      <c r="H109" s="203" t="s">
        <v>34</v>
      </c>
      <c r="I109" s="204" t="s">
        <v>77</v>
      </c>
      <c r="J109" s="204" t="s">
        <v>77</v>
      </c>
      <c r="K109" s="87"/>
      <c r="L109" s="293"/>
    </row>
    <row r="110" spans="1:12">
      <c r="A110" s="202"/>
      <c r="B110" s="200"/>
      <c r="C110" s="200"/>
      <c r="D110" s="200"/>
      <c r="E110" s="217"/>
      <c r="F110" s="205"/>
      <c r="G110" s="205"/>
      <c r="H110" s="201"/>
      <c r="I110" s="205"/>
      <c r="J110" s="205"/>
      <c r="K110" s="87"/>
      <c r="L110" s="293"/>
    </row>
    <row r="111" spans="1:12">
      <c r="A111" s="205" t="str">
        <f>A96</f>
        <v>LC-5</v>
      </c>
      <c r="B111" s="201" t="str">
        <f>B96</f>
        <v>NS LWL Span dislodge case Comb-2</v>
      </c>
      <c r="C111" s="201"/>
      <c r="D111" s="201"/>
      <c r="E111" s="219"/>
      <c r="F111" s="205">
        <f>SUMPRODUCT(F99:F104,$K$99:$K$104)</f>
        <v>694.38706530953289</v>
      </c>
      <c r="G111" s="219">
        <f>SUMPRODUCT(G99:G104,$K$99:$K$104)</f>
        <v>19.0229</v>
      </c>
      <c r="H111" s="219">
        <f>SUMPRODUCT(H99:H104,$K$99:$K$104)</f>
        <v>0</v>
      </c>
      <c r="I111" s="219">
        <f>SUMPRODUCT(I99:I104,$K$99:$K$104)</f>
        <v>297.69811200000004</v>
      </c>
      <c r="J111" s="219">
        <f>SUMPRODUCT(J99:J104,$K$99:$K$104)</f>
        <v>0</v>
      </c>
      <c r="K111" s="87"/>
      <c r="L111" s="293"/>
    </row>
    <row r="112" spans="1:12">
      <c r="A112" s="204"/>
      <c r="B112" s="203"/>
      <c r="C112" s="203"/>
      <c r="D112" s="203"/>
      <c r="E112" s="218"/>
      <c r="F112" s="204"/>
      <c r="G112" s="204"/>
      <c r="H112" s="203"/>
      <c r="I112" s="204"/>
      <c r="J112" s="204"/>
      <c r="K112" s="87"/>
      <c r="L112" s="293"/>
    </row>
    <row r="115" spans="1:12">
      <c r="A115" s="811" t="str">
        <f>K115</f>
        <v>LC-6</v>
      </c>
      <c r="B115" s="31" t="str">
        <f>VLOOKUP(A115,LC_DEF_2!A45:B92,2,FALSE)</f>
        <v>NS LWL No Live load  Comb-2</v>
      </c>
      <c r="C115" s="31"/>
      <c r="D115" s="31"/>
      <c r="E115" s="32"/>
      <c r="F115" s="1599" t="s">
        <v>742</v>
      </c>
      <c r="G115" s="1635"/>
      <c r="H115" s="1635"/>
      <c r="I115" s="1635"/>
      <c r="J115" s="1600"/>
      <c r="K115" s="1580" t="s">
        <v>216</v>
      </c>
      <c r="L115" s="293"/>
    </row>
    <row r="116" spans="1:12" ht="18">
      <c r="A116" s="25" t="s">
        <v>73</v>
      </c>
      <c r="B116" s="26" t="s">
        <v>74</v>
      </c>
      <c r="C116" s="26"/>
      <c r="D116" s="26"/>
      <c r="E116" s="27"/>
      <c r="F116" s="58" t="s">
        <v>23</v>
      </c>
      <c r="G116" s="58" t="s">
        <v>87</v>
      </c>
      <c r="H116" s="58" t="s">
        <v>212</v>
      </c>
      <c r="I116" s="58" t="s">
        <v>80</v>
      </c>
      <c r="J116" s="58" t="s">
        <v>81</v>
      </c>
      <c r="K116" s="433"/>
      <c r="L116" s="293"/>
    </row>
    <row r="117" spans="1:12">
      <c r="A117" s="25"/>
      <c r="B117" s="26"/>
      <c r="C117" s="26"/>
      <c r="D117" s="26"/>
      <c r="E117" s="27"/>
      <c r="F117" s="36" t="s">
        <v>34</v>
      </c>
      <c r="G117" s="36" t="s">
        <v>34</v>
      </c>
      <c r="H117" s="36" t="s">
        <v>34</v>
      </c>
      <c r="I117" s="36" t="s">
        <v>77</v>
      </c>
      <c r="J117" s="36" t="s">
        <v>77</v>
      </c>
      <c r="K117" s="433"/>
      <c r="L117" s="293"/>
    </row>
    <row r="118" spans="1:12">
      <c r="A118" s="25" t="s">
        <v>88</v>
      </c>
      <c r="B118" s="26" t="s">
        <v>75</v>
      </c>
      <c r="C118" s="26"/>
      <c r="D118" s="26"/>
      <c r="E118" s="27"/>
      <c r="F118" s="195">
        <f>SF!F14</f>
        <v>365.08803866482532</v>
      </c>
      <c r="G118" s="210"/>
      <c r="H118" s="34"/>
      <c r="I118" s="195">
        <f>SF!I14</f>
        <v>0</v>
      </c>
      <c r="J118" s="195">
        <f>SF!J14</f>
        <v>0</v>
      </c>
      <c r="K118" s="511">
        <v>1</v>
      </c>
      <c r="L118" s="266"/>
    </row>
    <row r="119" spans="1:12">
      <c r="A119" s="25" t="s">
        <v>90</v>
      </c>
      <c r="B119" s="26" t="s">
        <v>249</v>
      </c>
      <c r="C119" s="26"/>
      <c r="D119" s="26"/>
      <c r="E119" s="27"/>
      <c r="F119" s="195">
        <f>SF!F16</f>
        <v>36.639026644707663</v>
      </c>
      <c r="G119" s="210"/>
      <c r="H119" s="34"/>
      <c r="I119" s="195">
        <f>SF!I16</f>
        <v>0</v>
      </c>
      <c r="J119" s="195">
        <f>SF!J16</f>
        <v>0</v>
      </c>
      <c r="K119" s="511">
        <v>1</v>
      </c>
      <c r="L119" s="266"/>
    </row>
    <row r="120" spans="1:12">
      <c r="A120" s="25" t="s">
        <v>250</v>
      </c>
      <c r="B120" s="26" t="s">
        <v>967</v>
      </c>
      <c r="C120" s="26"/>
      <c r="D120" s="26"/>
      <c r="E120" s="27"/>
      <c r="F120" s="195">
        <f>SF!F19</f>
        <v>230</v>
      </c>
      <c r="G120" s="27"/>
      <c r="H120" s="34"/>
      <c r="I120" s="195">
        <f>SF!I19</f>
        <v>-115</v>
      </c>
      <c r="J120" s="195">
        <f>SF!J19</f>
        <v>0</v>
      </c>
      <c r="K120" s="433">
        <v>1</v>
      </c>
      <c r="L120" s="11"/>
    </row>
    <row r="121" spans="1:12">
      <c r="A121" s="25" t="s">
        <v>251</v>
      </c>
      <c r="B121" s="26" t="s">
        <v>968</v>
      </c>
      <c r="C121" s="26"/>
      <c r="D121" s="26"/>
      <c r="E121" s="27"/>
      <c r="F121" s="195">
        <f>SF!F20</f>
        <v>20.660000000000004</v>
      </c>
      <c r="G121" s="27"/>
      <c r="H121" s="34"/>
      <c r="I121" s="195">
        <f>SF!I20</f>
        <v>-10.330000000000002</v>
      </c>
      <c r="J121" s="195">
        <f>SF!J20</f>
        <v>0</v>
      </c>
      <c r="K121" s="433">
        <v>1</v>
      </c>
      <c r="L121" s="11"/>
    </row>
    <row r="122" spans="1:12">
      <c r="A122" s="25" t="s">
        <v>97</v>
      </c>
      <c r="B122" s="26" t="s">
        <v>969</v>
      </c>
      <c r="C122" s="26"/>
      <c r="D122" s="26"/>
      <c r="E122" s="27"/>
      <c r="F122" s="195">
        <f>SF!F21</f>
        <v>42</v>
      </c>
      <c r="G122" s="27"/>
      <c r="H122" s="34"/>
      <c r="I122" s="195">
        <f>SF!I21</f>
        <v>-14.858499999999999</v>
      </c>
      <c r="J122" s="195">
        <f>SF!J21</f>
        <v>0</v>
      </c>
      <c r="K122" s="433">
        <v>1</v>
      </c>
      <c r="L122" s="11"/>
    </row>
    <row r="123" spans="1:12">
      <c r="A123" s="25" t="s">
        <v>250</v>
      </c>
      <c r="B123" s="26" t="s">
        <v>970</v>
      </c>
      <c r="C123" s="26"/>
      <c r="D123" s="26"/>
      <c r="E123" s="27"/>
      <c r="F123" s="195">
        <f>SF!F23</f>
        <v>230</v>
      </c>
      <c r="G123" s="27"/>
      <c r="H123" s="34"/>
      <c r="I123" s="195">
        <f>SF!I23</f>
        <v>115</v>
      </c>
      <c r="J123" s="195">
        <f>SF!J23</f>
        <v>0</v>
      </c>
      <c r="K123" s="433">
        <v>1</v>
      </c>
      <c r="L123" s="11"/>
    </row>
    <row r="124" spans="1:12">
      <c r="A124" s="25" t="s">
        <v>251</v>
      </c>
      <c r="B124" s="26" t="s">
        <v>971</v>
      </c>
      <c r="C124" s="26"/>
      <c r="D124" s="26"/>
      <c r="E124" s="27"/>
      <c r="F124" s="195">
        <f>SF!F24</f>
        <v>20.660000000000004</v>
      </c>
      <c r="G124" s="27"/>
      <c r="H124" s="34"/>
      <c r="I124" s="195">
        <f>SF!I24</f>
        <v>10.330000000000002</v>
      </c>
      <c r="J124" s="195">
        <f>SF!J24</f>
        <v>0</v>
      </c>
      <c r="K124" s="433">
        <v>1</v>
      </c>
      <c r="L124" s="266"/>
    </row>
    <row r="125" spans="1:12">
      <c r="A125" s="25" t="s">
        <v>97</v>
      </c>
      <c r="B125" s="26" t="s">
        <v>972</v>
      </c>
      <c r="C125" s="26"/>
      <c r="D125" s="26"/>
      <c r="E125" s="27"/>
      <c r="F125" s="195">
        <f>SF!F25</f>
        <v>42</v>
      </c>
      <c r="G125" s="27"/>
      <c r="H125" s="34"/>
      <c r="I125" s="195">
        <f>SF!I25</f>
        <v>14.858499999999999</v>
      </c>
      <c r="J125" s="195">
        <f>SF!J25</f>
        <v>0</v>
      </c>
      <c r="K125" s="511">
        <v>1</v>
      </c>
      <c r="L125" s="11"/>
    </row>
    <row r="126" spans="1:12">
      <c r="A126" s="25" t="s">
        <v>986</v>
      </c>
      <c r="B126" s="163" t="s">
        <v>955</v>
      </c>
      <c r="C126" s="26"/>
      <c r="D126" s="26"/>
      <c r="E126" s="27"/>
      <c r="F126" s="34"/>
      <c r="G126" s="195">
        <f>SF!G40</f>
        <v>5.8532000000000011</v>
      </c>
      <c r="H126" s="34"/>
      <c r="I126" s="195">
        <f>SF!I40</f>
        <v>48.464496000000018</v>
      </c>
      <c r="J126" s="34"/>
      <c r="K126" s="433">
        <v>1.3</v>
      </c>
      <c r="L126" s="266"/>
    </row>
    <row r="127" spans="1:12">
      <c r="A127" s="253"/>
      <c r="B127" s="15"/>
      <c r="C127" s="15"/>
      <c r="D127" s="15"/>
      <c r="E127" s="22"/>
      <c r="F127" s="212"/>
      <c r="G127" s="213"/>
      <c r="H127" s="198"/>
      <c r="I127" s="198"/>
      <c r="J127" s="58"/>
      <c r="K127" s="208"/>
      <c r="L127" s="293"/>
    </row>
    <row r="128" spans="1:12">
      <c r="A128" s="46"/>
      <c r="B128" s="46"/>
      <c r="C128" s="46"/>
      <c r="D128" s="46"/>
      <c r="E128" s="46"/>
      <c r="F128" s="46"/>
      <c r="G128" s="46"/>
      <c r="H128" s="46"/>
      <c r="I128" s="46"/>
      <c r="J128" s="46"/>
      <c r="K128" s="87"/>
      <c r="L128" s="293"/>
    </row>
    <row r="129" spans="1:12">
      <c r="A129" s="220" t="s">
        <v>73</v>
      </c>
      <c r="B129" s="220" t="s">
        <v>74</v>
      </c>
      <c r="C129" s="200"/>
      <c r="D129" s="200"/>
      <c r="E129" s="217"/>
      <c r="F129" s="1636" t="s">
        <v>72</v>
      </c>
      <c r="G129" s="1637"/>
      <c r="H129" s="1637"/>
      <c r="I129" s="1637"/>
      <c r="J129" s="1638"/>
      <c r="K129" s="87"/>
      <c r="L129" s="293"/>
    </row>
    <row r="130" spans="1:12" ht="18">
      <c r="A130" s="221"/>
      <c r="B130" s="221"/>
      <c r="C130" s="201"/>
      <c r="D130" s="201"/>
      <c r="E130" s="219"/>
      <c r="F130" s="223" t="s">
        <v>23</v>
      </c>
      <c r="G130" s="223" t="s">
        <v>87</v>
      </c>
      <c r="H130" s="223" t="s">
        <v>212</v>
      </c>
      <c r="I130" s="223" t="s">
        <v>80</v>
      </c>
      <c r="J130" s="223" t="s">
        <v>81</v>
      </c>
      <c r="K130" s="87"/>
      <c r="L130" s="293"/>
    </row>
    <row r="131" spans="1:12">
      <c r="A131" s="222"/>
      <c r="B131" s="222"/>
      <c r="C131" s="203"/>
      <c r="D131" s="203"/>
      <c r="E131" s="218"/>
      <c r="F131" s="204" t="s">
        <v>34</v>
      </c>
      <c r="G131" s="204" t="s">
        <v>34</v>
      </c>
      <c r="H131" s="203" t="s">
        <v>34</v>
      </c>
      <c r="I131" s="204" t="s">
        <v>77</v>
      </c>
      <c r="J131" s="204" t="s">
        <v>77</v>
      </c>
      <c r="K131" s="87"/>
      <c r="L131" s="293"/>
    </row>
    <row r="132" spans="1:12">
      <c r="A132" s="202"/>
      <c r="B132" s="200"/>
      <c r="C132" s="200"/>
      <c r="D132" s="200"/>
      <c r="E132" s="217"/>
      <c r="F132" s="205"/>
      <c r="G132" s="205"/>
      <c r="H132" s="201"/>
      <c r="I132" s="205"/>
      <c r="J132" s="205"/>
      <c r="K132" s="87"/>
      <c r="L132" s="293"/>
    </row>
    <row r="133" spans="1:12">
      <c r="A133" s="205" t="str">
        <f>A115</f>
        <v>LC-6</v>
      </c>
      <c r="B133" s="201" t="str">
        <f>B115</f>
        <v>NS LWL No Live load  Comb-2</v>
      </c>
      <c r="C133" s="201"/>
      <c r="D133" s="201"/>
      <c r="E133" s="219"/>
      <c r="F133" s="205">
        <f>SUMPRODUCT(F118:F126,$K$118:$K$126)</f>
        <v>987.04706530953285</v>
      </c>
      <c r="G133" s="219">
        <f>SUMPRODUCT(G118:G126,$K$118:$K$126)</f>
        <v>7.6091600000000019</v>
      </c>
      <c r="H133" s="219">
        <f>SUMPRODUCT(H118:H126,$K$118:$K$126)</f>
        <v>0</v>
      </c>
      <c r="I133" s="219">
        <f>SUMPRODUCT(I118:I126,$K$118:$K$126)</f>
        <v>63.003844800000024</v>
      </c>
      <c r="J133" s="219">
        <f>SUMPRODUCT(J118:J126,$K$118:$K$126)</f>
        <v>0</v>
      </c>
      <c r="K133" s="87"/>
      <c r="L133" s="293"/>
    </row>
    <row r="134" spans="1:12">
      <c r="A134" s="204"/>
      <c r="B134" s="203"/>
      <c r="C134" s="203"/>
      <c r="D134" s="203"/>
      <c r="E134" s="218"/>
      <c r="F134" s="204"/>
      <c r="G134" s="204"/>
      <c r="H134" s="203"/>
      <c r="I134" s="204"/>
      <c r="J134" s="204"/>
      <c r="K134" s="87"/>
      <c r="L134" s="293"/>
    </row>
    <row r="137" spans="1:12">
      <c r="A137" s="811" t="str">
        <f>K137</f>
        <v>LC-7</v>
      </c>
      <c r="B137" s="31" t="str">
        <f>VLOOKUP(A137,LC_DEF_2!A45:B92,2,FALSE)</f>
        <v>NS LWL With LL max reaction case  Comb-2</v>
      </c>
      <c r="C137" s="31"/>
      <c r="D137" s="31"/>
      <c r="E137" s="32"/>
      <c r="F137" s="1599" t="s">
        <v>742</v>
      </c>
      <c r="G137" s="1635"/>
      <c r="H137" s="1635"/>
      <c r="I137" s="1635"/>
      <c r="J137" s="1600"/>
      <c r="K137" s="1580" t="s">
        <v>222</v>
      </c>
      <c r="L137" s="293"/>
    </row>
    <row r="138" spans="1:12" ht="18">
      <c r="A138" s="25" t="s">
        <v>73</v>
      </c>
      <c r="B138" s="26" t="s">
        <v>74</v>
      </c>
      <c r="C138" s="26"/>
      <c r="D138" s="26"/>
      <c r="E138" s="27"/>
      <c r="F138" s="58" t="s">
        <v>23</v>
      </c>
      <c r="G138" s="58" t="s">
        <v>87</v>
      </c>
      <c r="H138" s="58" t="s">
        <v>212</v>
      </c>
      <c r="I138" s="58" t="s">
        <v>80</v>
      </c>
      <c r="J138" s="58" t="s">
        <v>81</v>
      </c>
      <c r="K138" s="433"/>
      <c r="L138" s="293"/>
    </row>
    <row r="139" spans="1:12">
      <c r="A139" s="25"/>
      <c r="B139" s="26"/>
      <c r="C139" s="26"/>
      <c r="D139" s="26"/>
      <c r="E139" s="27"/>
      <c r="F139" s="36" t="s">
        <v>34</v>
      </c>
      <c r="G139" s="36" t="s">
        <v>34</v>
      </c>
      <c r="H139" s="36" t="s">
        <v>34</v>
      </c>
      <c r="I139" s="36" t="s">
        <v>77</v>
      </c>
      <c r="J139" s="36" t="s">
        <v>77</v>
      </c>
      <c r="K139" s="433"/>
      <c r="L139" s="293"/>
    </row>
    <row r="140" spans="1:12">
      <c r="A140" s="25" t="s">
        <v>88</v>
      </c>
      <c r="B140" s="26" t="s">
        <v>75</v>
      </c>
      <c r="C140" s="26"/>
      <c r="D140" s="26"/>
      <c r="E140" s="27"/>
      <c r="F140" s="195">
        <f>SF!F14</f>
        <v>365.08803866482532</v>
      </c>
      <c r="G140" s="210"/>
      <c r="H140" s="34"/>
      <c r="I140" s="195">
        <f>SF!I14</f>
        <v>0</v>
      </c>
      <c r="J140" s="195">
        <f>SF!J14</f>
        <v>0</v>
      </c>
      <c r="K140" s="511">
        <v>1</v>
      </c>
      <c r="L140" s="266"/>
    </row>
    <row r="141" spans="1:12">
      <c r="A141" s="25" t="s">
        <v>90</v>
      </c>
      <c r="B141" s="26" t="s">
        <v>249</v>
      </c>
      <c r="C141" s="26"/>
      <c r="D141" s="26"/>
      <c r="E141" s="27"/>
      <c r="F141" s="195">
        <f>SF!F16</f>
        <v>36.639026644707663</v>
      </c>
      <c r="G141" s="210"/>
      <c r="H141" s="34"/>
      <c r="I141" s="195">
        <f>SF!I16</f>
        <v>0</v>
      </c>
      <c r="J141" s="195">
        <f>SF!J16</f>
        <v>0</v>
      </c>
      <c r="K141" s="511">
        <v>1</v>
      </c>
      <c r="L141" s="266"/>
    </row>
    <row r="142" spans="1:12">
      <c r="A142" s="25" t="s">
        <v>250</v>
      </c>
      <c r="B142" s="26" t="s">
        <v>967</v>
      </c>
      <c r="C142" s="26"/>
      <c r="D142" s="26"/>
      <c r="E142" s="27"/>
      <c r="F142" s="195">
        <f>SF!F19</f>
        <v>230</v>
      </c>
      <c r="G142" s="27"/>
      <c r="H142" s="34"/>
      <c r="I142" s="195">
        <f>SF!I19</f>
        <v>-115</v>
      </c>
      <c r="J142" s="195">
        <f>SF!J19</f>
        <v>0</v>
      </c>
      <c r="K142" s="433">
        <v>1</v>
      </c>
      <c r="L142" s="11"/>
    </row>
    <row r="143" spans="1:12">
      <c r="A143" s="25" t="s">
        <v>251</v>
      </c>
      <c r="B143" s="26" t="s">
        <v>968</v>
      </c>
      <c r="C143" s="26"/>
      <c r="D143" s="26"/>
      <c r="E143" s="27"/>
      <c r="F143" s="195">
        <f>SF!F20</f>
        <v>20.660000000000004</v>
      </c>
      <c r="G143" s="27"/>
      <c r="H143" s="34"/>
      <c r="I143" s="195">
        <f>SF!I20</f>
        <v>-10.330000000000002</v>
      </c>
      <c r="J143" s="195">
        <f>SF!J20</f>
        <v>0</v>
      </c>
      <c r="K143" s="433">
        <v>1</v>
      </c>
      <c r="L143" s="11"/>
    </row>
    <row r="144" spans="1:12">
      <c r="A144" s="25" t="s">
        <v>97</v>
      </c>
      <c r="B144" s="26" t="s">
        <v>969</v>
      </c>
      <c r="C144" s="26"/>
      <c r="D144" s="26"/>
      <c r="E144" s="27"/>
      <c r="F144" s="195">
        <f>SF!F21</f>
        <v>42</v>
      </c>
      <c r="G144" s="27"/>
      <c r="H144" s="34"/>
      <c r="I144" s="195">
        <f>SF!I21</f>
        <v>-14.858499999999999</v>
      </c>
      <c r="J144" s="195">
        <f>SF!J21</f>
        <v>0</v>
      </c>
      <c r="K144" s="433">
        <v>1</v>
      </c>
      <c r="L144" s="11"/>
    </row>
    <row r="145" spans="1:12">
      <c r="A145" s="25" t="s">
        <v>250</v>
      </c>
      <c r="B145" s="26" t="s">
        <v>970</v>
      </c>
      <c r="C145" s="26"/>
      <c r="D145" s="26"/>
      <c r="E145" s="27"/>
      <c r="F145" s="195">
        <f>SF!F23</f>
        <v>230</v>
      </c>
      <c r="G145" s="27"/>
      <c r="H145" s="34"/>
      <c r="I145" s="195">
        <f>SF!I23</f>
        <v>115</v>
      </c>
      <c r="J145" s="195">
        <f>SF!J23</f>
        <v>0</v>
      </c>
      <c r="K145" s="433">
        <v>1</v>
      </c>
      <c r="L145" s="11"/>
    </row>
    <row r="146" spans="1:12">
      <c r="A146" s="25" t="s">
        <v>251</v>
      </c>
      <c r="B146" s="26" t="s">
        <v>971</v>
      </c>
      <c r="C146" s="26"/>
      <c r="D146" s="26"/>
      <c r="E146" s="27"/>
      <c r="F146" s="195">
        <f>SF!F24</f>
        <v>20.660000000000004</v>
      </c>
      <c r="G146" s="27"/>
      <c r="H146" s="34"/>
      <c r="I146" s="195">
        <f>SF!I24</f>
        <v>10.330000000000002</v>
      </c>
      <c r="J146" s="195">
        <f>SF!J24</f>
        <v>0</v>
      </c>
      <c r="K146" s="433">
        <v>1</v>
      </c>
      <c r="L146" s="266"/>
    </row>
    <row r="147" spans="1:12">
      <c r="A147" s="25" t="s">
        <v>97</v>
      </c>
      <c r="B147" s="26" t="s">
        <v>972</v>
      </c>
      <c r="C147" s="26"/>
      <c r="D147" s="26"/>
      <c r="E147" s="27"/>
      <c r="F147" s="195">
        <f>SF!F25</f>
        <v>42</v>
      </c>
      <c r="G147" s="27"/>
      <c r="H147" s="34"/>
      <c r="I147" s="195">
        <f>SF!I25</f>
        <v>14.858499999999999</v>
      </c>
      <c r="J147" s="195">
        <f>SF!J25</f>
        <v>0</v>
      </c>
      <c r="K147" s="511">
        <v>1</v>
      </c>
      <c r="L147" s="11"/>
    </row>
    <row r="148" spans="1:12">
      <c r="A148" s="25" t="s">
        <v>976</v>
      </c>
      <c r="B148" s="26" t="s">
        <v>978</v>
      </c>
      <c r="C148" s="26"/>
      <c r="D148" s="26"/>
      <c r="E148" s="27"/>
      <c r="F148" s="195">
        <f>SF!F29</f>
        <v>65.160399999999996</v>
      </c>
      <c r="G148" s="27"/>
      <c r="H148" s="34"/>
      <c r="I148" s="195">
        <f>SF!I29</f>
        <v>-32.580199999999998</v>
      </c>
      <c r="J148" s="195">
        <f>SF!J29</f>
        <v>-10.105732306306301</v>
      </c>
      <c r="K148" s="511">
        <v>1.3</v>
      </c>
      <c r="L148" s="11"/>
    </row>
    <row r="149" spans="1:12">
      <c r="A149" s="25" t="s">
        <v>977</v>
      </c>
      <c r="B149" s="26" t="s">
        <v>979</v>
      </c>
      <c r="C149" s="26"/>
      <c r="D149" s="26"/>
      <c r="E149" s="27"/>
      <c r="F149" s="195">
        <f>SF!F30</f>
        <v>75.185314285714313</v>
      </c>
      <c r="G149" s="27"/>
      <c r="H149" s="34"/>
      <c r="I149" s="195">
        <f>SF!I30</f>
        <v>37.592657142857156</v>
      </c>
      <c r="J149" s="195">
        <f>SF!J30</f>
        <v>-11.660497166023164</v>
      </c>
      <c r="K149" s="511">
        <v>1.3</v>
      </c>
      <c r="L149" s="266"/>
    </row>
    <row r="150" spans="1:12">
      <c r="A150" s="25" t="s">
        <v>984</v>
      </c>
      <c r="B150" s="163" t="s">
        <v>951</v>
      </c>
      <c r="C150" s="26"/>
      <c r="D150" s="26"/>
      <c r="E150" s="27"/>
      <c r="F150" s="34"/>
      <c r="G150" s="195">
        <f>SF!G38</f>
        <v>32.051277714285717</v>
      </c>
      <c r="H150" s="34"/>
      <c r="I150" s="195">
        <f>SF!I38</f>
        <v>265.38457947428577</v>
      </c>
      <c r="J150" s="34"/>
      <c r="K150" s="433">
        <v>1.3</v>
      </c>
      <c r="L150" s="266"/>
    </row>
    <row r="151" spans="1:12">
      <c r="A151" s="253"/>
      <c r="B151" s="15"/>
      <c r="C151" s="15"/>
      <c r="D151" s="15"/>
      <c r="E151" s="22"/>
      <c r="F151" s="212"/>
      <c r="G151" s="213"/>
      <c r="H151" s="198"/>
      <c r="I151" s="198"/>
      <c r="J151" s="58"/>
      <c r="K151" s="208"/>
      <c r="L151" s="293"/>
    </row>
    <row r="152" spans="1:12">
      <c r="A152" s="46"/>
      <c r="B152" s="46"/>
      <c r="C152" s="46"/>
      <c r="D152" s="46"/>
      <c r="E152" s="46"/>
      <c r="F152" s="46"/>
      <c r="G152" s="46"/>
      <c r="H152" s="46"/>
      <c r="I152" s="46"/>
      <c r="J152" s="46"/>
      <c r="K152" s="87"/>
      <c r="L152" s="293"/>
    </row>
    <row r="153" spans="1:12">
      <c r="A153" s="220" t="s">
        <v>73</v>
      </c>
      <c r="B153" s="220" t="s">
        <v>74</v>
      </c>
      <c r="C153" s="200"/>
      <c r="D153" s="200"/>
      <c r="E153" s="217"/>
      <c r="F153" s="1636" t="s">
        <v>72</v>
      </c>
      <c r="G153" s="1637"/>
      <c r="H153" s="1637"/>
      <c r="I153" s="1637"/>
      <c r="J153" s="1638"/>
      <c r="K153" s="87"/>
      <c r="L153" s="293"/>
    </row>
    <row r="154" spans="1:12" ht="18">
      <c r="A154" s="221"/>
      <c r="B154" s="221"/>
      <c r="C154" s="201"/>
      <c r="D154" s="201"/>
      <c r="E154" s="219"/>
      <c r="F154" s="223" t="s">
        <v>23</v>
      </c>
      <c r="G154" s="223" t="s">
        <v>87</v>
      </c>
      <c r="H154" s="223" t="s">
        <v>212</v>
      </c>
      <c r="I154" s="223" t="s">
        <v>80</v>
      </c>
      <c r="J154" s="223" t="s">
        <v>81</v>
      </c>
      <c r="K154" s="87"/>
      <c r="L154" s="293"/>
    </row>
    <row r="155" spans="1:12">
      <c r="A155" s="222"/>
      <c r="B155" s="222"/>
      <c r="C155" s="203"/>
      <c r="D155" s="203"/>
      <c r="E155" s="218"/>
      <c r="F155" s="204" t="s">
        <v>34</v>
      </c>
      <c r="G155" s="204" t="s">
        <v>34</v>
      </c>
      <c r="H155" s="203" t="s">
        <v>34</v>
      </c>
      <c r="I155" s="204" t="s">
        <v>77</v>
      </c>
      <c r="J155" s="204" t="s">
        <v>77</v>
      </c>
      <c r="K155" s="87"/>
      <c r="L155" s="293"/>
    </row>
    <row r="156" spans="1:12">
      <c r="A156" s="202"/>
      <c r="B156" s="200"/>
      <c r="C156" s="200"/>
      <c r="D156" s="200"/>
      <c r="E156" s="217"/>
      <c r="F156" s="205"/>
      <c r="G156" s="205"/>
      <c r="H156" s="201"/>
      <c r="I156" s="205"/>
      <c r="J156" s="205"/>
      <c r="K156" s="87"/>
      <c r="L156" s="293"/>
    </row>
    <row r="157" spans="1:12">
      <c r="A157" s="205" t="str">
        <f>A137</f>
        <v>LC-7</v>
      </c>
      <c r="B157" s="201" t="str">
        <f>B137</f>
        <v>NS LWL With LL max reaction case  Comb-2</v>
      </c>
      <c r="C157" s="201"/>
      <c r="D157" s="201"/>
      <c r="E157" s="219"/>
      <c r="F157" s="205">
        <f>SUMPRODUCT(F140:F150,$K$140:$K$150)</f>
        <v>1169.4964938809615</v>
      </c>
      <c r="G157" s="219">
        <f>SUMPRODUCT(G140:G150,$K$140:$K$150)</f>
        <v>41.666661028571433</v>
      </c>
      <c r="H157" s="219">
        <f>SUMPRODUCT(H140:H150,$K$140:$K$150)</f>
        <v>0</v>
      </c>
      <c r="I157" s="219">
        <f>SUMPRODUCT(I140:I150,$K$140:$K$150)</f>
        <v>351.51614760228586</v>
      </c>
      <c r="J157" s="219">
        <f>SUMPRODUCT(J140:J150,$K$140:$K$150)</f>
        <v>-28.296098314028306</v>
      </c>
      <c r="K157" s="87"/>
      <c r="L157" s="293"/>
    </row>
    <row r="158" spans="1:12">
      <c r="A158" s="204"/>
      <c r="B158" s="203"/>
      <c r="C158" s="203"/>
      <c r="D158" s="203"/>
      <c r="E158" s="218"/>
      <c r="F158" s="204"/>
      <c r="G158" s="204"/>
      <c r="H158" s="203"/>
      <c r="I158" s="204"/>
      <c r="J158" s="204"/>
      <c r="K158" s="87"/>
      <c r="L158" s="293"/>
    </row>
    <row r="161" spans="1:12">
      <c r="A161" s="811" t="str">
        <f>K161</f>
        <v>LC-8</v>
      </c>
      <c r="B161" s="31" t="str">
        <f>VLOOKUP(A161,LC_DEF_2!A45:B92,2,FALSE)</f>
        <v>NS LWL With LL max moment case  Comb-2</v>
      </c>
      <c r="C161" s="31"/>
      <c r="D161" s="31"/>
      <c r="E161" s="32"/>
      <c r="F161" s="1599" t="s">
        <v>742</v>
      </c>
      <c r="G161" s="1635"/>
      <c r="H161" s="1635"/>
      <c r="I161" s="1635"/>
      <c r="J161" s="1600"/>
      <c r="K161" s="1580" t="s">
        <v>223</v>
      </c>
      <c r="L161" s="293"/>
    </row>
    <row r="162" spans="1:12" ht="18">
      <c r="A162" s="25" t="s">
        <v>73</v>
      </c>
      <c r="B162" s="26" t="s">
        <v>74</v>
      </c>
      <c r="C162" s="26"/>
      <c r="D162" s="26"/>
      <c r="E162" s="27"/>
      <c r="F162" s="58" t="s">
        <v>23</v>
      </c>
      <c r="G162" s="58" t="s">
        <v>87</v>
      </c>
      <c r="H162" s="58" t="s">
        <v>212</v>
      </c>
      <c r="I162" s="58" t="s">
        <v>80</v>
      </c>
      <c r="J162" s="58" t="s">
        <v>81</v>
      </c>
      <c r="K162" s="433"/>
      <c r="L162" s="293"/>
    </row>
    <row r="163" spans="1:12">
      <c r="A163" s="25"/>
      <c r="B163" s="26"/>
      <c r="C163" s="26"/>
      <c r="D163" s="26"/>
      <c r="E163" s="27"/>
      <c r="F163" s="36" t="s">
        <v>34</v>
      </c>
      <c r="G163" s="36" t="s">
        <v>34</v>
      </c>
      <c r="H163" s="36" t="s">
        <v>34</v>
      </c>
      <c r="I163" s="36" t="s">
        <v>77</v>
      </c>
      <c r="J163" s="36" t="s">
        <v>77</v>
      </c>
      <c r="K163" s="433"/>
      <c r="L163" s="293"/>
    </row>
    <row r="164" spans="1:12">
      <c r="A164" s="25" t="s">
        <v>88</v>
      </c>
      <c r="B164" s="26" t="s">
        <v>75</v>
      </c>
      <c r="C164" s="26"/>
      <c r="D164" s="26"/>
      <c r="E164" s="27"/>
      <c r="F164" s="195">
        <f>SF!F14</f>
        <v>365.08803866482532</v>
      </c>
      <c r="G164" s="210"/>
      <c r="H164" s="34"/>
      <c r="I164" s="195">
        <f>SF!I14</f>
        <v>0</v>
      </c>
      <c r="J164" s="195">
        <f>SF!J14</f>
        <v>0</v>
      </c>
      <c r="K164" s="511">
        <v>1</v>
      </c>
      <c r="L164" s="266"/>
    </row>
    <row r="165" spans="1:12">
      <c r="A165" s="25" t="s">
        <v>90</v>
      </c>
      <c r="B165" s="26" t="s">
        <v>249</v>
      </c>
      <c r="C165" s="26"/>
      <c r="D165" s="26"/>
      <c r="E165" s="27"/>
      <c r="F165" s="195">
        <f>SF!F16</f>
        <v>36.639026644707663</v>
      </c>
      <c r="G165" s="210"/>
      <c r="H165" s="34"/>
      <c r="I165" s="195">
        <f>SF!I16</f>
        <v>0</v>
      </c>
      <c r="J165" s="195">
        <f>SF!J16</f>
        <v>0</v>
      </c>
      <c r="K165" s="511">
        <v>1</v>
      </c>
      <c r="L165" s="266"/>
    </row>
    <row r="166" spans="1:12">
      <c r="A166" s="25" t="s">
        <v>250</v>
      </c>
      <c r="B166" s="26" t="s">
        <v>967</v>
      </c>
      <c r="C166" s="26"/>
      <c r="D166" s="26"/>
      <c r="E166" s="27"/>
      <c r="F166" s="195">
        <f>SF!F19</f>
        <v>230</v>
      </c>
      <c r="G166" s="27"/>
      <c r="H166" s="34"/>
      <c r="I166" s="195">
        <f>SF!I19</f>
        <v>-115</v>
      </c>
      <c r="J166" s="195">
        <f>SF!J19</f>
        <v>0</v>
      </c>
      <c r="K166" s="433">
        <v>1</v>
      </c>
      <c r="L166" s="11"/>
    </row>
    <row r="167" spans="1:12">
      <c r="A167" s="25" t="s">
        <v>251</v>
      </c>
      <c r="B167" s="26" t="s">
        <v>968</v>
      </c>
      <c r="C167" s="26"/>
      <c r="D167" s="26"/>
      <c r="E167" s="27"/>
      <c r="F167" s="195">
        <f>SF!F20</f>
        <v>20.660000000000004</v>
      </c>
      <c r="G167" s="27"/>
      <c r="H167" s="34"/>
      <c r="I167" s="195">
        <f>SF!I20</f>
        <v>-10.330000000000002</v>
      </c>
      <c r="J167" s="195">
        <f>SF!J20</f>
        <v>0</v>
      </c>
      <c r="K167" s="433">
        <v>1</v>
      </c>
      <c r="L167" s="11"/>
    </row>
    <row r="168" spans="1:12">
      <c r="A168" s="25" t="s">
        <v>97</v>
      </c>
      <c r="B168" s="26" t="s">
        <v>969</v>
      </c>
      <c r="C168" s="26"/>
      <c r="D168" s="26"/>
      <c r="E168" s="27"/>
      <c r="F168" s="195">
        <f>SF!F21</f>
        <v>42</v>
      </c>
      <c r="G168" s="27"/>
      <c r="H168" s="34"/>
      <c r="I168" s="195">
        <f>SF!I21</f>
        <v>-14.858499999999999</v>
      </c>
      <c r="J168" s="195">
        <f>SF!J21</f>
        <v>0</v>
      </c>
      <c r="K168" s="433">
        <v>1</v>
      </c>
      <c r="L168" s="11"/>
    </row>
    <row r="169" spans="1:12">
      <c r="A169" s="25" t="s">
        <v>250</v>
      </c>
      <c r="B169" s="26" t="s">
        <v>970</v>
      </c>
      <c r="C169" s="26"/>
      <c r="D169" s="26"/>
      <c r="E169" s="27"/>
      <c r="F169" s="195">
        <f>SF!F23</f>
        <v>230</v>
      </c>
      <c r="G169" s="27"/>
      <c r="H169" s="34"/>
      <c r="I169" s="195">
        <f>SF!I23</f>
        <v>115</v>
      </c>
      <c r="J169" s="195">
        <f>SF!J23</f>
        <v>0</v>
      </c>
      <c r="K169" s="433">
        <v>1</v>
      </c>
      <c r="L169" s="11"/>
    </row>
    <row r="170" spans="1:12">
      <c r="A170" s="25" t="s">
        <v>251</v>
      </c>
      <c r="B170" s="26" t="s">
        <v>971</v>
      </c>
      <c r="C170" s="26"/>
      <c r="D170" s="26"/>
      <c r="E170" s="27"/>
      <c r="F170" s="195">
        <f>SF!F24</f>
        <v>20.660000000000004</v>
      </c>
      <c r="G170" s="27"/>
      <c r="H170" s="34"/>
      <c r="I170" s="195">
        <f>SF!I24</f>
        <v>10.330000000000002</v>
      </c>
      <c r="J170" s="195">
        <f>SF!J24</f>
        <v>0</v>
      </c>
      <c r="K170" s="433">
        <v>1</v>
      </c>
      <c r="L170" s="266"/>
    </row>
    <row r="171" spans="1:12">
      <c r="A171" s="25" t="s">
        <v>97</v>
      </c>
      <c r="B171" s="26" t="s">
        <v>972</v>
      </c>
      <c r="C171" s="26"/>
      <c r="D171" s="26"/>
      <c r="E171" s="27"/>
      <c r="F171" s="195">
        <f>SF!F25</f>
        <v>42</v>
      </c>
      <c r="G171" s="27"/>
      <c r="H171" s="34"/>
      <c r="I171" s="195">
        <f>SF!I25</f>
        <v>14.858499999999999</v>
      </c>
      <c r="J171" s="195">
        <f>SF!J25</f>
        <v>0</v>
      </c>
      <c r="K171" s="511">
        <v>1</v>
      </c>
      <c r="L171" s="11"/>
    </row>
    <row r="172" spans="1:12">
      <c r="A172" s="25" t="s">
        <v>976</v>
      </c>
      <c r="B172" s="26" t="s">
        <v>981</v>
      </c>
      <c r="C172" s="26"/>
      <c r="D172" s="26"/>
      <c r="E172" s="27"/>
      <c r="F172" s="195">
        <f>SF!F33</f>
        <v>0</v>
      </c>
      <c r="G172" s="27"/>
      <c r="H172" s="34"/>
      <c r="I172" s="195">
        <f>SF!I33</f>
        <v>0</v>
      </c>
      <c r="J172" s="195">
        <f>SF!J33</f>
        <v>0</v>
      </c>
      <c r="K172" s="433">
        <v>1.3</v>
      </c>
      <c r="L172" s="266"/>
    </row>
    <row r="173" spans="1:12">
      <c r="A173" s="25" t="s">
        <v>977</v>
      </c>
      <c r="B173" s="26" t="s">
        <v>982</v>
      </c>
      <c r="C173" s="26"/>
      <c r="D173" s="26"/>
      <c r="E173" s="27"/>
      <c r="F173" s="195">
        <f>SF!F34</f>
        <v>127.89948571428575</v>
      </c>
      <c r="G173" s="27"/>
      <c r="H173" s="34"/>
      <c r="I173" s="195">
        <f>SF!I34</f>
        <v>63.949742857142873</v>
      </c>
      <c r="J173" s="195">
        <f>SF!J34</f>
        <v>-19.835942761904757</v>
      </c>
      <c r="K173" s="433">
        <v>1.3</v>
      </c>
      <c r="L173" s="266"/>
    </row>
    <row r="174" spans="1:12">
      <c r="A174" s="25" t="s">
        <v>985</v>
      </c>
      <c r="B174" s="163" t="s">
        <v>953</v>
      </c>
      <c r="C174" s="26"/>
      <c r="D174" s="26"/>
      <c r="E174" s="27"/>
      <c r="F174" s="34"/>
      <c r="G174" s="195">
        <f>SF!G39</f>
        <v>29.998225714285713</v>
      </c>
      <c r="H174" s="34"/>
      <c r="I174" s="195">
        <f>SF!I39</f>
        <v>248.38530891428573</v>
      </c>
      <c r="J174" s="34"/>
      <c r="K174" s="433">
        <v>1.3</v>
      </c>
      <c r="L174" s="266"/>
    </row>
    <row r="175" spans="1:12">
      <c r="A175" s="253"/>
      <c r="B175" s="15"/>
      <c r="C175" s="15"/>
      <c r="D175" s="15"/>
      <c r="E175" s="22"/>
      <c r="F175" s="212"/>
      <c r="G175" s="213"/>
      <c r="H175" s="198"/>
      <c r="I175" s="198"/>
      <c r="J175" s="58"/>
      <c r="K175" s="208"/>
      <c r="L175" s="293"/>
    </row>
    <row r="176" spans="1:12">
      <c r="A176" s="46"/>
      <c r="B176" s="46"/>
      <c r="C176" s="46"/>
      <c r="D176" s="46"/>
      <c r="E176" s="46"/>
      <c r="F176" s="46"/>
      <c r="G176" s="46"/>
      <c r="H176" s="46"/>
      <c r="I176" s="46"/>
      <c r="J176" s="46"/>
      <c r="K176" s="87"/>
      <c r="L176" s="293"/>
    </row>
    <row r="177" spans="1:12">
      <c r="A177" s="220" t="s">
        <v>73</v>
      </c>
      <c r="B177" s="220" t="s">
        <v>74</v>
      </c>
      <c r="C177" s="200"/>
      <c r="D177" s="200"/>
      <c r="E177" s="217"/>
      <c r="F177" s="1636" t="s">
        <v>72</v>
      </c>
      <c r="G177" s="1637"/>
      <c r="H177" s="1637"/>
      <c r="I177" s="1637"/>
      <c r="J177" s="1638"/>
      <c r="K177" s="87"/>
      <c r="L177" s="293"/>
    </row>
    <row r="178" spans="1:12" ht="18">
      <c r="A178" s="221"/>
      <c r="B178" s="221"/>
      <c r="C178" s="201"/>
      <c r="D178" s="201"/>
      <c r="E178" s="219"/>
      <c r="F178" s="223" t="s">
        <v>23</v>
      </c>
      <c r="G178" s="223" t="s">
        <v>87</v>
      </c>
      <c r="H178" s="223" t="s">
        <v>212</v>
      </c>
      <c r="I178" s="223" t="s">
        <v>80</v>
      </c>
      <c r="J178" s="223" t="s">
        <v>81</v>
      </c>
      <c r="K178" s="87"/>
      <c r="L178" s="293"/>
    </row>
    <row r="179" spans="1:12">
      <c r="A179" s="222"/>
      <c r="B179" s="222"/>
      <c r="C179" s="203"/>
      <c r="D179" s="203"/>
      <c r="E179" s="218"/>
      <c r="F179" s="204" t="s">
        <v>34</v>
      </c>
      <c r="G179" s="204" t="s">
        <v>34</v>
      </c>
      <c r="H179" s="203" t="s">
        <v>34</v>
      </c>
      <c r="I179" s="204" t="s">
        <v>77</v>
      </c>
      <c r="J179" s="204" t="s">
        <v>77</v>
      </c>
      <c r="K179" s="87"/>
      <c r="L179" s="293"/>
    </row>
    <row r="180" spans="1:12">
      <c r="A180" s="202"/>
      <c r="B180" s="200"/>
      <c r="C180" s="200"/>
      <c r="D180" s="200"/>
      <c r="E180" s="217"/>
      <c r="F180" s="205"/>
      <c r="G180" s="205"/>
      <c r="H180" s="201"/>
      <c r="I180" s="205"/>
      <c r="J180" s="205"/>
      <c r="K180" s="87"/>
      <c r="L180" s="293"/>
    </row>
    <row r="181" spans="1:12">
      <c r="A181" s="205" t="str">
        <f>A161</f>
        <v>LC-8</v>
      </c>
      <c r="B181" s="201" t="str">
        <f>B161</f>
        <v>NS LWL With LL max moment case  Comb-2</v>
      </c>
      <c r="C181" s="201"/>
      <c r="D181" s="201"/>
      <c r="E181" s="219"/>
      <c r="F181" s="205">
        <f>SUMPRODUCT(F164:F174,$K$164:$K$174)</f>
        <v>1153.3163967381042</v>
      </c>
      <c r="G181" s="219">
        <f>SUMPRODUCT(G164:G174,$K$164:$K$174)</f>
        <v>38.997693428571431</v>
      </c>
      <c r="H181" s="219">
        <f>SUMPRODUCT(H164:H174,$K$164:$K$174)</f>
        <v>0</v>
      </c>
      <c r="I181" s="219">
        <f>SUMPRODUCT(I164:I174,$K$164:$K$174)</f>
        <v>406.0355673028572</v>
      </c>
      <c r="J181" s="219">
        <f>SUMPRODUCT(J164:J174,$K$164:$K$174)</f>
        <v>-25.786725590476184</v>
      </c>
      <c r="K181" s="87"/>
      <c r="L181" s="293"/>
    </row>
    <row r="182" spans="1:12">
      <c r="A182" s="204"/>
      <c r="B182" s="203"/>
      <c r="C182" s="203"/>
      <c r="D182" s="203"/>
      <c r="E182" s="218"/>
      <c r="F182" s="204"/>
      <c r="G182" s="204"/>
      <c r="H182" s="203"/>
      <c r="I182" s="204"/>
      <c r="J182" s="204"/>
      <c r="K182" s="87"/>
      <c r="L182" s="293"/>
    </row>
    <row r="185" spans="1:12">
      <c r="A185" s="811" t="str">
        <f>K185</f>
        <v>LC-9</v>
      </c>
      <c r="B185" s="31" t="str">
        <f>VLOOKUP(A185,LC_DEF_2!A45:B92,2,FALSE)</f>
        <v>LC-1 + Seismic Sx=1,Sz=0.3,Sy=-0.3 (50% seismic)</v>
      </c>
      <c r="C185" s="31"/>
      <c r="D185" s="31"/>
      <c r="E185" s="32"/>
      <c r="F185" s="1599" t="s">
        <v>742</v>
      </c>
      <c r="G185" s="1635"/>
      <c r="H185" s="1635"/>
      <c r="I185" s="1635"/>
      <c r="J185" s="1600"/>
      <c r="K185" s="1580" t="s">
        <v>224</v>
      </c>
      <c r="L185" s="293"/>
    </row>
    <row r="186" spans="1:12" ht="18">
      <c r="A186" s="25" t="s">
        <v>73</v>
      </c>
      <c r="B186" s="26" t="s">
        <v>74</v>
      </c>
      <c r="C186" s="26"/>
      <c r="D186" s="26"/>
      <c r="E186" s="27"/>
      <c r="F186" s="58" t="s">
        <v>23</v>
      </c>
      <c r="G186" s="58" t="s">
        <v>87</v>
      </c>
      <c r="H186" s="58" t="s">
        <v>212</v>
      </c>
      <c r="I186" s="58" t="s">
        <v>80</v>
      </c>
      <c r="J186" s="58" t="s">
        <v>81</v>
      </c>
      <c r="K186" s="433"/>
      <c r="L186" s="293"/>
    </row>
    <row r="187" spans="1:12">
      <c r="A187" s="25"/>
      <c r="B187" s="26"/>
      <c r="C187" s="26"/>
      <c r="D187" s="26"/>
      <c r="E187" s="27"/>
      <c r="F187" s="36" t="s">
        <v>34</v>
      </c>
      <c r="G187" s="36" t="s">
        <v>34</v>
      </c>
      <c r="H187" s="36" t="s">
        <v>34</v>
      </c>
      <c r="I187" s="36" t="s">
        <v>77</v>
      </c>
      <c r="J187" s="36" t="s">
        <v>77</v>
      </c>
      <c r="K187" s="433"/>
      <c r="L187" s="293"/>
    </row>
    <row r="188" spans="1:12">
      <c r="A188" s="25" t="s">
        <v>88</v>
      </c>
      <c r="B188" s="26" t="s">
        <v>75</v>
      </c>
      <c r="C188" s="26"/>
      <c r="D188" s="26"/>
      <c r="E188" s="27"/>
      <c r="F188" s="195">
        <f>SF!F14</f>
        <v>365.08803866482532</v>
      </c>
      <c r="G188" s="210"/>
      <c r="H188" s="34"/>
      <c r="I188" s="195">
        <f>SF!I14</f>
        <v>0</v>
      </c>
      <c r="J188" s="195">
        <f>SF!J14</f>
        <v>0</v>
      </c>
      <c r="K188" s="511">
        <v>1.35</v>
      </c>
      <c r="L188" s="266"/>
    </row>
    <row r="189" spans="1:12">
      <c r="A189" s="25" t="s">
        <v>90</v>
      </c>
      <c r="B189" s="26" t="s">
        <v>249</v>
      </c>
      <c r="C189" s="26"/>
      <c r="D189" s="26"/>
      <c r="E189" s="27"/>
      <c r="F189" s="195">
        <f>SF!F16</f>
        <v>36.639026644707663</v>
      </c>
      <c r="G189" s="210"/>
      <c r="H189" s="34"/>
      <c r="I189" s="195">
        <f>SF!I16</f>
        <v>0</v>
      </c>
      <c r="J189" s="195">
        <f>SF!J16</f>
        <v>0</v>
      </c>
      <c r="K189" s="511">
        <v>1.35</v>
      </c>
      <c r="L189" s="266"/>
    </row>
    <row r="190" spans="1:12">
      <c r="A190" s="25" t="s">
        <v>250</v>
      </c>
      <c r="B190" s="26" t="s">
        <v>970</v>
      </c>
      <c r="C190" s="26"/>
      <c r="D190" s="26"/>
      <c r="E190" s="27"/>
      <c r="F190" s="195">
        <f>SF!F23</f>
        <v>230</v>
      </c>
      <c r="G190" s="27"/>
      <c r="H190" s="34"/>
      <c r="I190" s="195">
        <f>SF!I23</f>
        <v>115</v>
      </c>
      <c r="J190" s="195">
        <f>SF!J23</f>
        <v>0</v>
      </c>
      <c r="K190" s="433">
        <v>1.35</v>
      </c>
      <c r="L190" s="11"/>
    </row>
    <row r="191" spans="1:12">
      <c r="A191" s="25" t="s">
        <v>251</v>
      </c>
      <c r="B191" s="26" t="s">
        <v>971</v>
      </c>
      <c r="C191" s="26"/>
      <c r="D191" s="26"/>
      <c r="E191" s="27"/>
      <c r="F191" s="195">
        <f>SF!F24</f>
        <v>20.660000000000004</v>
      </c>
      <c r="G191" s="27"/>
      <c r="H191" s="34"/>
      <c r="I191" s="195">
        <f>SF!I24</f>
        <v>10.330000000000002</v>
      </c>
      <c r="J191" s="195">
        <f>SF!J24</f>
        <v>0</v>
      </c>
      <c r="K191" s="433">
        <v>1.35</v>
      </c>
      <c r="L191" s="266"/>
    </row>
    <row r="192" spans="1:12">
      <c r="A192" s="25" t="s">
        <v>97</v>
      </c>
      <c r="B192" s="26" t="s">
        <v>972</v>
      </c>
      <c r="C192" s="26"/>
      <c r="D192" s="26"/>
      <c r="E192" s="27"/>
      <c r="F192" s="195">
        <f>SF!F25</f>
        <v>42</v>
      </c>
      <c r="G192" s="27"/>
      <c r="H192" s="34"/>
      <c r="I192" s="195">
        <f>SF!I25</f>
        <v>14.858499999999999</v>
      </c>
      <c r="J192" s="195">
        <f>SF!J25</f>
        <v>0</v>
      </c>
      <c r="K192" s="511">
        <v>1.75</v>
      </c>
      <c r="L192" s="11"/>
    </row>
    <row r="193" spans="1:12">
      <c r="A193" s="25" t="s">
        <v>987</v>
      </c>
      <c r="B193" s="163" t="s">
        <v>957</v>
      </c>
      <c r="C193" s="26"/>
      <c r="D193" s="26"/>
      <c r="E193" s="27"/>
      <c r="F193" s="34"/>
      <c r="G193" s="195">
        <f>SF!G41</f>
        <v>14.632999999999999</v>
      </c>
      <c r="H193" s="34"/>
      <c r="I193" s="195">
        <f>SF!I41</f>
        <v>121.16124000000001</v>
      </c>
      <c r="J193" s="34"/>
      <c r="K193" s="433">
        <v>0.75</v>
      </c>
      <c r="L193" s="266"/>
    </row>
    <row r="194" spans="1:12">
      <c r="A194" s="278" t="s">
        <v>200</v>
      </c>
      <c r="B194" s="262"/>
      <c r="C194" s="262"/>
      <c r="D194" s="262"/>
      <c r="E194" s="263"/>
      <c r="F194" s="279"/>
      <c r="G194" s="280"/>
      <c r="H194" s="264"/>
      <c r="I194" s="279"/>
      <c r="J194" s="264"/>
      <c r="K194" s="1581">
        <v>0.75</v>
      </c>
      <c r="L194" s="266"/>
    </row>
    <row r="195" spans="1:12">
      <c r="A195" s="25" t="s">
        <v>991</v>
      </c>
      <c r="B195" s="26" t="s">
        <v>989</v>
      </c>
      <c r="C195" s="26"/>
      <c r="D195" s="26"/>
      <c r="E195" s="27"/>
      <c r="F195" s="197"/>
      <c r="G195" s="172">
        <f>SF!G52</f>
        <v>94.821839999999995</v>
      </c>
      <c r="H195" s="34"/>
      <c r="I195" s="172">
        <f>SF!I52</f>
        <v>785.12483520000001</v>
      </c>
      <c r="J195" s="89"/>
      <c r="K195" s="511">
        <v>0.75</v>
      </c>
      <c r="L195" s="266"/>
    </row>
    <row r="196" spans="1:12">
      <c r="A196" s="25" t="s">
        <v>217</v>
      </c>
      <c r="B196" s="26" t="s">
        <v>211</v>
      </c>
      <c r="C196" s="26"/>
      <c r="D196" s="26"/>
      <c r="E196" s="27"/>
      <c r="F196" s="197"/>
      <c r="G196" s="196">
        <f>SF!G58</f>
        <v>26.798532263701709</v>
      </c>
      <c r="H196" s="199"/>
      <c r="I196" s="172">
        <f>SF!I58</f>
        <v>147.28381289471153</v>
      </c>
      <c r="J196" s="195"/>
      <c r="K196" s="433">
        <v>0.75</v>
      </c>
      <c r="L196" s="266"/>
    </row>
    <row r="197" spans="1:12">
      <c r="A197" s="278" t="s">
        <v>1817</v>
      </c>
      <c r="B197" s="262"/>
      <c r="C197" s="262"/>
      <c r="D197" s="262"/>
      <c r="E197" s="263"/>
      <c r="F197" s="279"/>
      <c r="G197" s="280"/>
      <c r="H197" s="264"/>
      <c r="I197" s="279"/>
      <c r="J197" s="264"/>
      <c r="K197" s="1582">
        <v>0.22499999999999998</v>
      </c>
      <c r="L197" s="266"/>
    </row>
    <row r="198" spans="1:12">
      <c r="A198" s="25" t="s">
        <v>998</v>
      </c>
      <c r="B198" s="26" t="s">
        <v>989</v>
      </c>
      <c r="C198" s="26"/>
      <c r="D198" s="26"/>
      <c r="E198" s="27"/>
      <c r="F198" s="197"/>
      <c r="G198" s="211"/>
      <c r="H198" s="172">
        <f>SF!H68</f>
        <v>47.410919999999997</v>
      </c>
      <c r="I198" s="197"/>
      <c r="J198" s="172">
        <f>SF!J68</f>
        <v>433.10062959257624</v>
      </c>
      <c r="K198" s="433">
        <v>0.22499999999999998</v>
      </c>
      <c r="L198" s="266"/>
    </row>
    <row r="199" spans="1:12">
      <c r="A199" s="25" t="s">
        <v>1006</v>
      </c>
      <c r="B199" s="26" t="s">
        <v>211</v>
      </c>
      <c r="C199" s="26"/>
      <c r="D199" s="26"/>
      <c r="E199" s="27"/>
      <c r="F199" s="197"/>
      <c r="G199" s="195"/>
      <c r="H199" s="172">
        <f>SF!H78</f>
        <v>26.798532263701709</v>
      </c>
      <c r="I199" s="195"/>
      <c r="J199" s="172">
        <f>SF!J78</f>
        <v>147.28381289471153</v>
      </c>
      <c r="K199" s="433">
        <v>0.22499999999999998</v>
      </c>
      <c r="L199" s="266"/>
    </row>
    <row r="200" spans="1:12">
      <c r="A200" s="990" t="s">
        <v>204</v>
      </c>
      <c r="B200" s="661"/>
      <c r="C200" s="661"/>
      <c r="D200" s="661"/>
      <c r="E200" s="584"/>
      <c r="F200" s="991"/>
      <c r="G200" s="992"/>
      <c r="H200" s="370"/>
      <c r="I200" s="991"/>
      <c r="J200" s="370"/>
      <c r="K200" s="1583">
        <v>0.22499999999999998</v>
      </c>
      <c r="L200" s="266"/>
    </row>
    <row r="201" spans="1:12">
      <c r="A201" s="25" t="s">
        <v>1008</v>
      </c>
      <c r="B201" s="26" t="s">
        <v>989</v>
      </c>
      <c r="C201" s="26"/>
      <c r="D201" s="26"/>
      <c r="E201" s="27"/>
      <c r="F201" s="196">
        <f>SF!F88</f>
        <v>31.607279999999999</v>
      </c>
      <c r="G201" s="211"/>
      <c r="H201" s="34"/>
      <c r="I201" s="196">
        <f>SF!I88</f>
        <v>15.140358000000003</v>
      </c>
      <c r="J201" s="196">
        <f>SF!J88</f>
        <v>0</v>
      </c>
      <c r="K201" s="511">
        <v>-0.22499999999999998</v>
      </c>
      <c r="L201" s="266"/>
    </row>
    <row r="202" spans="1:12">
      <c r="A202" s="25" t="s">
        <v>1011</v>
      </c>
      <c r="B202" s="26" t="s">
        <v>211</v>
      </c>
      <c r="C202" s="26"/>
      <c r="D202" s="26"/>
      <c r="E202" s="27"/>
      <c r="F202" s="196">
        <f>SF!F98</f>
        <v>17.865688175801139</v>
      </c>
      <c r="G202" s="211"/>
      <c r="H202" s="197"/>
      <c r="I202" s="196">
        <f>SF!I98</f>
        <v>0</v>
      </c>
      <c r="J202" s="196">
        <f>SF!J98</f>
        <v>0</v>
      </c>
      <c r="K202" s="511">
        <v>-0.22499999999999998</v>
      </c>
      <c r="L202" s="266"/>
    </row>
    <row r="203" spans="1:12">
      <c r="A203" s="253"/>
      <c r="B203" s="15"/>
      <c r="C203" s="15"/>
      <c r="D203" s="15"/>
      <c r="E203" s="22"/>
      <c r="F203" s="212"/>
      <c r="G203" s="213"/>
      <c r="H203" s="198"/>
      <c r="I203" s="198"/>
      <c r="J203" s="58"/>
      <c r="K203" s="208"/>
      <c r="L203" s="293"/>
    </row>
    <row r="204" spans="1:12">
      <c r="A204" s="46"/>
      <c r="B204" s="46"/>
      <c r="C204" s="46"/>
      <c r="D204" s="46"/>
      <c r="E204" s="46"/>
      <c r="F204" s="46"/>
      <c r="G204" s="46"/>
      <c r="H204" s="46"/>
      <c r="I204" s="46"/>
      <c r="J204" s="46"/>
      <c r="K204" s="87"/>
      <c r="L204" s="293"/>
    </row>
    <row r="205" spans="1:12">
      <c r="A205" s="220" t="s">
        <v>73</v>
      </c>
      <c r="B205" s="220" t="s">
        <v>74</v>
      </c>
      <c r="C205" s="200"/>
      <c r="D205" s="200"/>
      <c r="E205" s="217"/>
      <c r="F205" s="1636" t="s">
        <v>72</v>
      </c>
      <c r="G205" s="1637"/>
      <c r="H205" s="1637"/>
      <c r="I205" s="1637"/>
      <c r="J205" s="1638"/>
      <c r="K205" s="87"/>
      <c r="L205" s="293"/>
    </row>
    <row r="206" spans="1:12" ht="18">
      <c r="A206" s="221"/>
      <c r="B206" s="221"/>
      <c r="C206" s="201"/>
      <c r="D206" s="201"/>
      <c r="E206" s="219"/>
      <c r="F206" s="223" t="s">
        <v>23</v>
      </c>
      <c r="G206" s="223" t="s">
        <v>87</v>
      </c>
      <c r="H206" s="223" t="s">
        <v>212</v>
      </c>
      <c r="I206" s="223" t="s">
        <v>80</v>
      </c>
      <c r="J206" s="223" t="s">
        <v>81</v>
      </c>
      <c r="K206" s="87"/>
      <c r="L206" s="293"/>
    </row>
    <row r="207" spans="1:12">
      <c r="A207" s="222"/>
      <c r="B207" s="222"/>
      <c r="C207" s="203"/>
      <c r="D207" s="203"/>
      <c r="E207" s="218"/>
      <c r="F207" s="204" t="s">
        <v>34</v>
      </c>
      <c r="G207" s="204" t="s">
        <v>34</v>
      </c>
      <c r="H207" s="203" t="s">
        <v>34</v>
      </c>
      <c r="I207" s="204" t="s">
        <v>77</v>
      </c>
      <c r="J207" s="204" t="s">
        <v>77</v>
      </c>
      <c r="K207" s="87"/>
      <c r="L207" s="293"/>
    </row>
    <row r="208" spans="1:12">
      <c r="A208" s="202"/>
      <c r="B208" s="200"/>
      <c r="C208" s="200"/>
      <c r="D208" s="200"/>
      <c r="E208" s="217"/>
      <c r="F208" s="205"/>
      <c r="G208" s="205"/>
      <c r="H208" s="201"/>
      <c r="I208" s="205"/>
      <c r="J208" s="205"/>
      <c r="K208" s="87"/>
      <c r="L208" s="293"/>
    </row>
    <row r="209" spans="1:12">
      <c r="A209" s="205" t="str">
        <f>A185</f>
        <v>LC-9</v>
      </c>
      <c r="B209" s="201" t="str">
        <f>B185</f>
        <v>LC-1 + Seismic Sx=1,Sz=0.3,Sy=-0.3 (50% seismic)</v>
      </c>
      <c r="C209" s="201"/>
      <c r="D209" s="201"/>
      <c r="E209" s="219"/>
      <c r="F209" s="205">
        <f>SUMPRODUCT(F188:F202,$K$188:$K$202)</f>
        <v>943.09112032831433</v>
      </c>
      <c r="G209" s="219">
        <f>SUMPRODUCT(G188:G202,$K$188:$K$202)</f>
        <v>102.19002919777628</v>
      </c>
      <c r="H209" s="219">
        <f>SUMPRODUCT(H188:H202,$K$188:$K$202)</f>
        <v>16.697126759332882</v>
      </c>
      <c r="I209" s="219">
        <f>SUMPRODUCT(I188:I202,$K$188:$K$202)</f>
        <v>981.9687105210337</v>
      </c>
      <c r="J209" s="219">
        <f>SUMPRODUCT(J188:J202,$K$188:$K$202)</f>
        <v>130.58649955963972</v>
      </c>
      <c r="K209" s="87"/>
      <c r="L209" s="293"/>
    </row>
    <row r="210" spans="1:12">
      <c r="A210" s="204"/>
      <c r="B210" s="203"/>
      <c r="C210" s="203"/>
      <c r="D210" s="203"/>
      <c r="E210" s="218"/>
      <c r="F210" s="204"/>
      <c r="G210" s="204"/>
      <c r="H210" s="203"/>
      <c r="I210" s="204"/>
      <c r="J210" s="204"/>
      <c r="K210" s="87"/>
      <c r="L210" s="293"/>
    </row>
    <row r="213" spans="1:12">
      <c r="A213" s="811" t="str">
        <f>K213</f>
        <v>LC-10</v>
      </c>
      <c r="B213" s="31" t="str">
        <f>VLOOKUP(A213,LC_DEF_2!A45:B92,2,FALSE)</f>
        <v>LC-1 + Seismic Sx=0.3,Sz=1,Sy=-0.3 (50% seismic)</v>
      </c>
      <c r="C213" s="31"/>
      <c r="D213" s="31"/>
      <c r="E213" s="32"/>
      <c r="F213" s="1599" t="s">
        <v>742</v>
      </c>
      <c r="G213" s="1635"/>
      <c r="H213" s="1635"/>
      <c r="I213" s="1635"/>
      <c r="J213" s="1600"/>
      <c r="K213" s="1580" t="s">
        <v>225</v>
      </c>
      <c r="L213" s="293"/>
    </row>
    <row r="214" spans="1:12" ht="18">
      <c r="A214" s="25" t="s">
        <v>73</v>
      </c>
      <c r="B214" s="26" t="s">
        <v>74</v>
      </c>
      <c r="C214" s="26"/>
      <c r="D214" s="26"/>
      <c r="E214" s="27"/>
      <c r="F214" s="58" t="s">
        <v>23</v>
      </c>
      <c r="G214" s="58" t="s">
        <v>87</v>
      </c>
      <c r="H214" s="58" t="s">
        <v>212</v>
      </c>
      <c r="I214" s="58" t="s">
        <v>80</v>
      </c>
      <c r="J214" s="58" t="s">
        <v>81</v>
      </c>
      <c r="K214" s="433"/>
      <c r="L214" s="293"/>
    </row>
    <row r="215" spans="1:12">
      <c r="A215" s="25"/>
      <c r="B215" s="26"/>
      <c r="C215" s="26"/>
      <c r="D215" s="26"/>
      <c r="E215" s="27"/>
      <c r="F215" s="36" t="s">
        <v>34</v>
      </c>
      <c r="G215" s="36" t="s">
        <v>34</v>
      </c>
      <c r="H215" s="36" t="s">
        <v>34</v>
      </c>
      <c r="I215" s="36" t="s">
        <v>77</v>
      </c>
      <c r="J215" s="36" t="s">
        <v>77</v>
      </c>
      <c r="K215" s="433"/>
      <c r="L215" s="293"/>
    </row>
    <row r="216" spans="1:12">
      <c r="A216" s="25" t="s">
        <v>88</v>
      </c>
      <c r="B216" s="26" t="s">
        <v>75</v>
      </c>
      <c r="C216" s="26"/>
      <c r="D216" s="26"/>
      <c r="E216" s="27"/>
      <c r="F216" s="195">
        <f>SF!F14</f>
        <v>365.08803866482532</v>
      </c>
      <c r="G216" s="210"/>
      <c r="H216" s="34"/>
      <c r="I216" s="195">
        <f>SF!I14</f>
        <v>0</v>
      </c>
      <c r="J216" s="195">
        <f>SF!J14</f>
        <v>0</v>
      </c>
      <c r="K216" s="511">
        <v>1.35</v>
      </c>
      <c r="L216" s="266"/>
    </row>
    <row r="217" spans="1:12">
      <c r="A217" s="25" t="s">
        <v>90</v>
      </c>
      <c r="B217" s="26" t="s">
        <v>249</v>
      </c>
      <c r="C217" s="26"/>
      <c r="D217" s="26"/>
      <c r="E217" s="27"/>
      <c r="F217" s="195">
        <f>SF!F16</f>
        <v>36.639026644707663</v>
      </c>
      <c r="G217" s="210"/>
      <c r="H217" s="34"/>
      <c r="I217" s="195">
        <f>SF!I16</f>
        <v>0</v>
      </c>
      <c r="J217" s="195">
        <f>SF!J16</f>
        <v>0</v>
      </c>
      <c r="K217" s="511">
        <v>1.35</v>
      </c>
      <c r="L217" s="266"/>
    </row>
    <row r="218" spans="1:12">
      <c r="A218" s="25" t="s">
        <v>250</v>
      </c>
      <c r="B218" s="26" t="s">
        <v>970</v>
      </c>
      <c r="C218" s="26"/>
      <c r="D218" s="26"/>
      <c r="E218" s="27"/>
      <c r="F218" s="195">
        <f>SF!F23</f>
        <v>230</v>
      </c>
      <c r="G218" s="27"/>
      <c r="H218" s="34"/>
      <c r="I218" s="195">
        <f>SF!I23</f>
        <v>115</v>
      </c>
      <c r="J218" s="195">
        <f>SF!J23</f>
        <v>0</v>
      </c>
      <c r="K218" s="433">
        <v>1.35</v>
      </c>
      <c r="L218" s="11"/>
    </row>
    <row r="219" spans="1:12">
      <c r="A219" s="25" t="s">
        <v>251</v>
      </c>
      <c r="B219" s="26" t="s">
        <v>971</v>
      </c>
      <c r="C219" s="26"/>
      <c r="D219" s="26"/>
      <c r="E219" s="27"/>
      <c r="F219" s="195">
        <f>SF!F24</f>
        <v>20.660000000000004</v>
      </c>
      <c r="G219" s="27"/>
      <c r="H219" s="34"/>
      <c r="I219" s="195">
        <f>SF!I24</f>
        <v>10.330000000000002</v>
      </c>
      <c r="J219" s="195">
        <f>SF!J24</f>
        <v>0</v>
      </c>
      <c r="K219" s="433">
        <v>1.35</v>
      </c>
      <c r="L219" s="266"/>
    </row>
    <row r="220" spans="1:12">
      <c r="A220" s="25" t="s">
        <v>97</v>
      </c>
      <c r="B220" s="26" t="s">
        <v>972</v>
      </c>
      <c r="C220" s="26"/>
      <c r="D220" s="26"/>
      <c r="E220" s="27"/>
      <c r="F220" s="195">
        <f>SF!F25</f>
        <v>42</v>
      </c>
      <c r="G220" s="27"/>
      <c r="H220" s="34"/>
      <c r="I220" s="195">
        <f>SF!I25</f>
        <v>14.858499999999999</v>
      </c>
      <c r="J220" s="195">
        <f>SF!J25</f>
        <v>0</v>
      </c>
      <c r="K220" s="511">
        <v>1.75</v>
      </c>
      <c r="L220" s="11"/>
    </row>
    <row r="221" spans="1:12">
      <c r="A221" s="25" t="s">
        <v>987</v>
      </c>
      <c r="B221" s="163" t="s">
        <v>957</v>
      </c>
      <c r="C221" s="26"/>
      <c r="D221" s="26"/>
      <c r="E221" s="27"/>
      <c r="F221" s="34"/>
      <c r="G221" s="195">
        <f>SF!G41</f>
        <v>14.632999999999999</v>
      </c>
      <c r="H221" s="34"/>
      <c r="I221" s="195">
        <f>SF!I41</f>
        <v>121.16124000000001</v>
      </c>
      <c r="J221" s="34"/>
      <c r="K221" s="433">
        <v>0.75</v>
      </c>
      <c r="L221" s="266"/>
    </row>
    <row r="222" spans="1:12">
      <c r="A222" s="278" t="s">
        <v>200</v>
      </c>
      <c r="B222" s="262"/>
      <c r="C222" s="262"/>
      <c r="D222" s="262"/>
      <c r="E222" s="263"/>
      <c r="F222" s="279"/>
      <c r="G222" s="280"/>
      <c r="H222" s="264"/>
      <c r="I222" s="279"/>
      <c r="J222" s="264"/>
      <c r="K222" s="1581">
        <v>0.22499999999999998</v>
      </c>
      <c r="L222" s="266"/>
    </row>
    <row r="223" spans="1:12">
      <c r="A223" s="25" t="s">
        <v>991</v>
      </c>
      <c r="B223" s="26" t="s">
        <v>989</v>
      </c>
      <c r="C223" s="26"/>
      <c r="D223" s="26"/>
      <c r="E223" s="27"/>
      <c r="F223" s="197"/>
      <c r="G223" s="172">
        <f>SF!G52</f>
        <v>94.821839999999995</v>
      </c>
      <c r="H223" s="34"/>
      <c r="I223" s="172">
        <f>SF!I52</f>
        <v>785.12483520000001</v>
      </c>
      <c r="J223" s="89"/>
      <c r="K223" s="511">
        <v>0.22499999999999998</v>
      </c>
      <c r="L223" s="266"/>
    </row>
    <row r="224" spans="1:12">
      <c r="A224" s="25" t="s">
        <v>217</v>
      </c>
      <c r="B224" s="26" t="s">
        <v>211</v>
      </c>
      <c r="C224" s="26"/>
      <c r="D224" s="26"/>
      <c r="E224" s="27"/>
      <c r="F224" s="197"/>
      <c r="G224" s="196">
        <f>SF!G58</f>
        <v>26.798532263701709</v>
      </c>
      <c r="H224" s="199"/>
      <c r="I224" s="172">
        <f>SF!I58</f>
        <v>147.28381289471153</v>
      </c>
      <c r="J224" s="195"/>
      <c r="K224" s="433">
        <v>0.22499999999999998</v>
      </c>
      <c r="L224" s="266"/>
    </row>
    <row r="225" spans="1:12">
      <c r="A225" s="278" t="s">
        <v>1817</v>
      </c>
      <c r="B225" s="262"/>
      <c r="C225" s="262"/>
      <c r="D225" s="262"/>
      <c r="E225" s="263"/>
      <c r="F225" s="279"/>
      <c r="G225" s="280"/>
      <c r="H225" s="264"/>
      <c r="I225" s="279"/>
      <c r="J225" s="264"/>
      <c r="K225" s="1582">
        <v>0.75</v>
      </c>
      <c r="L225" s="266"/>
    </row>
    <row r="226" spans="1:12">
      <c r="A226" s="25" t="s">
        <v>998</v>
      </c>
      <c r="B226" s="26" t="s">
        <v>989</v>
      </c>
      <c r="C226" s="26"/>
      <c r="D226" s="26"/>
      <c r="E226" s="27"/>
      <c r="F226" s="197"/>
      <c r="G226" s="211"/>
      <c r="H226" s="172">
        <f>SF!H68</f>
        <v>47.410919999999997</v>
      </c>
      <c r="I226" s="197"/>
      <c r="J226" s="172">
        <f>SF!J68</f>
        <v>433.10062959257624</v>
      </c>
      <c r="K226" s="433">
        <v>0.75</v>
      </c>
      <c r="L226" s="266"/>
    </row>
    <row r="227" spans="1:12">
      <c r="A227" s="25" t="s">
        <v>1006</v>
      </c>
      <c r="B227" s="26" t="s">
        <v>211</v>
      </c>
      <c r="C227" s="26"/>
      <c r="D227" s="26"/>
      <c r="E227" s="27"/>
      <c r="F227" s="197"/>
      <c r="G227" s="195"/>
      <c r="H227" s="172">
        <f>SF!H78</f>
        <v>26.798532263701709</v>
      </c>
      <c r="I227" s="195"/>
      <c r="J227" s="172">
        <f>SF!J78</f>
        <v>147.28381289471153</v>
      </c>
      <c r="K227" s="433">
        <v>0.75</v>
      </c>
      <c r="L227" s="266"/>
    </row>
    <row r="228" spans="1:12">
      <c r="A228" s="990" t="s">
        <v>204</v>
      </c>
      <c r="B228" s="661"/>
      <c r="C228" s="661"/>
      <c r="D228" s="661"/>
      <c r="E228" s="584"/>
      <c r="F228" s="991"/>
      <c r="G228" s="992"/>
      <c r="H228" s="370"/>
      <c r="I228" s="991"/>
      <c r="J228" s="370"/>
      <c r="K228" s="1583">
        <v>0.22499999999999998</v>
      </c>
      <c r="L228" s="266"/>
    </row>
    <row r="229" spans="1:12">
      <c r="A229" s="25" t="s">
        <v>1008</v>
      </c>
      <c r="B229" s="26" t="s">
        <v>989</v>
      </c>
      <c r="C229" s="26"/>
      <c r="D229" s="26"/>
      <c r="E229" s="27"/>
      <c r="F229" s="196">
        <f>SF!F88</f>
        <v>31.607279999999999</v>
      </c>
      <c r="G229" s="211"/>
      <c r="H229" s="34"/>
      <c r="I229" s="196">
        <f>SF!I88</f>
        <v>15.140358000000003</v>
      </c>
      <c r="J229" s="196">
        <f>SF!J88</f>
        <v>0</v>
      </c>
      <c r="K229" s="511">
        <v>-0.22499999999999998</v>
      </c>
      <c r="L229" s="266"/>
    </row>
    <row r="230" spans="1:12">
      <c r="A230" s="25" t="s">
        <v>1011</v>
      </c>
      <c r="B230" s="26" t="s">
        <v>211</v>
      </c>
      <c r="C230" s="26"/>
      <c r="D230" s="26"/>
      <c r="E230" s="27"/>
      <c r="F230" s="196">
        <f>SF!F98</f>
        <v>17.865688175801139</v>
      </c>
      <c r="G230" s="211"/>
      <c r="H230" s="197"/>
      <c r="I230" s="196">
        <f>SF!I98</f>
        <v>0</v>
      </c>
      <c r="J230" s="196">
        <f>SF!J98</f>
        <v>0</v>
      </c>
      <c r="K230" s="511">
        <v>-0.22499999999999998</v>
      </c>
      <c r="L230" s="266"/>
    </row>
    <row r="231" spans="1:12">
      <c r="A231" s="253"/>
      <c r="B231" s="15"/>
      <c r="C231" s="15"/>
      <c r="D231" s="15"/>
      <c r="E231" s="22"/>
      <c r="F231" s="212"/>
      <c r="G231" s="213"/>
      <c r="H231" s="198"/>
      <c r="I231" s="198"/>
      <c r="J231" s="58"/>
      <c r="K231" s="208"/>
      <c r="L231" s="293"/>
    </row>
    <row r="232" spans="1:12">
      <c r="A232" s="46"/>
      <c r="B232" s="46"/>
      <c r="C232" s="46"/>
      <c r="D232" s="46"/>
      <c r="E232" s="46"/>
      <c r="F232" s="46"/>
      <c r="G232" s="46"/>
      <c r="H232" s="46"/>
      <c r="I232" s="46"/>
      <c r="J232" s="46"/>
      <c r="K232" s="87"/>
      <c r="L232" s="293"/>
    </row>
    <row r="233" spans="1:12">
      <c r="A233" s="220" t="s">
        <v>73</v>
      </c>
      <c r="B233" s="220" t="s">
        <v>74</v>
      </c>
      <c r="C233" s="200"/>
      <c r="D233" s="200"/>
      <c r="E233" s="217"/>
      <c r="F233" s="1636" t="s">
        <v>72</v>
      </c>
      <c r="G233" s="1637"/>
      <c r="H233" s="1637"/>
      <c r="I233" s="1637"/>
      <c r="J233" s="1638"/>
      <c r="K233" s="87"/>
      <c r="L233" s="293"/>
    </row>
    <row r="234" spans="1:12" ht="18">
      <c r="A234" s="221"/>
      <c r="B234" s="221"/>
      <c r="C234" s="201"/>
      <c r="D234" s="201"/>
      <c r="E234" s="219"/>
      <c r="F234" s="223" t="s">
        <v>23</v>
      </c>
      <c r="G234" s="223" t="s">
        <v>87</v>
      </c>
      <c r="H234" s="223" t="s">
        <v>212</v>
      </c>
      <c r="I234" s="223" t="s">
        <v>80</v>
      </c>
      <c r="J234" s="223" t="s">
        <v>81</v>
      </c>
      <c r="K234" s="87"/>
      <c r="L234" s="293"/>
    </row>
    <row r="235" spans="1:12">
      <c r="A235" s="222"/>
      <c r="B235" s="222"/>
      <c r="C235" s="203"/>
      <c r="D235" s="203"/>
      <c r="E235" s="218"/>
      <c r="F235" s="204" t="s">
        <v>34</v>
      </c>
      <c r="G235" s="204" t="s">
        <v>34</v>
      </c>
      <c r="H235" s="203" t="s">
        <v>34</v>
      </c>
      <c r="I235" s="204" t="s">
        <v>77</v>
      </c>
      <c r="J235" s="204" t="s">
        <v>77</v>
      </c>
      <c r="K235" s="87"/>
      <c r="L235" s="293"/>
    </row>
    <row r="236" spans="1:12">
      <c r="A236" s="202"/>
      <c r="B236" s="200"/>
      <c r="C236" s="200"/>
      <c r="D236" s="200"/>
      <c r="E236" s="217"/>
      <c r="F236" s="205"/>
      <c r="G236" s="205"/>
      <c r="H236" s="201"/>
      <c r="I236" s="205"/>
      <c r="J236" s="205"/>
      <c r="K236" s="87"/>
      <c r="L236" s="293"/>
    </row>
    <row r="237" spans="1:12">
      <c r="A237" s="205" t="str">
        <f>A213</f>
        <v>LC-10</v>
      </c>
      <c r="B237" s="201" t="str">
        <f>B213</f>
        <v>LC-1 + Seismic Sx=0.3,Sz=1,Sy=-0.3 (50% seismic)</v>
      </c>
      <c r="C237" s="201"/>
      <c r="D237" s="201"/>
      <c r="E237" s="219"/>
      <c r="F237" s="205">
        <f>SUMPRODUCT(F216:F230,$K$216:$K$230)</f>
        <v>943.09112032831433</v>
      </c>
      <c r="G237" s="219">
        <f>SUMPRODUCT(G216:G230,$K$216:$K$230)</f>
        <v>38.339333759332881</v>
      </c>
      <c r="H237" s="219">
        <f>SUMPRODUCT(H216:H230,$K$216:$K$230)</f>
        <v>55.65708919777628</v>
      </c>
      <c r="I237" s="219">
        <f>SUMPRODUCT(I216:I230,$K$216:$K$230)</f>
        <v>492.45417027131003</v>
      </c>
      <c r="J237" s="219">
        <f>SUMPRODUCT(J216:J230,$K$216:$K$230)</f>
        <v>435.28833186546581</v>
      </c>
      <c r="K237" s="87"/>
      <c r="L237" s="293"/>
    </row>
    <row r="238" spans="1:12">
      <c r="A238" s="204"/>
      <c r="B238" s="203"/>
      <c r="C238" s="203"/>
      <c r="D238" s="203"/>
      <c r="E238" s="218"/>
      <c r="F238" s="204"/>
      <c r="G238" s="204"/>
      <c r="H238" s="203"/>
      <c r="I238" s="204"/>
      <c r="J238" s="204"/>
      <c r="K238" s="87"/>
      <c r="L238" s="293"/>
    </row>
    <row r="241" spans="1:12">
      <c r="A241" s="811" t="str">
        <f>K241</f>
        <v>LC-11</v>
      </c>
      <c r="B241" s="31" t="str">
        <f>VLOOKUP(A241,LC_DEF_2!A45:B92,2,FALSE)</f>
        <v>LC-1 + Seismic Sx=1,Sz=0.3,Sy=0.3 (50% seismic)</v>
      </c>
      <c r="C241" s="31"/>
      <c r="D241" s="31"/>
      <c r="E241" s="32"/>
      <c r="F241" s="1599" t="s">
        <v>742</v>
      </c>
      <c r="G241" s="1635"/>
      <c r="H241" s="1635"/>
      <c r="I241" s="1635"/>
      <c r="J241" s="1600"/>
      <c r="K241" s="1580" t="s">
        <v>230</v>
      </c>
      <c r="L241" s="293"/>
    </row>
    <row r="242" spans="1:12" ht="18">
      <c r="A242" s="25" t="s">
        <v>73</v>
      </c>
      <c r="B242" s="26" t="s">
        <v>74</v>
      </c>
      <c r="C242" s="26"/>
      <c r="D242" s="26"/>
      <c r="E242" s="27"/>
      <c r="F242" s="58" t="s">
        <v>23</v>
      </c>
      <c r="G242" s="58" t="s">
        <v>87</v>
      </c>
      <c r="H242" s="58" t="s">
        <v>212</v>
      </c>
      <c r="I242" s="58" t="s">
        <v>80</v>
      </c>
      <c r="J242" s="58" t="s">
        <v>81</v>
      </c>
      <c r="K242" s="433"/>
      <c r="L242" s="293"/>
    </row>
    <row r="243" spans="1:12">
      <c r="A243" s="25"/>
      <c r="B243" s="26"/>
      <c r="C243" s="26"/>
      <c r="D243" s="26"/>
      <c r="E243" s="27"/>
      <c r="F243" s="36" t="s">
        <v>34</v>
      </c>
      <c r="G243" s="36" t="s">
        <v>34</v>
      </c>
      <c r="H243" s="36" t="s">
        <v>34</v>
      </c>
      <c r="I243" s="36" t="s">
        <v>77</v>
      </c>
      <c r="J243" s="36" t="s">
        <v>77</v>
      </c>
      <c r="K243" s="433"/>
      <c r="L243" s="293"/>
    </row>
    <row r="244" spans="1:12">
      <c r="A244" s="25" t="s">
        <v>88</v>
      </c>
      <c r="B244" s="26" t="s">
        <v>75</v>
      </c>
      <c r="C244" s="26"/>
      <c r="D244" s="26"/>
      <c r="E244" s="27"/>
      <c r="F244" s="195">
        <f>SF!F14</f>
        <v>365.08803866482532</v>
      </c>
      <c r="G244" s="210"/>
      <c r="H244" s="34"/>
      <c r="I244" s="195">
        <f>SF!I14</f>
        <v>0</v>
      </c>
      <c r="J244" s="195">
        <f>SF!J14</f>
        <v>0</v>
      </c>
      <c r="K244" s="511">
        <v>1.35</v>
      </c>
      <c r="L244" s="266"/>
    </row>
    <row r="245" spans="1:12">
      <c r="A245" s="25" t="s">
        <v>90</v>
      </c>
      <c r="B245" s="26" t="s">
        <v>249</v>
      </c>
      <c r="C245" s="26"/>
      <c r="D245" s="26"/>
      <c r="E245" s="27"/>
      <c r="F245" s="195">
        <f>SF!F16</f>
        <v>36.639026644707663</v>
      </c>
      <c r="G245" s="210"/>
      <c r="H245" s="34"/>
      <c r="I245" s="195">
        <f>SF!I16</f>
        <v>0</v>
      </c>
      <c r="J245" s="195">
        <f>SF!J16</f>
        <v>0</v>
      </c>
      <c r="K245" s="511">
        <v>1.35</v>
      </c>
      <c r="L245" s="266"/>
    </row>
    <row r="246" spans="1:12">
      <c r="A246" s="25" t="s">
        <v>250</v>
      </c>
      <c r="B246" s="26" t="s">
        <v>970</v>
      </c>
      <c r="C246" s="26"/>
      <c r="D246" s="26"/>
      <c r="E246" s="27"/>
      <c r="F246" s="195">
        <f>SF!F23</f>
        <v>230</v>
      </c>
      <c r="G246" s="27"/>
      <c r="H246" s="34"/>
      <c r="I246" s="195">
        <f>SF!I23</f>
        <v>115</v>
      </c>
      <c r="J246" s="195">
        <f>SF!J23</f>
        <v>0</v>
      </c>
      <c r="K246" s="433">
        <v>1.35</v>
      </c>
      <c r="L246" s="11"/>
    </row>
    <row r="247" spans="1:12">
      <c r="A247" s="25" t="s">
        <v>251</v>
      </c>
      <c r="B247" s="26" t="s">
        <v>971</v>
      </c>
      <c r="C247" s="26"/>
      <c r="D247" s="26"/>
      <c r="E247" s="27"/>
      <c r="F247" s="195">
        <f>SF!F24</f>
        <v>20.660000000000004</v>
      </c>
      <c r="G247" s="27"/>
      <c r="H247" s="34"/>
      <c r="I247" s="195">
        <f>SF!I24</f>
        <v>10.330000000000002</v>
      </c>
      <c r="J247" s="195">
        <f>SF!J24</f>
        <v>0</v>
      </c>
      <c r="K247" s="433">
        <v>1.35</v>
      </c>
      <c r="L247" s="266"/>
    </row>
    <row r="248" spans="1:12">
      <c r="A248" s="25" t="s">
        <v>97</v>
      </c>
      <c r="B248" s="26" t="s">
        <v>972</v>
      </c>
      <c r="C248" s="26"/>
      <c r="D248" s="26"/>
      <c r="E248" s="27"/>
      <c r="F248" s="195">
        <f>SF!F25</f>
        <v>42</v>
      </c>
      <c r="G248" s="27"/>
      <c r="H248" s="34"/>
      <c r="I248" s="195">
        <f>SF!I25</f>
        <v>14.858499999999999</v>
      </c>
      <c r="J248" s="195">
        <f>SF!J25</f>
        <v>0</v>
      </c>
      <c r="K248" s="511">
        <v>1.75</v>
      </c>
      <c r="L248" s="11"/>
    </row>
    <row r="249" spans="1:12">
      <c r="A249" s="25" t="s">
        <v>987</v>
      </c>
      <c r="B249" s="163" t="s">
        <v>957</v>
      </c>
      <c r="C249" s="26"/>
      <c r="D249" s="26"/>
      <c r="E249" s="27"/>
      <c r="F249" s="34"/>
      <c r="G249" s="195">
        <f>SF!G41</f>
        <v>14.632999999999999</v>
      </c>
      <c r="H249" s="34"/>
      <c r="I249" s="195">
        <f>SF!I41</f>
        <v>121.16124000000001</v>
      </c>
      <c r="J249" s="34"/>
      <c r="K249" s="433">
        <v>0.75</v>
      </c>
      <c r="L249" s="266"/>
    </row>
    <row r="250" spans="1:12">
      <c r="A250" s="278" t="s">
        <v>200</v>
      </c>
      <c r="B250" s="262"/>
      <c r="C250" s="262"/>
      <c r="D250" s="262"/>
      <c r="E250" s="263"/>
      <c r="F250" s="279"/>
      <c r="G250" s="280"/>
      <c r="H250" s="264"/>
      <c r="I250" s="279"/>
      <c r="J250" s="264"/>
      <c r="K250" s="1581">
        <v>0.75</v>
      </c>
      <c r="L250" s="266"/>
    </row>
    <row r="251" spans="1:12">
      <c r="A251" s="25" t="s">
        <v>991</v>
      </c>
      <c r="B251" s="26" t="s">
        <v>989</v>
      </c>
      <c r="C251" s="26"/>
      <c r="D251" s="26"/>
      <c r="E251" s="27"/>
      <c r="F251" s="197"/>
      <c r="G251" s="172">
        <f>SF!G52</f>
        <v>94.821839999999995</v>
      </c>
      <c r="H251" s="34"/>
      <c r="I251" s="172">
        <f>SF!I52</f>
        <v>785.12483520000001</v>
      </c>
      <c r="J251" s="89"/>
      <c r="K251" s="511">
        <v>0.75</v>
      </c>
      <c r="L251" s="266"/>
    </row>
    <row r="252" spans="1:12">
      <c r="A252" s="25" t="s">
        <v>217</v>
      </c>
      <c r="B252" s="26" t="s">
        <v>211</v>
      </c>
      <c r="C252" s="26"/>
      <c r="D252" s="26"/>
      <c r="E252" s="27"/>
      <c r="F252" s="197"/>
      <c r="G252" s="196">
        <f>SF!G58</f>
        <v>26.798532263701709</v>
      </c>
      <c r="H252" s="199"/>
      <c r="I252" s="172">
        <f>SF!I58</f>
        <v>147.28381289471153</v>
      </c>
      <c r="J252" s="195"/>
      <c r="K252" s="433">
        <v>0.75</v>
      </c>
      <c r="L252" s="266"/>
    </row>
    <row r="253" spans="1:12">
      <c r="A253" s="278" t="s">
        <v>1817</v>
      </c>
      <c r="B253" s="262"/>
      <c r="C253" s="262"/>
      <c r="D253" s="262"/>
      <c r="E253" s="263"/>
      <c r="F253" s="279"/>
      <c r="G253" s="280"/>
      <c r="H253" s="264"/>
      <c r="I253" s="279"/>
      <c r="J253" s="264"/>
      <c r="K253" s="1582">
        <v>0.22499999999999998</v>
      </c>
      <c r="L253" s="266"/>
    </row>
    <row r="254" spans="1:12">
      <c r="A254" s="25" t="s">
        <v>998</v>
      </c>
      <c r="B254" s="26" t="s">
        <v>989</v>
      </c>
      <c r="C254" s="26"/>
      <c r="D254" s="26"/>
      <c r="E254" s="27"/>
      <c r="F254" s="197"/>
      <c r="G254" s="211"/>
      <c r="H254" s="172">
        <f>SF!H68</f>
        <v>47.410919999999997</v>
      </c>
      <c r="I254" s="197"/>
      <c r="J254" s="172">
        <f>SF!J68</f>
        <v>433.10062959257624</v>
      </c>
      <c r="K254" s="433">
        <v>0.22499999999999998</v>
      </c>
      <c r="L254" s="266"/>
    </row>
    <row r="255" spans="1:12">
      <c r="A255" s="25" t="s">
        <v>1006</v>
      </c>
      <c r="B255" s="26" t="s">
        <v>211</v>
      </c>
      <c r="C255" s="26"/>
      <c r="D255" s="26"/>
      <c r="E255" s="27"/>
      <c r="F255" s="197"/>
      <c r="G255" s="195"/>
      <c r="H255" s="172">
        <f>SF!H78</f>
        <v>26.798532263701709</v>
      </c>
      <c r="I255" s="195"/>
      <c r="J255" s="172">
        <f>SF!J78</f>
        <v>147.28381289471153</v>
      </c>
      <c r="K255" s="433">
        <v>0.22499999999999998</v>
      </c>
      <c r="L255" s="266"/>
    </row>
    <row r="256" spans="1:12">
      <c r="A256" s="990" t="s">
        <v>204</v>
      </c>
      <c r="B256" s="661"/>
      <c r="C256" s="661"/>
      <c r="D256" s="661"/>
      <c r="E256" s="584"/>
      <c r="F256" s="991"/>
      <c r="G256" s="992"/>
      <c r="H256" s="370"/>
      <c r="I256" s="991"/>
      <c r="J256" s="370"/>
      <c r="K256" s="1583">
        <v>0.22499999999999998</v>
      </c>
      <c r="L256" s="266"/>
    </row>
    <row r="257" spans="1:12">
      <c r="A257" s="25" t="s">
        <v>1008</v>
      </c>
      <c r="B257" s="26" t="s">
        <v>989</v>
      </c>
      <c r="C257" s="26"/>
      <c r="D257" s="26"/>
      <c r="E257" s="27"/>
      <c r="F257" s="196">
        <f>SF!F88</f>
        <v>31.607279999999999</v>
      </c>
      <c r="G257" s="211"/>
      <c r="H257" s="34"/>
      <c r="I257" s="196">
        <f>SF!I88</f>
        <v>15.140358000000003</v>
      </c>
      <c r="J257" s="196">
        <f>SF!J88</f>
        <v>0</v>
      </c>
      <c r="K257" s="511">
        <v>0.22499999999999998</v>
      </c>
      <c r="L257" s="266"/>
    </row>
    <row r="258" spans="1:12">
      <c r="A258" s="25" t="s">
        <v>1011</v>
      </c>
      <c r="B258" s="26" t="s">
        <v>211</v>
      </c>
      <c r="C258" s="26"/>
      <c r="D258" s="26"/>
      <c r="E258" s="27"/>
      <c r="F258" s="196">
        <f>SF!F98</f>
        <v>17.865688175801139</v>
      </c>
      <c r="G258" s="211"/>
      <c r="H258" s="197"/>
      <c r="I258" s="196">
        <f>SF!I98</f>
        <v>0</v>
      </c>
      <c r="J258" s="196">
        <f>SF!J98</f>
        <v>0</v>
      </c>
      <c r="K258" s="511">
        <v>0.22499999999999998</v>
      </c>
      <c r="L258" s="266"/>
    </row>
    <row r="259" spans="1:12">
      <c r="A259" s="253"/>
      <c r="B259" s="15"/>
      <c r="C259" s="15"/>
      <c r="D259" s="15"/>
      <c r="E259" s="22"/>
      <c r="F259" s="212"/>
      <c r="G259" s="213"/>
      <c r="H259" s="198"/>
      <c r="I259" s="198"/>
      <c r="J259" s="58"/>
      <c r="K259" s="208"/>
      <c r="L259" s="293"/>
    </row>
    <row r="260" spans="1:12">
      <c r="A260" s="46"/>
      <c r="B260" s="46"/>
      <c r="C260" s="46"/>
      <c r="D260" s="46"/>
      <c r="E260" s="46"/>
      <c r="F260" s="46"/>
      <c r="G260" s="46"/>
      <c r="H260" s="46"/>
      <c r="I260" s="46"/>
      <c r="J260" s="46"/>
      <c r="K260" s="87"/>
      <c r="L260" s="293"/>
    </row>
    <row r="261" spans="1:12">
      <c r="A261" s="220" t="s">
        <v>73</v>
      </c>
      <c r="B261" s="220" t="s">
        <v>74</v>
      </c>
      <c r="C261" s="200"/>
      <c r="D261" s="200"/>
      <c r="E261" s="217"/>
      <c r="F261" s="1636" t="s">
        <v>72</v>
      </c>
      <c r="G261" s="1637"/>
      <c r="H261" s="1637"/>
      <c r="I261" s="1637"/>
      <c r="J261" s="1638"/>
      <c r="K261" s="87"/>
      <c r="L261" s="293"/>
    </row>
    <row r="262" spans="1:12" ht="18">
      <c r="A262" s="221"/>
      <c r="B262" s="221"/>
      <c r="C262" s="201"/>
      <c r="D262" s="201"/>
      <c r="E262" s="219"/>
      <c r="F262" s="223" t="s">
        <v>23</v>
      </c>
      <c r="G262" s="223" t="s">
        <v>87</v>
      </c>
      <c r="H262" s="223" t="s">
        <v>212</v>
      </c>
      <c r="I262" s="223" t="s">
        <v>80</v>
      </c>
      <c r="J262" s="223" t="s">
        <v>81</v>
      </c>
      <c r="K262" s="87"/>
      <c r="L262" s="293"/>
    </row>
    <row r="263" spans="1:12">
      <c r="A263" s="222"/>
      <c r="B263" s="222"/>
      <c r="C263" s="203"/>
      <c r="D263" s="203"/>
      <c r="E263" s="218"/>
      <c r="F263" s="204" t="s">
        <v>34</v>
      </c>
      <c r="G263" s="204" t="s">
        <v>34</v>
      </c>
      <c r="H263" s="203" t="s">
        <v>34</v>
      </c>
      <c r="I263" s="204" t="s">
        <v>77</v>
      </c>
      <c r="J263" s="204" t="s">
        <v>77</v>
      </c>
      <c r="K263" s="87"/>
      <c r="L263" s="293"/>
    </row>
    <row r="264" spans="1:12">
      <c r="A264" s="202"/>
      <c r="B264" s="200"/>
      <c r="C264" s="200"/>
      <c r="D264" s="200"/>
      <c r="E264" s="217"/>
      <c r="F264" s="205"/>
      <c r="G264" s="205"/>
      <c r="H264" s="201"/>
      <c r="I264" s="205"/>
      <c r="J264" s="205"/>
      <c r="K264" s="87"/>
      <c r="L264" s="293"/>
    </row>
    <row r="265" spans="1:12">
      <c r="A265" s="205" t="str">
        <f>A241</f>
        <v>LC-11</v>
      </c>
      <c r="B265" s="201" t="str">
        <f>B241</f>
        <v>LC-1 + Seismic Sx=1,Sz=0.3,Sy=0.3 (50% seismic)</v>
      </c>
      <c r="C265" s="201"/>
      <c r="D265" s="201"/>
      <c r="E265" s="219"/>
      <c r="F265" s="205">
        <f>SUMPRODUCT(F244:F258,$K$244:$K$258)</f>
        <v>965.3539560074247</v>
      </c>
      <c r="G265" s="219">
        <f>SUMPRODUCT(G244:G258,$K$244:$K$258)</f>
        <v>102.19002919777628</v>
      </c>
      <c r="H265" s="219">
        <f>SUMPRODUCT(H244:H258,$K$244:$K$258)</f>
        <v>16.697126759332882</v>
      </c>
      <c r="I265" s="219">
        <f>SUMPRODUCT(I244:I258,$K$244:$K$258)</f>
        <v>988.78187162103359</v>
      </c>
      <c r="J265" s="219">
        <f>SUMPRODUCT(J244:J258,$K$244:$K$258)</f>
        <v>130.58649955963972</v>
      </c>
      <c r="K265" s="87"/>
      <c r="L265" s="293"/>
    </row>
    <row r="266" spans="1:12">
      <c r="A266" s="204"/>
      <c r="B266" s="203"/>
      <c r="C266" s="203"/>
      <c r="D266" s="203"/>
      <c r="E266" s="218"/>
      <c r="F266" s="204"/>
      <c r="G266" s="204"/>
      <c r="H266" s="203"/>
      <c r="I266" s="204"/>
      <c r="J266" s="204"/>
      <c r="K266" s="87"/>
      <c r="L266" s="293"/>
    </row>
    <row r="269" spans="1:12">
      <c r="A269" s="811" t="str">
        <f>K269</f>
        <v>LC-12</v>
      </c>
      <c r="B269" s="31" t="str">
        <f>VLOOKUP(A269,LC_DEF_2!A45:B92,2,FALSE)</f>
        <v>LC-1 + Seismic Sx=0.3,Sz=1,Sy=0.3 (50% seismic)</v>
      </c>
      <c r="C269" s="31"/>
      <c r="D269" s="31"/>
      <c r="E269" s="32"/>
      <c r="F269" s="1599" t="s">
        <v>742</v>
      </c>
      <c r="G269" s="1635"/>
      <c r="H269" s="1635"/>
      <c r="I269" s="1635"/>
      <c r="J269" s="1600"/>
      <c r="K269" s="1580" t="s">
        <v>238</v>
      </c>
      <c r="L269" s="293"/>
    </row>
    <row r="270" spans="1:12" ht="18">
      <c r="A270" s="25" t="s">
        <v>73</v>
      </c>
      <c r="B270" s="26" t="s">
        <v>74</v>
      </c>
      <c r="C270" s="26"/>
      <c r="D270" s="26"/>
      <c r="E270" s="27"/>
      <c r="F270" s="58" t="s">
        <v>23</v>
      </c>
      <c r="G270" s="58" t="s">
        <v>87</v>
      </c>
      <c r="H270" s="58" t="s">
        <v>212</v>
      </c>
      <c r="I270" s="58" t="s">
        <v>80</v>
      </c>
      <c r="J270" s="58" t="s">
        <v>81</v>
      </c>
      <c r="K270" s="433"/>
      <c r="L270" s="293"/>
    </row>
    <row r="271" spans="1:12">
      <c r="A271" s="25"/>
      <c r="B271" s="26"/>
      <c r="C271" s="26"/>
      <c r="D271" s="26"/>
      <c r="E271" s="27"/>
      <c r="F271" s="36" t="s">
        <v>34</v>
      </c>
      <c r="G271" s="36" t="s">
        <v>34</v>
      </c>
      <c r="H271" s="36" t="s">
        <v>34</v>
      </c>
      <c r="I271" s="36" t="s">
        <v>77</v>
      </c>
      <c r="J271" s="36" t="s">
        <v>77</v>
      </c>
      <c r="K271" s="433"/>
      <c r="L271" s="293"/>
    </row>
    <row r="272" spans="1:12">
      <c r="A272" s="25" t="s">
        <v>88</v>
      </c>
      <c r="B272" s="26" t="s">
        <v>75</v>
      </c>
      <c r="C272" s="26"/>
      <c r="D272" s="26"/>
      <c r="E272" s="27"/>
      <c r="F272" s="195">
        <f>SF!F14</f>
        <v>365.08803866482532</v>
      </c>
      <c r="G272" s="210"/>
      <c r="H272" s="34"/>
      <c r="I272" s="195">
        <f>SF!I14</f>
        <v>0</v>
      </c>
      <c r="J272" s="195">
        <f>SF!J14</f>
        <v>0</v>
      </c>
      <c r="K272" s="511">
        <v>1.35</v>
      </c>
      <c r="L272" s="266"/>
    </row>
    <row r="273" spans="1:12">
      <c r="A273" s="25" t="s">
        <v>90</v>
      </c>
      <c r="B273" s="26" t="s">
        <v>249</v>
      </c>
      <c r="C273" s="26"/>
      <c r="D273" s="26"/>
      <c r="E273" s="27"/>
      <c r="F273" s="195">
        <f>SF!F16</f>
        <v>36.639026644707663</v>
      </c>
      <c r="G273" s="210"/>
      <c r="H273" s="34"/>
      <c r="I273" s="195">
        <f>SF!I16</f>
        <v>0</v>
      </c>
      <c r="J273" s="195">
        <f>SF!J16</f>
        <v>0</v>
      </c>
      <c r="K273" s="511">
        <v>1.35</v>
      </c>
      <c r="L273" s="266"/>
    </row>
    <row r="274" spans="1:12">
      <c r="A274" s="25" t="s">
        <v>250</v>
      </c>
      <c r="B274" s="26" t="s">
        <v>970</v>
      </c>
      <c r="C274" s="26"/>
      <c r="D274" s="26"/>
      <c r="E274" s="27"/>
      <c r="F274" s="195">
        <f>SF!F23</f>
        <v>230</v>
      </c>
      <c r="G274" s="27"/>
      <c r="H274" s="34"/>
      <c r="I274" s="195">
        <f>SF!I23</f>
        <v>115</v>
      </c>
      <c r="J274" s="195">
        <f>SF!J23</f>
        <v>0</v>
      </c>
      <c r="K274" s="433">
        <v>1.35</v>
      </c>
      <c r="L274" s="11"/>
    </row>
    <row r="275" spans="1:12">
      <c r="A275" s="25" t="s">
        <v>251</v>
      </c>
      <c r="B275" s="26" t="s">
        <v>971</v>
      </c>
      <c r="C275" s="26"/>
      <c r="D275" s="26"/>
      <c r="E275" s="27"/>
      <c r="F275" s="195">
        <f>SF!F24</f>
        <v>20.660000000000004</v>
      </c>
      <c r="G275" s="27"/>
      <c r="H275" s="34"/>
      <c r="I275" s="195">
        <f>SF!I24</f>
        <v>10.330000000000002</v>
      </c>
      <c r="J275" s="195">
        <f>SF!J24</f>
        <v>0</v>
      </c>
      <c r="K275" s="433">
        <v>1.35</v>
      </c>
      <c r="L275" s="266"/>
    </row>
    <row r="276" spans="1:12">
      <c r="A276" s="25" t="s">
        <v>97</v>
      </c>
      <c r="B276" s="26" t="s">
        <v>972</v>
      </c>
      <c r="C276" s="26"/>
      <c r="D276" s="26"/>
      <c r="E276" s="27"/>
      <c r="F276" s="195">
        <f>SF!F25</f>
        <v>42</v>
      </c>
      <c r="G276" s="27"/>
      <c r="H276" s="34"/>
      <c r="I276" s="195">
        <f>SF!I25</f>
        <v>14.858499999999999</v>
      </c>
      <c r="J276" s="195">
        <f>SF!J25</f>
        <v>0</v>
      </c>
      <c r="K276" s="511">
        <v>1.75</v>
      </c>
      <c r="L276" s="11"/>
    </row>
    <row r="277" spans="1:12">
      <c r="A277" s="25" t="s">
        <v>987</v>
      </c>
      <c r="B277" s="163" t="s">
        <v>957</v>
      </c>
      <c r="C277" s="26"/>
      <c r="D277" s="26"/>
      <c r="E277" s="27"/>
      <c r="F277" s="34"/>
      <c r="G277" s="195">
        <f>SF!G41</f>
        <v>14.632999999999999</v>
      </c>
      <c r="H277" s="34"/>
      <c r="I277" s="195">
        <f>SF!I41</f>
        <v>121.16124000000001</v>
      </c>
      <c r="J277" s="34"/>
      <c r="K277" s="433">
        <v>0.75</v>
      </c>
      <c r="L277" s="266"/>
    </row>
    <row r="278" spans="1:12">
      <c r="A278" s="278" t="s">
        <v>200</v>
      </c>
      <c r="B278" s="262"/>
      <c r="C278" s="262"/>
      <c r="D278" s="262"/>
      <c r="E278" s="263"/>
      <c r="F278" s="279"/>
      <c r="G278" s="280"/>
      <c r="H278" s="264"/>
      <c r="I278" s="279"/>
      <c r="J278" s="264"/>
      <c r="K278" s="1581">
        <v>0.22499999999999998</v>
      </c>
      <c r="L278" s="266"/>
    </row>
    <row r="279" spans="1:12">
      <c r="A279" s="25" t="s">
        <v>991</v>
      </c>
      <c r="B279" s="26" t="s">
        <v>989</v>
      </c>
      <c r="C279" s="26"/>
      <c r="D279" s="26"/>
      <c r="E279" s="27"/>
      <c r="F279" s="197"/>
      <c r="G279" s="172">
        <f>SF!G52</f>
        <v>94.821839999999995</v>
      </c>
      <c r="H279" s="34"/>
      <c r="I279" s="172">
        <f>SF!I52</f>
        <v>785.12483520000001</v>
      </c>
      <c r="J279" s="89"/>
      <c r="K279" s="511">
        <v>0.22499999999999998</v>
      </c>
      <c r="L279" s="266"/>
    </row>
    <row r="280" spans="1:12">
      <c r="A280" s="25" t="s">
        <v>217</v>
      </c>
      <c r="B280" s="26" t="s">
        <v>211</v>
      </c>
      <c r="C280" s="26"/>
      <c r="D280" s="26"/>
      <c r="E280" s="27"/>
      <c r="F280" s="197"/>
      <c r="G280" s="196">
        <f>SF!G58</f>
        <v>26.798532263701709</v>
      </c>
      <c r="H280" s="199"/>
      <c r="I280" s="172">
        <f>SF!I58</f>
        <v>147.28381289471153</v>
      </c>
      <c r="J280" s="195"/>
      <c r="K280" s="433">
        <v>0.22499999999999998</v>
      </c>
      <c r="L280" s="266"/>
    </row>
    <row r="281" spans="1:12">
      <c r="A281" s="278" t="s">
        <v>1817</v>
      </c>
      <c r="B281" s="262"/>
      <c r="C281" s="262"/>
      <c r="D281" s="262"/>
      <c r="E281" s="263"/>
      <c r="F281" s="279"/>
      <c r="G281" s="280"/>
      <c r="H281" s="264"/>
      <c r="I281" s="279"/>
      <c r="J281" s="264"/>
      <c r="K281" s="1582">
        <v>0.75</v>
      </c>
      <c r="L281" s="266"/>
    </row>
    <row r="282" spans="1:12">
      <c r="A282" s="25" t="s">
        <v>998</v>
      </c>
      <c r="B282" s="26" t="s">
        <v>989</v>
      </c>
      <c r="C282" s="26"/>
      <c r="D282" s="26"/>
      <c r="E282" s="27"/>
      <c r="F282" s="197"/>
      <c r="G282" s="211"/>
      <c r="H282" s="172">
        <f>SF!H68</f>
        <v>47.410919999999997</v>
      </c>
      <c r="I282" s="197"/>
      <c r="J282" s="172">
        <f>SF!J68</f>
        <v>433.10062959257624</v>
      </c>
      <c r="K282" s="433">
        <v>0.75</v>
      </c>
      <c r="L282" s="266"/>
    </row>
    <row r="283" spans="1:12">
      <c r="A283" s="25" t="s">
        <v>1006</v>
      </c>
      <c r="B283" s="26" t="s">
        <v>211</v>
      </c>
      <c r="C283" s="26"/>
      <c r="D283" s="26"/>
      <c r="E283" s="27"/>
      <c r="F283" s="197"/>
      <c r="G283" s="195"/>
      <c r="H283" s="172">
        <f>SF!H78</f>
        <v>26.798532263701709</v>
      </c>
      <c r="I283" s="195"/>
      <c r="J283" s="172">
        <f>SF!J78</f>
        <v>147.28381289471153</v>
      </c>
      <c r="K283" s="433">
        <v>0.75</v>
      </c>
      <c r="L283" s="266"/>
    </row>
    <row r="284" spans="1:12">
      <c r="A284" s="990" t="s">
        <v>204</v>
      </c>
      <c r="B284" s="661"/>
      <c r="C284" s="661"/>
      <c r="D284" s="661"/>
      <c r="E284" s="584"/>
      <c r="F284" s="991"/>
      <c r="G284" s="992"/>
      <c r="H284" s="370"/>
      <c r="I284" s="991"/>
      <c r="J284" s="370"/>
      <c r="K284" s="1583">
        <v>0.22499999999999998</v>
      </c>
      <c r="L284" s="266"/>
    </row>
    <row r="285" spans="1:12">
      <c r="A285" s="25" t="s">
        <v>1008</v>
      </c>
      <c r="B285" s="26" t="s">
        <v>989</v>
      </c>
      <c r="C285" s="26"/>
      <c r="D285" s="26"/>
      <c r="E285" s="27"/>
      <c r="F285" s="196">
        <f>SF!F88</f>
        <v>31.607279999999999</v>
      </c>
      <c r="G285" s="211"/>
      <c r="H285" s="34"/>
      <c r="I285" s="196">
        <f>SF!I88</f>
        <v>15.140358000000003</v>
      </c>
      <c r="J285" s="196">
        <f>SF!J88</f>
        <v>0</v>
      </c>
      <c r="K285" s="511">
        <v>0.22499999999999998</v>
      </c>
      <c r="L285" s="266"/>
    </row>
    <row r="286" spans="1:12">
      <c r="A286" s="25" t="s">
        <v>1011</v>
      </c>
      <c r="B286" s="26" t="s">
        <v>211</v>
      </c>
      <c r="C286" s="26"/>
      <c r="D286" s="26"/>
      <c r="E286" s="27"/>
      <c r="F286" s="196">
        <f>SF!F98</f>
        <v>17.865688175801139</v>
      </c>
      <c r="G286" s="211"/>
      <c r="H286" s="197"/>
      <c r="I286" s="196">
        <f>SF!I98</f>
        <v>0</v>
      </c>
      <c r="J286" s="196">
        <f>SF!J98</f>
        <v>0</v>
      </c>
      <c r="K286" s="511">
        <v>0.22499999999999998</v>
      </c>
      <c r="L286" s="266"/>
    </row>
    <row r="287" spans="1:12">
      <c r="A287" s="253"/>
      <c r="B287" s="15"/>
      <c r="C287" s="15"/>
      <c r="D287" s="15"/>
      <c r="E287" s="22"/>
      <c r="F287" s="212"/>
      <c r="G287" s="213"/>
      <c r="H287" s="198"/>
      <c r="I287" s="198"/>
      <c r="J287" s="58"/>
      <c r="K287" s="208"/>
      <c r="L287" s="293"/>
    </row>
    <row r="288" spans="1:12">
      <c r="A288" s="46"/>
      <c r="B288" s="46"/>
      <c r="C288" s="46"/>
      <c r="D288" s="46"/>
      <c r="E288" s="46"/>
      <c r="F288" s="46"/>
      <c r="G288" s="46"/>
      <c r="H288" s="46"/>
      <c r="I288" s="46"/>
      <c r="J288" s="46"/>
      <c r="K288" s="87"/>
      <c r="L288" s="293"/>
    </row>
    <row r="289" spans="1:12">
      <c r="A289" s="220" t="s">
        <v>73</v>
      </c>
      <c r="B289" s="220" t="s">
        <v>74</v>
      </c>
      <c r="C289" s="200"/>
      <c r="D289" s="200"/>
      <c r="E289" s="217"/>
      <c r="F289" s="1636" t="s">
        <v>72</v>
      </c>
      <c r="G289" s="1637"/>
      <c r="H289" s="1637"/>
      <c r="I289" s="1637"/>
      <c r="J289" s="1638"/>
      <c r="K289" s="87"/>
      <c r="L289" s="293"/>
    </row>
    <row r="290" spans="1:12" ht="18">
      <c r="A290" s="221"/>
      <c r="B290" s="221"/>
      <c r="C290" s="201"/>
      <c r="D290" s="201"/>
      <c r="E290" s="219"/>
      <c r="F290" s="223" t="s">
        <v>23</v>
      </c>
      <c r="G290" s="223" t="s">
        <v>87</v>
      </c>
      <c r="H290" s="223" t="s">
        <v>212</v>
      </c>
      <c r="I290" s="223" t="s">
        <v>80</v>
      </c>
      <c r="J290" s="223" t="s">
        <v>81</v>
      </c>
      <c r="K290" s="87"/>
      <c r="L290" s="293"/>
    </row>
    <row r="291" spans="1:12">
      <c r="A291" s="222"/>
      <c r="B291" s="222"/>
      <c r="C291" s="203"/>
      <c r="D291" s="203"/>
      <c r="E291" s="218"/>
      <c r="F291" s="204" t="s">
        <v>34</v>
      </c>
      <c r="G291" s="204" t="s">
        <v>34</v>
      </c>
      <c r="H291" s="203" t="s">
        <v>34</v>
      </c>
      <c r="I291" s="204" t="s">
        <v>77</v>
      </c>
      <c r="J291" s="204" t="s">
        <v>77</v>
      </c>
      <c r="K291" s="87"/>
      <c r="L291" s="293"/>
    </row>
    <row r="292" spans="1:12">
      <c r="A292" s="202"/>
      <c r="B292" s="200"/>
      <c r="C292" s="200"/>
      <c r="D292" s="200"/>
      <c r="E292" s="217"/>
      <c r="F292" s="205"/>
      <c r="G292" s="205"/>
      <c r="H292" s="201"/>
      <c r="I292" s="205"/>
      <c r="J292" s="205"/>
      <c r="K292" s="87"/>
      <c r="L292" s="293"/>
    </row>
    <row r="293" spans="1:12">
      <c r="A293" s="205" t="str">
        <f>A269</f>
        <v>LC-12</v>
      </c>
      <c r="B293" s="201" t="str">
        <f>B269</f>
        <v>LC-1 + Seismic Sx=0.3,Sz=1,Sy=0.3 (50% seismic)</v>
      </c>
      <c r="C293" s="201"/>
      <c r="D293" s="201"/>
      <c r="E293" s="219"/>
      <c r="F293" s="205">
        <f>SUMPRODUCT(F272:F286,$K$272:$K$286)</f>
        <v>965.3539560074247</v>
      </c>
      <c r="G293" s="219">
        <f>SUMPRODUCT(G272:G286,$K$272:$K$286)</f>
        <v>38.339333759332881</v>
      </c>
      <c r="H293" s="219">
        <f>SUMPRODUCT(H272:H286,$K$272:$K$286)</f>
        <v>55.65708919777628</v>
      </c>
      <c r="I293" s="219">
        <f>SUMPRODUCT(I272:I286,$K$272:$K$286)</f>
        <v>499.26733137131004</v>
      </c>
      <c r="J293" s="219">
        <f>SUMPRODUCT(J272:J286,$K$272:$K$286)</f>
        <v>435.28833186546581</v>
      </c>
      <c r="K293" s="87"/>
      <c r="L293" s="293"/>
    </row>
    <row r="294" spans="1:12">
      <c r="A294" s="204"/>
      <c r="B294" s="203"/>
      <c r="C294" s="203"/>
      <c r="D294" s="203"/>
      <c r="E294" s="218"/>
      <c r="F294" s="204"/>
      <c r="G294" s="204"/>
      <c r="H294" s="203"/>
      <c r="I294" s="204"/>
      <c r="J294" s="204"/>
      <c r="K294" s="87"/>
      <c r="L294" s="293"/>
    </row>
    <row r="297" spans="1:12">
      <c r="A297" s="811" t="str">
        <f>K297</f>
        <v>LC-13</v>
      </c>
      <c r="B297" s="31" t="str">
        <f>VLOOKUP(A297,LC_DEF_2!A45:B92,2,FALSE)</f>
        <v>LC-2 + Seismic Sx=1,Sz=0.3,Sy=-0.3</v>
      </c>
      <c r="C297" s="31"/>
      <c r="D297" s="31"/>
      <c r="E297" s="32"/>
      <c r="F297" s="1599" t="s">
        <v>742</v>
      </c>
      <c r="G297" s="1635"/>
      <c r="H297" s="1635"/>
      <c r="I297" s="1635"/>
      <c r="J297" s="1600"/>
      <c r="K297" s="1580" t="s">
        <v>239</v>
      </c>
      <c r="L297" s="293"/>
    </row>
    <row r="298" spans="1:12" ht="18">
      <c r="A298" s="25" t="s">
        <v>73</v>
      </c>
      <c r="B298" s="26" t="s">
        <v>74</v>
      </c>
      <c r="C298" s="26"/>
      <c r="D298" s="26"/>
      <c r="E298" s="27"/>
      <c r="F298" s="58" t="s">
        <v>23</v>
      </c>
      <c r="G298" s="58" t="s">
        <v>87</v>
      </c>
      <c r="H298" s="58" t="s">
        <v>212</v>
      </c>
      <c r="I298" s="58" t="s">
        <v>80</v>
      </c>
      <c r="J298" s="58" t="s">
        <v>81</v>
      </c>
      <c r="K298" s="433"/>
      <c r="L298" s="293"/>
    </row>
    <row r="299" spans="1:12">
      <c r="A299" s="25"/>
      <c r="B299" s="26"/>
      <c r="C299" s="26"/>
      <c r="D299" s="26"/>
      <c r="E299" s="27"/>
      <c r="F299" s="36" t="s">
        <v>34</v>
      </c>
      <c r="G299" s="36" t="s">
        <v>34</v>
      </c>
      <c r="H299" s="36" t="s">
        <v>34</v>
      </c>
      <c r="I299" s="36" t="s">
        <v>77</v>
      </c>
      <c r="J299" s="36" t="s">
        <v>77</v>
      </c>
      <c r="K299" s="433"/>
      <c r="L299" s="293"/>
    </row>
    <row r="300" spans="1:12">
      <c r="A300" s="25" t="s">
        <v>88</v>
      </c>
      <c r="B300" s="26" t="s">
        <v>75</v>
      </c>
      <c r="C300" s="26"/>
      <c r="D300" s="26"/>
      <c r="E300" s="27"/>
      <c r="F300" s="195">
        <f>SF!F14</f>
        <v>365.08803866482532</v>
      </c>
      <c r="G300" s="210"/>
      <c r="H300" s="34"/>
      <c r="I300" s="195">
        <f>SF!I14</f>
        <v>0</v>
      </c>
      <c r="J300" s="195">
        <f>SF!J14</f>
        <v>0</v>
      </c>
      <c r="K300" s="511">
        <v>1.35</v>
      </c>
      <c r="L300" s="266"/>
    </row>
    <row r="301" spans="1:12">
      <c r="A301" s="25" t="s">
        <v>90</v>
      </c>
      <c r="B301" s="26" t="s">
        <v>249</v>
      </c>
      <c r="C301" s="26"/>
      <c r="D301" s="26"/>
      <c r="E301" s="27"/>
      <c r="F301" s="195">
        <f>SF!F16</f>
        <v>36.639026644707663</v>
      </c>
      <c r="G301" s="210"/>
      <c r="H301" s="34"/>
      <c r="I301" s="195">
        <f>SF!I16</f>
        <v>0</v>
      </c>
      <c r="J301" s="195">
        <f>SF!J16</f>
        <v>0</v>
      </c>
      <c r="K301" s="511">
        <v>1.35</v>
      </c>
      <c r="L301" s="266"/>
    </row>
    <row r="302" spans="1:12">
      <c r="A302" s="25" t="s">
        <v>250</v>
      </c>
      <c r="B302" s="26" t="s">
        <v>967</v>
      </c>
      <c r="C302" s="26"/>
      <c r="D302" s="26"/>
      <c r="E302" s="27"/>
      <c r="F302" s="195">
        <f>SF!F19</f>
        <v>230</v>
      </c>
      <c r="G302" s="27"/>
      <c r="H302" s="34"/>
      <c r="I302" s="195">
        <f>SF!I19</f>
        <v>-115</v>
      </c>
      <c r="J302" s="195">
        <f>SF!J19</f>
        <v>0</v>
      </c>
      <c r="K302" s="433">
        <v>1.35</v>
      </c>
      <c r="L302" s="11"/>
    </row>
    <row r="303" spans="1:12">
      <c r="A303" s="25" t="s">
        <v>251</v>
      </c>
      <c r="B303" s="26" t="s">
        <v>968</v>
      </c>
      <c r="C303" s="26"/>
      <c r="D303" s="26"/>
      <c r="E303" s="27"/>
      <c r="F303" s="195">
        <f>SF!F20</f>
        <v>20.660000000000004</v>
      </c>
      <c r="G303" s="27"/>
      <c r="H303" s="34"/>
      <c r="I303" s="195">
        <f>SF!I20</f>
        <v>-10.330000000000002</v>
      </c>
      <c r="J303" s="195">
        <f>SF!J20</f>
        <v>0</v>
      </c>
      <c r="K303" s="433">
        <v>1.35</v>
      </c>
      <c r="L303" s="11"/>
    </row>
    <row r="304" spans="1:12">
      <c r="A304" s="25" t="s">
        <v>97</v>
      </c>
      <c r="B304" s="26" t="s">
        <v>969</v>
      </c>
      <c r="C304" s="26"/>
      <c r="D304" s="26"/>
      <c r="E304" s="27"/>
      <c r="F304" s="195">
        <f>SF!F21</f>
        <v>42</v>
      </c>
      <c r="G304" s="27"/>
      <c r="H304" s="34"/>
      <c r="I304" s="195">
        <f>SF!I21</f>
        <v>-14.858499999999999</v>
      </c>
      <c r="J304" s="195">
        <f>SF!J21</f>
        <v>0</v>
      </c>
      <c r="K304" s="433">
        <v>1.35</v>
      </c>
      <c r="L304" s="11"/>
    </row>
    <row r="305" spans="1:12">
      <c r="A305" s="25" t="s">
        <v>250</v>
      </c>
      <c r="B305" s="26" t="s">
        <v>970</v>
      </c>
      <c r="C305" s="26"/>
      <c r="D305" s="26"/>
      <c r="E305" s="27"/>
      <c r="F305" s="195">
        <f>SF!F23</f>
        <v>230</v>
      </c>
      <c r="G305" s="27"/>
      <c r="H305" s="34"/>
      <c r="I305" s="195">
        <f>SF!I23</f>
        <v>115</v>
      </c>
      <c r="J305" s="195">
        <f>SF!J23</f>
        <v>0</v>
      </c>
      <c r="K305" s="433">
        <v>1.35</v>
      </c>
      <c r="L305" s="11"/>
    </row>
    <row r="306" spans="1:12">
      <c r="A306" s="25" t="s">
        <v>251</v>
      </c>
      <c r="B306" s="26" t="s">
        <v>971</v>
      </c>
      <c r="C306" s="26"/>
      <c r="D306" s="26"/>
      <c r="E306" s="27"/>
      <c r="F306" s="195">
        <f>SF!F24</f>
        <v>20.660000000000004</v>
      </c>
      <c r="G306" s="27"/>
      <c r="H306" s="34"/>
      <c r="I306" s="195">
        <f>SF!I24</f>
        <v>10.330000000000002</v>
      </c>
      <c r="J306" s="195">
        <f>SF!J24</f>
        <v>0</v>
      </c>
      <c r="K306" s="433">
        <v>1.35</v>
      </c>
      <c r="L306" s="266"/>
    </row>
    <row r="307" spans="1:12">
      <c r="A307" s="25" t="s">
        <v>97</v>
      </c>
      <c r="B307" s="26" t="s">
        <v>972</v>
      </c>
      <c r="C307" s="26"/>
      <c r="D307" s="26"/>
      <c r="E307" s="27"/>
      <c r="F307" s="195">
        <f>SF!F25</f>
        <v>42</v>
      </c>
      <c r="G307" s="27"/>
      <c r="H307" s="34"/>
      <c r="I307" s="195">
        <f>SF!I25</f>
        <v>14.858499999999999</v>
      </c>
      <c r="J307" s="195">
        <f>SF!J25</f>
        <v>0</v>
      </c>
      <c r="K307" s="511">
        <v>1.75</v>
      </c>
      <c r="L307" s="11"/>
    </row>
    <row r="308" spans="1:12">
      <c r="A308" s="25" t="s">
        <v>986</v>
      </c>
      <c r="B308" s="163" t="s">
        <v>955</v>
      </c>
      <c r="C308" s="26"/>
      <c r="D308" s="26"/>
      <c r="E308" s="27"/>
      <c r="F308" s="34"/>
      <c r="G308" s="195">
        <f>SF!G40</f>
        <v>5.8532000000000011</v>
      </c>
      <c r="H308" s="34"/>
      <c r="I308" s="195">
        <f>SF!I40</f>
        <v>48.464496000000018</v>
      </c>
      <c r="J308" s="34"/>
      <c r="K308" s="433">
        <v>1.35</v>
      </c>
      <c r="L308" s="266"/>
    </row>
    <row r="309" spans="1:12">
      <c r="A309" s="278" t="s">
        <v>200</v>
      </c>
      <c r="B309" s="262"/>
      <c r="C309" s="262"/>
      <c r="D309" s="262"/>
      <c r="E309" s="263"/>
      <c r="F309" s="279"/>
      <c r="G309" s="280"/>
      <c r="H309" s="264"/>
      <c r="I309" s="279"/>
      <c r="J309" s="264"/>
      <c r="K309" s="1581">
        <v>1.5</v>
      </c>
      <c r="L309" s="266"/>
    </row>
    <row r="310" spans="1:12">
      <c r="A310" s="25" t="s">
        <v>991</v>
      </c>
      <c r="B310" s="26" t="s">
        <v>989</v>
      </c>
      <c r="C310" s="26"/>
      <c r="D310" s="26"/>
      <c r="E310" s="27"/>
      <c r="F310" s="197"/>
      <c r="G310" s="172">
        <f>SF!G52</f>
        <v>94.821839999999995</v>
      </c>
      <c r="H310" s="34"/>
      <c r="I310" s="172">
        <f>SF!I52</f>
        <v>785.12483520000001</v>
      </c>
      <c r="J310" s="89"/>
      <c r="K310" s="511">
        <v>1.5</v>
      </c>
      <c r="L310" s="266"/>
    </row>
    <row r="311" spans="1:12">
      <c r="A311" s="25" t="s">
        <v>217</v>
      </c>
      <c r="B311" s="26" t="s">
        <v>211</v>
      </c>
      <c r="C311" s="26"/>
      <c r="D311" s="26"/>
      <c r="E311" s="27"/>
      <c r="F311" s="197"/>
      <c r="G311" s="196">
        <f>SF!G58</f>
        <v>26.798532263701709</v>
      </c>
      <c r="H311" s="199"/>
      <c r="I311" s="172">
        <f>SF!I58</f>
        <v>147.28381289471153</v>
      </c>
      <c r="J311" s="195"/>
      <c r="K311" s="433">
        <v>1.5</v>
      </c>
      <c r="L311" s="266"/>
    </row>
    <row r="312" spans="1:12">
      <c r="A312" s="278" t="s">
        <v>1817</v>
      </c>
      <c r="B312" s="262"/>
      <c r="C312" s="262"/>
      <c r="D312" s="262"/>
      <c r="E312" s="263"/>
      <c r="F312" s="279"/>
      <c r="G312" s="280"/>
      <c r="H312" s="264"/>
      <c r="I312" s="279"/>
      <c r="J312" s="264"/>
      <c r="K312" s="1582">
        <v>0.44999999999999996</v>
      </c>
      <c r="L312" s="266"/>
    </row>
    <row r="313" spans="1:12">
      <c r="A313" s="25" t="s">
        <v>997</v>
      </c>
      <c r="B313" s="26" t="s">
        <v>988</v>
      </c>
      <c r="C313" s="26"/>
      <c r="D313" s="26"/>
      <c r="E313" s="27"/>
      <c r="F313" s="197"/>
      <c r="G313" s="211"/>
      <c r="H313" s="172">
        <f>SF!H67</f>
        <v>47.410919999999997</v>
      </c>
      <c r="I313" s="197"/>
      <c r="J313" s="172">
        <f>SF!J67</f>
        <v>433.10062959257624</v>
      </c>
      <c r="K313" s="511">
        <v>0.44999999999999996</v>
      </c>
      <c r="L313" s="266"/>
    </row>
    <row r="314" spans="1:12">
      <c r="A314" s="25" t="s">
        <v>998</v>
      </c>
      <c r="B314" s="26" t="s">
        <v>989</v>
      </c>
      <c r="C314" s="26"/>
      <c r="D314" s="26"/>
      <c r="E314" s="27"/>
      <c r="F314" s="197"/>
      <c r="G314" s="211"/>
      <c r="H314" s="172">
        <f>SF!H68</f>
        <v>47.410919999999997</v>
      </c>
      <c r="I314" s="197"/>
      <c r="J314" s="172">
        <f>SF!J68</f>
        <v>433.10062959257624</v>
      </c>
      <c r="K314" s="433">
        <v>0.44999999999999996</v>
      </c>
      <c r="L314" s="266"/>
    </row>
    <row r="315" spans="1:12">
      <c r="A315" s="25" t="s">
        <v>1006</v>
      </c>
      <c r="B315" s="26" t="s">
        <v>211</v>
      </c>
      <c r="C315" s="26"/>
      <c r="D315" s="26"/>
      <c r="E315" s="27"/>
      <c r="F315" s="197"/>
      <c r="G315" s="195"/>
      <c r="H315" s="172">
        <f>SF!H78</f>
        <v>26.798532263701709</v>
      </c>
      <c r="I315" s="195"/>
      <c r="J315" s="172">
        <f>SF!J78</f>
        <v>147.28381289471153</v>
      </c>
      <c r="K315" s="433">
        <v>0.44999999999999996</v>
      </c>
      <c r="L315" s="266"/>
    </row>
    <row r="316" spans="1:12">
      <c r="A316" s="990" t="s">
        <v>204</v>
      </c>
      <c r="B316" s="661"/>
      <c r="C316" s="661"/>
      <c r="D316" s="661"/>
      <c r="E316" s="584"/>
      <c r="F316" s="991"/>
      <c r="G316" s="992"/>
      <c r="H316" s="370"/>
      <c r="I316" s="991"/>
      <c r="J316" s="370"/>
      <c r="K316" s="1583">
        <v>0.44999999999999996</v>
      </c>
      <c r="L316" s="266"/>
    </row>
    <row r="317" spans="1:12">
      <c r="A317" s="25" t="s">
        <v>1007</v>
      </c>
      <c r="B317" s="26" t="s">
        <v>988</v>
      </c>
      <c r="C317" s="26"/>
      <c r="D317" s="26"/>
      <c r="E317" s="27"/>
      <c r="F317" s="196">
        <f>SF!F87</f>
        <v>31.607279999999999</v>
      </c>
      <c r="G317" s="211"/>
      <c r="H317" s="34"/>
      <c r="I317" s="196">
        <f>SF!I87</f>
        <v>-15.140358000000003</v>
      </c>
      <c r="J317" s="196">
        <f>SF!J87</f>
        <v>0</v>
      </c>
      <c r="K317" s="433">
        <v>-0.44999999999999996</v>
      </c>
      <c r="L317" s="266"/>
    </row>
    <row r="318" spans="1:12">
      <c r="A318" s="25" t="s">
        <v>1008</v>
      </c>
      <c r="B318" s="26" t="s">
        <v>989</v>
      </c>
      <c r="C318" s="26"/>
      <c r="D318" s="26"/>
      <c r="E318" s="27"/>
      <c r="F318" s="196">
        <f>SF!F88</f>
        <v>31.607279999999999</v>
      </c>
      <c r="G318" s="211"/>
      <c r="H318" s="34"/>
      <c r="I318" s="196">
        <f>SF!I88</f>
        <v>15.140358000000003</v>
      </c>
      <c r="J318" s="196">
        <f>SF!J88</f>
        <v>0</v>
      </c>
      <c r="K318" s="511">
        <v>-0.44999999999999996</v>
      </c>
      <c r="L318" s="266"/>
    </row>
    <row r="319" spans="1:12">
      <c r="A319" s="25" t="s">
        <v>1011</v>
      </c>
      <c r="B319" s="26" t="s">
        <v>211</v>
      </c>
      <c r="C319" s="26"/>
      <c r="D319" s="26"/>
      <c r="E319" s="27"/>
      <c r="F319" s="196">
        <f>SF!F98</f>
        <v>17.865688175801139</v>
      </c>
      <c r="G319" s="211"/>
      <c r="H319" s="197"/>
      <c r="I319" s="196">
        <f>SF!I98</f>
        <v>0</v>
      </c>
      <c r="J319" s="196">
        <f>SF!J98</f>
        <v>0</v>
      </c>
      <c r="K319" s="511">
        <v>-0.44999999999999996</v>
      </c>
      <c r="L319" s="266"/>
    </row>
    <row r="320" spans="1:12">
      <c r="A320" s="253"/>
      <c r="B320" s="15"/>
      <c r="C320" s="15"/>
      <c r="D320" s="15"/>
      <c r="E320" s="22"/>
      <c r="F320" s="212"/>
      <c r="G320" s="213"/>
      <c r="H320" s="198"/>
      <c r="I320" s="198"/>
      <c r="J320" s="58"/>
      <c r="K320" s="208"/>
      <c r="L320" s="293"/>
    </row>
    <row r="321" spans="1:12">
      <c r="A321" s="46"/>
      <c r="B321" s="46"/>
      <c r="C321" s="46"/>
      <c r="D321" s="46"/>
      <c r="E321" s="46"/>
      <c r="F321" s="46"/>
      <c r="G321" s="46"/>
      <c r="H321" s="46"/>
      <c r="I321" s="46"/>
      <c r="J321" s="46"/>
      <c r="K321" s="87"/>
      <c r="L321" s="293"/>
    </row>
    <row r="322" spans="1:12">
      <c r="A322" s="220" t="s">
        <v>73</v>
      </c>
      <c r="B322" s="220" t="s">
        <v>74</v>
      </c>
      <c r="C322" s="200"/>
      <c r="D322" s="200"/>
      <c r="E322" s="217"/>
      <c r="F322" s="1636" t="s">
        <v>72</v>
      </c>
      <c r="G322" s="1637"/>
      <c r="H322" s="1637"/>
      <c r="I322" s="1637"/>
      <c r="J322" s="1638"/>
      <c r="K322" s="87"/>
      <c r="L322" s="293"/>
    </row>
    <row r="323" spans="1:12" ht="18">
      <c r="A323" s="221"/>
      <c r="B323" s="221"/>
      <c r="C323" s="201"/>
      <c r="D323" s="201"/>
      <c r="E323" s="219"/>
      <c r="F323" s="223" t="s">
        <v>23</v>
      </c>
      <c r="G323" s="223" t="s">
        <v>87</v>
      </c>
      <c r="H323" s="223" t="s">
        <v>212</v>
      </c>
      <c r="I323" s="223" t="s">
        <v>80</v>
      </c>
      <c r="J323" s="223" t="s">
        <v>81</v>
      </c>
      <c r="K323" s="87"/>
      <c r="L323" s="293"/>
    </row>
    <row r="324" spans="1:12">
      <c r="A324" s="222"/>
      <c r="B324" s="222"/>
      <c r="C324" s="203"/>
      <c r="D324" s="203"/>
      <c r="E324" s="218"/>
      <c r="F324" s="204" t="s">
        <v>34</v>
      </c>
      <c r="G324" s="204" t="s">
        <v>34</v>
      </c>
      <c r="H324" s="203" t="s">
        <v>34</v>
      </c>
      <c r="I324" s="204" t="s">
        <v>77</v>
      </c>
      <c r="J324" s="204" t="s">
        <v>77</v>
      </c>
      <c r="K324" s="87"/>
      <c r="L324" s="293"/>
    </row>
    <row r="325" spans="1:12">
      <c r="A325" s="202"/>
      <c r="B325" s="200"/>
      <c r="C325" s="200"/>
      <c r="D325" s="200"/>
      <c r="E325" s="217"/>
      <c r="F325" s="205"/>
      <c r="G325" s="205"/>
      <c r="H325" s="201"/>
      <c r="I325" s="205"/>
      <c r="J325" s="205"/>
      <c r="K325" s="87"/>
      <c r="L325" s="293"/>
    </row>
    <row r="326" spans="1:12">
      <c r="A326" s="205" t="str">
        <f>A297</f>
        <v>LC-13</v>
      </c>
      <c r="B326" s="201" t="str">
        <f>B297</f>
        <v>LC-2 + Seismic Sx=1,Sz=0.3,Sy=-0.3</v>
      </c>
      <c r="C326" s="201"/>
      <c r="D326" s="201"/>
      <c r="E326" s="219"/>
      <c r="F326" s="205">
        <f>SUMPRODUCT(F300:F319,$K$300:$K$319)</f>
        <v>1312.8274264887593</v>
      </c>
      <c r="G326" s="219">
        <f>SUMPRODUCT(G300:G319,$K$300:$K$319)</f>
        <v>190.33237839555255</v>
      </c>
      <c r="H326" s="219">
        <f>SUMPRODUCT(H300:H319,$K$300:$K$319)</f>
        <v>54.729167518665761</v>
      </c>
      <c r="I326" s="219">
        <f>SUMPRODUCT(I300:I319,$K$300:$K$319)</f>
        <v>1469.983441742067</v>
      </c>
      <c r="J326" s="219">
        <f>SUMPRODUCT(J300:J319,$K$300:$K$319)</f>
        <v>456.06828243593873</v>
      </c>
      <c r="K326" s="87"/>
      <c r="L326" s="293"/>
    </row>
    <row r="327" spans="1:12">
      <c r="A327" s="204"/>
      <c r="B327" s="203"/>
      <c r="C327" s="203"/>
      <c r="D327" s="203"/>
      <c r="E327" s="218"/>
      <c r="F327" s="204"/>
      <c r="G327" s="204"/>
      <c r="H327" s="203"/>
      <c r="I327" s="204"/>
      <c r="J327" s="204"/>
      <c r="K327" s="87"/>
      <c r="L327" s="293"/>
    </row>
    <row r="330" spans="1:12">
      <c r="A330" s="811" t="str">
        <f>K330</f>
        <v>LC-14</v>
      </c>
      <c r="B330" s="31" t="str">
        <f>VLOOKUP(A330,LC_DEF_2!A45:B92,2,FALSE)</f>
        <v>LC-2 + Seismic Sx=0.3,Sz=1,Sy=-0.3</v>
      </c>
      <c r="C330" s="31"/>
      <c r="D330" s="31"/>
      <c r="E330" s="32"/>
      <c r="F330" s="1599" t="s">
        <v>742</v>
      </c>
      <c r="G330" s="1635"/>
      <c r="H330" s="1635"/>
      <c r="I330" s="1635"/>
      <c r="J330" s="1600"/>
      <c r="K330" s="1580" t="s">
        <v>240</v>
      </c>
      <c r="L330" s="293"/>
    </row>
    <row r="331" spans="1:12" ht="18">
      <c r="A331" s="25" t="s">
        <v>73</v>
      </c>
      <c r="B331" s="26" t="s">
        <v>74</v>
      </c>
      <c r="C331" s="26"/>
      <c r="D331" s="26"/>
      <c r="E331" s="27"/>
      <c r="F331" s="58" t="s">
        <v>23</v>
      </c>
      <c r="G331" s="58" t="s">
        <v>87</v>
      </c>
      <c r="H331" s="58" t="s">
        <v>212</v>
      </c>
      <c r="I331" s="58" t="s">
        <v>80</v>
      </c>
      <c r="J331" s="58" t="s">
        <v>81</v>
      </c>
      <c r="K331" s="433"/>
      <c r="L331" s="293"/>
    </row>
    <row r="332" spans="1:12">
      <c r="A332" s="25"/>
      <c r="B332" s="26"/>
      <c r="C332" s="26"/>
      <c r="D332" s="26"/>
      <c r="E332" s="27"/>
      <c r="F332" s="36" t="s">
        <v>34</v>
      </c>
      <c r="G332" s="36" t="s">
        <v>34</v>
      </c>
      <c r="H332" s="36" t="s">
        <v>34</v>
      </c>
      <c r="I332" s="36" t="s">
        <v>77</v>
      </c>
      <c r="J332" s="36" t="s">
        <v>77</v>
      </c>
      <c r="K332" s="433"/>
      <c r="L332" s="293"/>
    </row>
    <row r="333" spans="1:12">
      <c r="A333" s="25" t="s">
        <v>88</v>
      </c>
      <c r="B333" s="26" t="s">
        <v>75</v>
      </c>
      <c r="C333" s="26"/>
      <c r="D333" s="26"/>
      <c r="E333" s="27"/>
      <c r="F333" s="195">
        <f>SF!F14</f>
        <v>365.08803866482532</v>
      </c>
      <c r="G333" s="210"/>
      <c r="H333" s="34"/>
      <c r="I333" s="195">
        <f>SF!I14</f>
        <v>0</v>
      </c>
      <c r="J333" s="195">
        <f>SF!J14</f>
        <v>0</v>
      </c>
      <c r="K333" s="511">
        <v>1.35</v>
      </c>
      <c r="L333" s="266"/>
    </row>
    <row r="334" spans="1:12">
      <c r="A334" s="25" t="s">
        <v>90</v>
      </c>
      <c r="B334" s="26" t="s">
        <v>249</v>
      </c>
      <c r="C334" s="26"/>
      <c r="D334" s="26"/>
      <c r="E334" s="27"/>
      <c r="F334" s="195">
        <f>SF!F16</f>
        <v>36.639026644707663</v>
      </c>
      <c r="G334" s="210"/>
      <c r="H334" s="34"/>
      <c r="I334" s="195">
        <f>SF!I16</f>
        <v>0</v>
      </c>
      <c r="J334" s="195">
        <f>SF!J16</f>
        <v>0</v>
      </c>
      <c r="K334" s="511">
        <v>1.35</v>
      </c>
      <c r="L334" s="266"/>
    </row>
    <row r="335" spans="1:12">
      <c r="A335" s="25" t="s">
        <v>250</v>
      </c>
      <c r="B335" s="26" t="s">
        <v>967</v>
      </c>
      <c r="C335" s="26"/>
      <c r="D335" s="26"/>
      <c r="E335" s="27"/>
      <c r="F335" s="195">
        <f>SF!F19</f>
        <v>230</v>
      </c>
      <c r="G335" s="27"/>
      <c r="H335" s="34"/>
      <c r="I335" s="195">
        <f>SF!I19</f>
        <v>-115</v>
      </c>
      <c r="J335" s="195">
        <f>SF!J19</f>
        <v>0</v>
      </c>
      <c r="K335" s="433">
        <v>1.35</v>
      </c>
      <c r="L335" s="11"/>
    </row>
    <row r="336" spans="1:12">
      <c r="A336" s="25" t="s">
        <v>251</v>
      </c>
      <c r="B336" s="26" t="s">
        <v>968</v>
      </c>
      <c r="C336" s="26"/>
      <c r="D336" s="26"/>
      <c r="E336" s="27"/>
      <c r="F336" s="195">
        <f>SF!F20</f>
        <v>20.660000000000004</v>
      </c>
      <c r="G336" s="27"/>
      <c r="H336" s="34"/>
      <c r="I336" s="195">
        <f>SF!I20</f>
        <v>-10.330000000000002</v>
      </c>
      <c r="J336" s="195">
        <f>SF!J20</f>
        <v>0</v>
      </c>
      <c r="K336" s="433">
        <v>1.35</v>
      </c>
      <c r="L336" s="11"/>
    </row>
    <row r="337" spans="1:12">
      <c r="A337" s="25" t="s">
        <v>97</v>
      </c>
      <c r="B337" s="26" t="s">
        <v>969</v>
      </c>
      <c r="C337" s="26"/>
      <c r="D337" s="26"/>
      <c r="E337" s="27"/>
      <c r="F337" s="195">
        <f>SF!F21</f>
        <v>42</v>
      </c>
      <c r="G337" s="27"/>
      <c r="H337" s="34"/>
      <c r="I337" s="195">
        <f>SF!I21</f>
        <v>-14.858499999999999</v>
      </c>
      <c r="J337" s="195">
        <f>SF!J21</f>
        <v>0</v>
      </c>
      <c r="K337" s="433">
        <v>1.35</v>
      </c>
      <c r="L337" s="11"/>
    </row>
    <row r="338" spans="1:12">
      <c r="A338" s="25" t="s">
        <v>250</v>
      </c>
      <c r="B338" s="26" t="s">
        <v>970</v>
      </c>
      <c r="C338" s="26"/>
      <c r="D338" s="26"/>
      <c r="E338" s="27"/>
      <c r="F338" s="195">
        <f>SF!F23</f>
        <v>230</v>
      </c>
      <c r="G338" s="27"/>
      <c r="H338" s="34"/>
      <c r="I338" s="195">
        <f>SF!I23</f>
        <v>115</v>
      </c>
      <c r="J338" s="195">
        <f>SF!J23</f>
        <v>0</v>
      </c>
      <c r="K338" s="433">
        <v>1.35</v>
      </c>
      <c r="L338" s="11"/>
    </row>
    <row r="339" spans="1:12">
      <c r="A339" s="25" t="s">
        <v>251</v>
      </c>
      <c r="B339" s="26" t="s">
        <v>971</v>
      </c>
      <c r="C339" s="26"/>
      <c r="D339" s="26"/>
      <c r="E339" s="27"/>
      <c r="F339" s="195">
        <f>SF!F24</f>
        <v>20.660000000000004</v>
      </c>
      <c r="G339" s="27"/>
      <c r="H339" s="34"/>
      <c r="I339" s="195">
        <f>SF!I24</f>
        <v>10.330000000000002</v>
      </c>
      <c r="J339" s="195">
        <f>SF!J24</f>
        <v>0</v>
      </c>
      <c r="K339" s="433">
        <v>1.35</v>
      </c>
      <c r="L339" s="266"/>
    </row>
    <row r="340" spans="1:12">
      <c r="A340" s="25" t="s">
        <v>97</v>
      </c>
      <c r="B340" s="26" t="s">
        <v>972</v>
      </c>
      <c r="C340" s="26"/>
      <c r="D340" s="26"/>
      <c r="E340" s="27"/>
      <c r="F340" s="195">
        <f>SF!F25</f>
        <v>42</v>
      </c>
      <c r="G340" s="27"/>
      <c r="H340" s="34"/>
      <c r="I340" s="195">
        <f>SF!I25</f>
        <v>14.858499999999999</v>
      </c>
      <c r="J340" s="195">
        <f>SF!J25</f>
        <v>0</v>
      </c>
      <c r="K340" s="511">
        <v>1.75</v>
      </c>
      <c r="L340" s="11"/>
    </row>
    <row r="341" spans="1:12">
      <c r="A341" s="25" t="s">
        <v>986</v>
      </c>
      <c r="B341" s="163" t="s">
        <v>955</v>
      </c>
      <c r="C341" s="26"/>
      <c r="D341" s="26"/>
      <c r="E341" s="27"/>
      <c r="F341" s="34"/>
      <c r="G341" s="195">
        <f>SF!G40</f>
        <v>5.8532000000000011</v>
      </c>
      <c r="H341" s="34"/>
      <c r="I341" s="195">
        <f>SF!I40</f>
        <v>48.464496000000018</v>
      </c>
      <c r="J341" s="34"/>
      <c r="K341" s="433">
        <v>1.35</v>
      </c>
      <c r="L341" s="266"/>
    </row>
    <row r="342" spans="1:12">
      <c r="A342" s="278" t="s">
        <v>200</v>
      </c>
      <c r="B342" s="262"/>
      <c r="C342" s="262"/>
      <c r="D342" s="262"/>
      <c r="E342" s="263"/>
      <c r="F342" s="279"/>
      <c r="G342" s="280"/>
      <c r="H342" s="264"/>
      <c r="I342" s="279"/>
      <c r="J342" s="264"/>
      <c r="K342" s="1581">
        <v>0.44999999999999996</v>
      </c>
      <c r="L342" s="266"/>
    </row>
    <row r="343" spans="1:12">
      <c r="A343" s="25" t="s">
        <v>991</v>
      </c>
      <c r="B343" s="26" t="s">
        <v>989</v>
      </c>
      <c r="C343" s="26"/>
      <c r="D343" s="26"/>
      <c r="E343" s="27"/>
      <c r="F343" s="197"/>
      <c r="G343" s="172">
        <f>SF!G52</f>
        <v>94.821839999999995</v>
      </c>
      <c r="H343" s="34"/>
      <c r="I343" s="172">
        <f>SF!I52</f>
        <v>785.12483520000001</v>
      </c>
      <c r="J343" s="89"/>
      <c r="K343" s="511">
        <v>0.44999999999999996</v>
      </c>
      <c r="L343" s="266"/>
    </row>
    <row r="344" spans="1:12">
      <c r="A344" s="25" t="s">
        <v>217</v>
      </c>
      <c r="B344" s="26" t="s">
        <v>211</v>
      </c>
      <c r="C344" s="26"/>
      <c r="D344" s="26"/>
      <c r="E344" s="27"/>
      <c r="F344" s="197"/>
      <c r="G344" s="196">
        <f>SF!G58</f>
        <v>26.798532263701709</v>
      </c>
      <c r="H344" s="199"/>
      <c r="I344" s="172">
        <f>SF!I58</f>
        <v>147.28381289471153</v>
      </c>
      <c r="J344" s="195"/>
      <c r="K344" s="433">
        <v>0.44999999999999996</v>
      </c>
      <c r="L344" s="266"/>
    </row>
    <row r="345" spans="1:12">
      <c r="A345" s="278" t="s">
        <v>1817</v>
      </c>
      <c r="B345" s="262"/>
      <c r="C345" s="262"/>
      <c r="D345" s="262"/>
      <c r="E345" s="263"/>
      <c r="F345" s="279"/>
      <c r="G345" s="280"/>
      <c r="H345" s="264"/>
      <c r="I345" s="279"/>
      <c r="J345" s="264"/>
      <c r="K345" s="1582">
        <v>1.5</v>
      </c>
      <c r="L345" s="266"/>
    </row>
    <row r="346" spans="1:12">
      <c r="A346" s="25" t="s">
        <v>997</v>
      </c>
      <c r="B346" s="26" t="s">
        <v>988</v>
      </c>
      <c r="C346" s="26"/>
      <c r="D346" s="26"/>
      <c r="E346" s="27"/>
      <c r="F346" s="197"/>
      <c r="G346" s="211"/>
      <c r="H346" s="172">
        <f>SF!H67</f>
        <v>47.410919999999997</v>
      </c>
      <c r="I346" s="197"/>
      <c r="J346" s="172">
        <f>SF!J67</f>
        <v>433.10062959257624</v>
      </c>
      <c r="K346" s="511">
        <v>1.5</v>
      </c>
      <c r="L346" s="266"/>
    </row>
    <row r="347" spans="1:12">
      <c r="A347" s="25" t="s">
        <v>998</v>
      </c>
      <c r="B347" s="26" t="s">
        <v>989</v>
      </c>
      <c r="C347" s="26"/>
      <c r="D347" s="26"/>
      <c r="E347" s="27"/>
      <c r="F347" s="197"/>
      <c r="G347" s="211"/>
      <c r="H347" s="172">
        <f>SF!H68</f>
        <v>47.410919999999997</v>
      </c>
      <c r="I347" s="197"/>
      <c r="J347" s="172">
        <f>SF!J68</f>
        <v>433.10062959257624</v>
      </c>
      <c r="K347" s="433">
        <v>1.5</v>
      </c>
      <c r="L347" s="266"/>
    </row>
    <row r="348" spans="1:12">
      <c r="A348" s="25" t="s">
        <v>1006</v>
      </c>
      <c r="B348" s="26" t="s">
        <v>211</v>
      </c>
      <c r="C348" s="26"/>
      <c r="D348" s="26"/>
      <c r="E348" s="27"/>
      <c r="F348" s="197"/>
      <c r="G348" s="195"/>
      <c r="H348" s="172">
        <f>SF!H78</f>
        <v>26.798532263701709</v>
      </c>
      <c r="I348" s="195"/>
      <c r="J348" s="172">
        <f>SF!J78</f>
        <v>147.28381289471153</v>
      </c>
      <c r="K348" s="433">
        <v>1.5</v>
      </c>
      <c r="L348" s="266"/>
    </row>
    <row r="349" spans="1:12">
      <c r="A349" s="990" t="s">
        <v>204</v>
      </c>
      <c r="B349" s="661"/>
      <c r="C349" s="661"/>
      <c r="D349" s="661"/>
      <c r="E349" s="584"/>
      <c r="F349" s="991"/>
      <c r="G349" s="992"/>
      <c r="H349" s="370"/>
      <c r="I349" s="991"/>
      <c r="J349" s="370"/>
      <c r="K349" s="1583">
        <v>0.44999999999999996</v>
      </c>
      <c r="L349" s="266"/>
    </row>
    <row r="350" spans="1:12">
      <c r="A350" s="25" t="s">
        <v>1007</v>
      </c>
      <c r="B350" s="26" t="s">
        <v>988</v>
      </c>
      <c r="C350" s="26"/>
      <c r="D350" s="26"/>
      <c r="E350" s="27"/>
      <c r="F350" s="196">
        <f>SF!F87</f>
        <v>31.607279999999999</v>
      </c>
      <c r="G350" s="211"/>
      <c r="H350" s="34"/>
      <c r="I350" s="196">
        <f>SF!I87</f>
        <v>-15.140358000000003</v>
      </c>
      <c r="J350" s="196">
        <f>SF!J87</f>
        <v>0</v>
      </c>
      <c r="K350" s="433">
        <v>-0.44999999999999996</v>
      </c>
      <c r="L350" s="266"/>
    </row>
    <row r="351" spans="1:12">
      <c r="A351" s="25" t="s">
        <v>1008</v>
      </c>
      <c r="B351" s="26" t="s">
        <v>989</v>
      </c>
      <c r="C351" s="26"/>
      <c r="D351" s="26"/>
      <c r="E351" s="27"/>
      <c r="F351" s="196">
        <f>SF!F88</f>
        <v>31.607279999999999</v>
      </c>
      <c r="G351" s="211"/>
      <c r="H351" s="34"/>
      <c r="I351" s="196">
        <f>SF!I88</f>
        <v>15.140358000000003</v>
      </c>
      <c r="J351" s="196">
        <f>SF!J88</f>
        <v>0</v>
      </c>
      <c r="K351" s="511">
        <v>-0.44999999999999996</v>
      </c>
      <c r="L351" s="266"/>
    </row>
    <row r="352" spans="1:12">
      <c r="A352" s="25" t="s">
        <v>1011</v>
      </c>
      <c r="B352" s="26" t="s">
        <v>211</v>
      </c>
      <c r="C352" s="26"/>
      <c r="D352" s="26"/>
      <c r="E352" s="27"/>
      <c r="F352" s="196">
        <f>SF!F98</f>
        <v>17.865688175801139</v>
      </c>
      <c r="G352" s="211"/>
      <c r="H352" s="197"/>
      <c r="I352" s="196">
        <f>SF!I98</f>
        <v>0</v>
      </c>
      <c r="J352" s="196">
        <f>SF!J98</f>
        <v>0</v>
      </c>
      <c r="K352" s="511">
        <v>-0.44999999999999996</v>
      </c>
      <c r="L352" s="266"/>
    </row>
    <row r="353" spans="1:12">
      <c r="A353" s="253"/>
      <c r="B353" s="15"/>
      <c r="C353" s="15"/>
      <c r="D353" s="15"/>
      <c r="E353" s="22"/>
      <c r="F353" s="212"/>
      <c r="G353" s="213"/>
      <c r="H353" s="198"/>
      <c r="I353" s="198"/>
      <c r="J353" s="58"/>
      <c r="K353" s="208"/>
      <c r="L353" s="293"/>
    </row>
    <row r="354" spans="1:12">
      <c r="A354" s="46"/>
      <c r="B354" s="46"/>
      <c r="C354" s="46"/>
      <c r="D354" s="46"/>
      <c r="E354" s="46"/>
      <c r="F354" s="46"/>
      <c r="G354" s="46"/>
      <c r="H354" s="46"/>
      <c r="I354" s="46"/>
      <c r="J354" s="46"/>
      <c r="K354" s="87"/>
      <c r="L354" s="293"/>
    </row>
    <row r="355" spans="1:12">
      <c r="A355" s="220" t="s">
        <v>73</v>
      </c>
      <c r="B355" s="220" t="s">
        <v>74</v>
      </c>
      <c r="C355" s="200"/>
      <c r="D355" s="200"/>
      <c r="E355" s="217"/>
      <c r="F355" s="1636" t="s">
        <v>72</v>
      </c>
      <c r="G355" s="1637"/>
      <c r="H355" s="1637"/>
      <c r="I355" s="1637"/>
      <c r="J355" s="1638"/>
      <c r="K355" s="87"/>
      <c r="L355" s="293"/>
    </row>
    <row r="356" spans="1:12" ht="18">
      <c r="A356" s="221"/>
      <c r="B356" s="221"/>
      <c r="C356" s="201"/>
      <c r="D356" s="201"/>
      <c r="E356" s="219"/>
      <c r="F356" s="223" t="s">
        <v>23</v>
      </c>
      <c r="G356" s="223" t="s">
        <v>87</v>
      </c>
      <c r="H356" s="223" t="s">
        <v>212</v>
      </c>
      <c r="I356" s="223" t="s">
        <v>80</v>
      </c>
      <c r="J356" s="223" t="s">
        <v>81</v>
      </c>
      <c r="K356" s="87"/>
      <c r="L356" s="293"/>
    </row>
    <row r="357" spans="1:12">
      <c r="A357" s="222"/>
      <c r="B357" s="222"/>
      <c r="C357" s="203"/>
      <c r="D357" s="203"/>
      <c r="E357" s="218"/>
      <c r="F357" s="204" t="s">
        <v>34</v>
      </c>
      <c r="G357" s="204" t="s">
        <v>34</v>
      </c>
      <c r="H357" s="203" t="s">
        <v>34</v>
      </c>
      <c r="I357" s="204" t="s">
        <v>77</v>
      </c>
      <c r="J357" s="204" t="s">
        <v>77</v>
      </c>
      <c r="K357" s="87"/>
      <c r="L357" s="293"/>
    </row>
    <row r="358" spans="1:12">
      <c r="A358" s="202"/>
      <c r="B358" s="200"/>
      <c r="C358" s="200"/>
      <c r="D358" s="200"/>
      <c r="E358" s="217"/>
      <c r="F358" s="205"/>
      <c r="G358" s="205"/>
      <c r="H358" s="201"/>
      <c r="I358" s="205"/>
      <c r="J358" s="205"/>
      <c r="K358" s="87"/>
      <c r="L358" s="293"/>
    </row>
    <row r="359" spans="1:12">
      <c r="A359" s="205" t="str">
        <f>A330</f>
        <v>LC-14</v>
      </c>
      <c r="B359" s="201" t="str">
        <f>B330</f>
        <v>LC-2 + Seismic Sx=0.3,Sz=1,Sy=-0.3</v>
      </c>
      <c r="C359" s="201"/>
      <c r="D359" s="201"/>
      <c r="E359" s="219"/>
      <c r="F359" s="205">
        <f>SUMPRODUCT(F333:F352,$K$333:$K$352)</f>
        <v>1312.8274264887593</v>
      </c>
      <c r="G359" s="219">
        <f>SUMPRODUCT(G333:G352,$K$333:$K$352)</f>
        <v>62.630987518665762</v>
      </c>
      <c r="H359" s="219">
        <f>SUMPRODUCT(H333:H352,$K$333:$K$352)</f>
        <v>182.43055839555257</v>
      </c>
      <c r="I359" s="219">
        <f>SUMPRODUCT(I333:I352,$K$333:$K$352)</f>
        <v>490.95436124262017</v>
      </c>
      <c r="J359" s="219">
        <f>SUMPRODUCT(J333:J352,$K$333:$K$352)</f>
        <v>1520.2276081197961</v>
      </c>
      <c r="K359" s="87"/>
      <c r="L359" s="293"/>
    </row>
    <row r="360" spans="1:12">
      <c r="A360" s="204"/>
      <c r="B360" s="203"/>
      <c r="C360" s="203"/>
      <c r="D360" s="203"/>
      <c r="E360" s="218"/>
      <c r="F360" s="204"/>
      <c r="G360" s="204"/>
      <c r="H360" s="203"/>
      <c r="I360" s="204"/>
      <c r="J360" s="204"/>
      <c r="K360" s="87"/>
      <c r="L360" s="293"/>
    </row>
    <row r="363" spans="1:12">
      <c r="A363" s="811" t="str">
        <f>K363</f>
        <v>LC-15</v>
      </c>
      <c r="B363" s="31" t="str">
        <f>VLOOKUP(A363,LC_DEF_2!A45:B92,2,FALSE)</f>
        <v>LC-2 + Seismic Sx=1,Sz=0.3,Sy=0.3</v>
      </c>
      <c r="C363" s="31"/>
      <c r="D363" s="31"/>
      <c r="E363" s="32"/>
      <c r="F363" s="1599" t="s">
        <v>742</v>
      </c>
      <c r="G363" s="1635"/>
      <c r="H363" s="1635"/>
      <c r="I363" s="1635"/>
      <c r="J363" s="1600"/>
      <c r="K363" s="1580" t="s">
        <v>241</v>
      </c>
      <c r="L363" s="293"/>
    </row>
    <row r="364" spans="1:12" ht="18">
      <c r="A364" s="25" t="s">
        <v>73</v>
      </c>
      <c r="B364" s="26" t="s">
        <v>74</v>
      </c>
      <c r="C364" s="26"/>
      <c r="D364" s="26"/>
      <c r="E364" s="27"/>
      <c r="F364" s="58" t="s">
        <v>23</v>
      </c>
      <c r="G364" s="58" t="s">
        <v>87</v>
      </c>
      <c r="H364" s="58" t="s">
        <v>212</v>
      </c>
      <c r="I364" s="58" t="s">
        <v>80</v>
      </c>
      <c r="J364" s="58" t="s">
        <v>81</v>
      </c>
      <c r="K364" s="433"/>
      <c r="L364" s="293"/>
    </row>
    <row r="365" spans="1:12">
      <c r="A365" s="25"/>
      <c r="B365" s="26"/>
      <c r="C365" s="26"/>
      <c r="D365" s="26"/>
      <c r="E365" s="27"/>
      <c r="F365" s="36" t="s">
        <v>34</v>
      </c>
      <c r="G365" s="36" t="s">
        <v>34</v>
      </c>
      <c r="H365" s="36" t="s">
        <v>34</v>
      </c>
      <c r="I365" s="36" t="s">
        <v>77</v>
      </c>
      <c r="J365" s="36" t="s">
        <v>77</v>
      </c>
      <c r="K365" s="433"/>
      <c r="L365" s="293"/>
    </row>
    <row r="366" spans="1:12">
      <c r="A366" s="25" t="s">
        <v>88</v>
      </c>
      <c r="B366" s="26" t="s">
        <v>75</v>
      </c>
      <c r="C366" s="26"/>
      <c r="D366" s="26"/>
      <c r="E366" s="27"/>
      <c r="F366" s="195">
        <f>SF!F14</f>
        <v>365.08803866482532</v>
      </c>
      <c r="G366" s="210"/>
      <c r="H366" s="34"/>
      <c r="I366" s="195">
        <f>SF!I14</f>
        <v>0</v>
      </c>
      <c r="J366" s="195">
        <f>SF!J14</f>
        <v>0</v>
      </c>
      <c r="K366" s="511">
        <v>1.35</v>
      </c>
      <c r="L366" s="266"/>
    </row>
    <row r="367" spans="1:12">
      <c r="A367" s="25" t="s">
        <v>90</v>
      </c>
      <c r="B367" s="26" t="s">
        <v>249</v>
      </c>
      <c r="C367" s="26"/>
      <c r="D367" s="26"/>
      <c r="E367" s="27"/>
      <c r="F367" s="195">
        <f>SF!F16</f>
        <v>36.639026644707663</v>
      </c>
      <c r="G367" s="210"/>
      <c r="H367" s="34"/>
      <c r="I367" s="195">
        <f>SF!I16</f>
        <v>0</v>
      </c>
      <c r="J367" s="195">
        <f>SF!J16</f>
        <v>0</v>
      </c>
      <c r="K367" s="511">
        <v>1.35</v>
      </c>
      <c r="L367" s="266"/>
    </row>
    <row r="368" spans="1:12">
      <c r="A368" s="25" t="s">
        <v>250</v>
      </c>
      <c r="B368" s="26" t="s">
        <v>967</v>
      </c>
      <c r="C368" s="26"/>
      <c r="D368" s="26"/>
      <c r="E368" s="27"/>
      <c r="F368" s="195">
        <f>SF!F19</f>
        <v>230</v>
      </c>
      <c r="G368" s="27"/>
      <c r="H368" s="34"/>
      <c r="I368" s="195">
        <f>SF!I19</f>
        <v>-115</v>
      </c>
      <c r="J368" s="195">
        <f>SF!J19</f>
        <v>0</v>
      </c>
      <c r="K368" s="433">
        <v>1.35</v>
      </c>
      <c r="L368" s="11"/>
    </row>
    <row r="369" spans="1:12">
      <c r="A369" s="25" t="s">
        <v>251</v>
      </c>
      <c r="B369" s="26" t="s">
        <v>968</v>
      </c>
      <c r="C369" s="26"/>
      <c r="D369" s="26"/>
      <c r="E369" s="27"/>
      <c r="F369" s="195">
        <f>SF!F20</f>
        <v>20.660000000000004</v>
      </c>
      <c r="G369" s="27"/>
      <c r="H369" s="34"/>
      <c r="I369" s="195">
        <f>SF!I20</f>
        <v>-10.330000000000002</v>
      </c>
      <c r="J369" s="195">
        <f>SF!J20</f>
        <v>0</v>
      </c>
      <c r="K369" s="433">
        <v>1.35</v>
      </c>
      <c r="L369" s="11"/>
    </row>
    <row r="370" spans="1:12">
      <c r="A370" s="25" t="s">
        <v>97</v>
      </c>
      <c r="B370" s="26" t="s">
        <v>969</v>
      </c>
      <c r="C370" s="26"/>
      <c r="D370" s="26"/>
      <c r="E370" s="27"/>
      <c r="F370" s="195">
        <f>SF!F21</f>
        <v>42</v>
      </c>
      <c r="G370" s="27"/>
      <c r="H370" s="34"/>
      <c r="I370" s="195">
        <f>SF!I21</f>
        <v>-14.858499999999999</v>
      </c>
      <c r="J370" s="195">
        <f>SF!J21</f>
        <v>0</v>
      </c>
      <c r="K370" s="433">
        <v>1.35</v>
      </c>
      <c r="L370" s="11"/>
    </row>
    <row r="371" spans="1:12">
      <c r="A371" s="25" t="s">
        <v>250</v>
      </c>
      <c r="B371" s="26" t="s">
        <v>970</v>
      </c>
      <c r="C371" s="26"/>
      <c r="D371" s="26"/>
      <c r="E371" s="27"/>
      <c r="F371" s="195">
        <f>SF!F23</f>
        <v>230</v>
      </c>
      <c r="G371" s="27"/>
      <c r="H371" s="34"/>
      <c r="I371" s="195">
        <f>SF!I23</f>
        <v>115</v>
      </c>
      <c r="J371" s="195">
        <f>SF!J23</f>
        <v>0</v>
      </c>
      <c r="K371" s="433">
        <v>1.35</v>
      </c>
      <c r="L371" s="11"/>
    </row>
    <row r="372" spans="1:12">
      <c r="A372" s="25" t="s">
        <v>251</v>
      </c>
      <c r="B372" s="26" t="s">
        <v>971</v>
      </c>
      <c r="C372" s="26"/>
      <c r="D372" s="26"/>
      <c r="E372" s="27"/>
      <c r="F372" s="195">
        <f>SF!F24</f>
        <v>20.660000000000004</v>
      </c>
      <c r="G372" s="27"/>
      <c r="H372" s="34"/>
      <c r="I372" s="195">
        <f>SF!I24</f>
        <v>10.330000000000002</v>
      </c>
      <c r="J372" s="195">
        <f>SF!J24</f>
        <v>0</v>
      </c>
      <c r="K372" s="433">
        <v>1.35</v>
      </c>
      <c r="L372" s="266"/>
    </row>
    <row r="373" spans="1:12">
      <c r="A373" s="25" t="s">
        <v>97</v>
      </c>
      <c r="B373" s="26" t="s">
        <v>972</v>
      </c>
      <c r="C373" s="26"/>
      <c r="D373" s="26"/>
      <c r="E373" s="27"/>
      <c r="F373" s="195">
        <f>SF!F25</f>
        <v>42</v>
      </c>
      <c r="G373" s="27"/>
      <c r="H373" s="34"/>
      <c r="I373" s="195">
        <f>SF!I25</f>
        <v>14.858499999999999</v>
      </c>
      <c r="J373" s="195">
        <f>SF!J25</f>
        <v>0</v>
      </c>
      <c r="K373" s="511">
        <v>1.75</v>
      </c>
      <c r="L373" s="11"/>
    </row>
    <row r="374" spans="1:12">
      <c r="A374" s="25" t="s">
        <v>986</v>
      </c>
      <c r="B374" s="163" t="s">
        <v>955</v>
      </c>
      <c r="C374" s="26"/>
      <c r="D374" s="26"/>
      <c r="E374" s="27"/>
      <c r="F374" s="34"/>
      <c r="G374" s="195">
        <f>SF!G40</f>
        <v>5.8532000000000011</v>
      </c>
      <c r="H374" s="34"/>
      <c r="I374" s="195">
        <f>SF!I40</f>
        <v>48.464496000000018</v>
      </c>
      <c r="J374" s="34"/>
      <c r="K374" s="433">
        <v>1.35</v>
      </c>
      <c r="L374" s="266"/>
    </row>
    <row r="375" spans="1:12">
      <c r="A375" s="278" t="s">
        <v>200</v>
      </c>
      <c r="B375" s="262"/>
      <c r="C375" s="262"/>
      <c r="D375" s="262"/>
      <c r="E375" s="263"/>
      <c r="F375" s="279"/>
      <c r="G375" s="280"/>
      <c r="H375" s="264"/>
      <c r="I375" s="279"/>
      <c r="J375" s="264"/>
      <c r="K375" s="1581">
        <v>1.5</v>
      </c>
      <c r="L375" s="266"/>
    </row>
    <row r="376" spans="1:12">
      <c r="A376" s="25" t="s">
        <v>991</v>
      </c>
      <c r="B376" s="26" t="s">
        <v>989</v>
      </c>
      <c r="C376" s="26"/>
      <c r="D376" s="26"/>
      <c r="E376" s="27"/>
      <c r="F376" s="197"/>
      <c r="G376" s="172">
        <f>SF!G52</f>
        <v>94.821839999999995</v>
      </c>
      <c r="H376" s="34"/>
      <c r="I376" s="172">
        <f>SF!I52</f>
        <v>785.12483520000001</v>
      </c>
      <c r="J376" s="89"/>
      <c r="K376" s="511">
        <v>1.5</v>
      </c>
      <c r="L376" s="266"/>
    </row>
    <row r="377" spans="1:12">
      <c r="A377" s="25" t="s">
        <v>217</v>
      </c>
      <c r="B377" s="26" t="s">
        <v>211</v>
      </c>
      <c r="C377" s="26"/>
      <c r="D377" s="26"/>
      <c r="E377" s="27"/>
      <c r="F377" s="197"/>
      <c r="G377" s="196">
        <f>SF!G58</f>
        <v>26.798532263701709</v>
      </c>
      <c r="H377" s="199"/>
      <c r="I377" s="172">
        <f>SF!I58</f>
        <v>147.28381289471153</v>
      </c>
      <c r="J377" s="195"/>
      <c r="K377" s="433">
        <v>1.5</v>
      </c>
      <c r="L377" s="266"/>
    </row>
    <row r="378" spans="1:12">
      <c r="A378" s="278" t="s">
        <v>1817</v>
      </c>
      <c r="B378" s="262"/>
      <c r="C378" s="262"/>
      <c r="D378" s="262"/>
      <c r="E378" s="263"/>
      <c r="F378" s="279"/>
      <c r="G378" s="280"/>
      <c r="H378" s="264"/>
      <c r="I378" s="279"/>
      <c r="J378" s="264"/>
      <c r="K378" s="1582">
        <v>0.44999999999999996</v>
      </c>
      <c r="L378" s="266"/>
    </row>
    <row r="379" spans="1:12">
      <c r="A379" s="25" t="s">
        <v>997</v>
      </c>
      <c r="B379" s="26" t="s">
        <v>988</v>
      </c>
      <c r="C379" s="26"/>
      <c r="D379" s="26"/>
      <c r="E379" s="27"/>
      <c r="F379" s="197"/>
      <c r="G379" s="211"/>
      <c r="H379" s="172">
        <f>SF!H67</f>
        <v>47.410919999999997</v>
      </c>
      <c r="I379" s="197"/>
      <c r="J379" s="172">
        <f>SF!J67</f>
        <v>433.10062959257624</v>
      </c>
      <c r="K379" s="511">
        <v>0.44999999999999996</v>
      </c>
      <c r="L379" s="266"/>
    </row>
    <row r="380" spans="1:12">
      <c r="A380" s="25" t="s">
        <v>998</v>
      </c>
      <c r="B380" s="26" t="s">
        <v>989</v>
      </c>
      <c r="C380" s="26"/>
      <c r="D380" s="26"/>
      <c r="E380" s="27"/>
      <c r="F380" s="197"/>
      <c r="G380" s="211"/>
      <c r="H380" s="172">
        <f>SF!H68</f>
        <v>47.410919999999997</v>
      </c>
      <c r="I380" s="197"/>
      <c r="J380" s="172">
        <f>SF!J68</f>
        <v>433.10062959257624</v>
      </c>
      <c r="K380" s="433">
        <v>0.44999999999999996</v>
      </c>
      <c r="L380" s="266"/>
    </row>
    <row r="381" spans="1:12">
      <c r="A381" s="25" t="s">
        <v>1006</v>
      </c>
      <c r="B381" s="26" t="s">
        <v>211</v>
      </c>
      <c r="C381" s="26"/>
      <c r="D381" s="26"/>
      <c r="E381" s="27"/>
      <c r="F381" s="197"/>
      <c r="G381" s="195"/>
      <c r="H381" s="172">
        <f>SF!H78</f>
        <v>26.798532263701709</v>
      </c>
      <c r="I381" s="195"/>
      <c r="J381" s="172">
        <f>SF!J78</f>
        <v>147.28381289471153</v>
      </c>
      <c r="K381" s="433">
        <v>0.44999999999999996</v>
      </c>
      <c r="L381" s="266"/>
    </row>
    <row r="382" spans="1:12">
      <c r="A382" s="990" t="s">
        <v>204</v>
      </c>
      <c r="B382" s="661"/>
      <c r="C382" s="661"/>
      <c r="D382" s="661"/>
      <c r="E382" s="584"/>
      <c r="F382" s="991"/>
      <c r="G382" s="992"/>
      <c r="H382" s="370"/>
      <c r="I382" s="991"/>
      <c r="J382" s="370"/>
      <c r="K382" s="1583">
        <v>0.44999999999999996</v>
      </c>
      <c r="L382" s="266"/>
    </row>
    <row r="383" spans="1:12">
      <c r="A383" s="25" t="s">
        <v>1007</v>
      </c>
      <c r="B383" s="26" t="s">
        <v>988</v>
      </c>
      <c r="C383" s="26"/>
      <c r="D383" s="26"/>
      <c r="E383" s="27"/>
      <c r="F383" s="196">
        <f>SF!F87</f>
        <v>31.607279999999999</v>
      </c>
      <c r="G383" s="211"/>
      <c r="H383" s="34"/>
      <c r="I383" s="196">
        <f>SF!I87</f>
        <v>-15.140358000000003</v>
      </c>
      <c r="J383" s="196">
        <f>SF!J87</f>
        <v>0</v>
      </c>
      <c r="K383" s="433">
        <v>0.44999999999999996</v>
      </c>
      <c r="L383" s="266"/>
    </row>
    <row r="384" spans="1:12">
      <c r="A384" s="25" t="s">
        <v>1008</v>
      </c>
      <c r="B384" s="26" t="s">
        <v>989</v>
      </c>
      <c r="C384" s="26"/>
      <c r="D384" s="26"/>
      <c r="E384" s="27"/>
      <c r="F384" s="196">
        <f>SF!F88</f>
        <v>31.607279999999999</v>
      </c>
      <c r="G384" s="211"/>
      <c r="H384" s="34"/>
      <c r="I384" s="196">
        <f>SF!I88</f>
        <v>15.140358000000003</v>
      </c>
      <c r="J384" s="196">
        <f>SF!J88</f>
        <v>0</v>
      </c>
      <c r="K384" s="511">
        <v>0.44999999999999996</v>
      </c>
      <c r="L384" s="266"/>
    </row>
    <row r="385" spans="1:12">
      <c r="A385" s="25" t="s">
        <v>1011</v>
      </c>
      <c r="B385" s="26" t="s">
        <v>211</v>
      </c>
      <c r="C385" s="26"/>
      <c r="D385" s="26"/>
      <c r="E385" s="27"/>
      <c r="F385" s="196">
        <f>SF!F98</f>
        <v>17.865688175801139</v>
      </c>
      <c r="G385" s="211"/>
      <c r="H385" s="197"/>
      <c r="I385" s="196">
        <f>SF!I98</f>
        <v>0</v>
      </c>
      <c r="J385" s="196">
        <f>SF!J98</f>
        <v>0</v>
      </c>
      <c r="K385" s="511">
        <v>0.44999999999999996</v>
      </c>
      <c r="L385" s="266"/>
    </row>
    <row r="386" spans="1:12">
      <c r="A386" s="253"/>
      <c r="B386" s="15"/>
      <c r="C386" s="15"/>
      <c r="D386" s="15"/>
      <c r="E386" s="22"/>
      <c r="F386" s="212"/>
      <c r="G386" s="213"/>
      <c r="H386" s="198"/>
      <c r="I386" s="198"/>
      <c r="J386" s="58"/>
      <c r="K386" s="208"/>
      <c r="L386" s="293"/>
    </row>
    <row r="387" spans="1:12">
      <c r="A387" s="46"/>
      <c r="B387" s="46"/>
      <c r="C387" s="46"/>
      <c r="D387" s="46"/>
      <c r="E387" s="46"/>
      <c r="F387" s="46"/>
      <c r="G387" s="46"/>
      <c r="H387" s="46"/>
      <c r="I387" s="46"/>
      <c r="J387" s="46"/>
      <c r="K387" s="87"/>
      <c r="L387" s="293"/>
    </row>
    <row r="388" spans="1:12">
      <c r="A388" s="220" t="s">
        <v>73</v>
      </c>
      <c r="B388" s="220" t="s">
        <v>74</v>
      </c>
      <c r="C388" s="200"/>
      <c r="D388" s="200"/>
      <c r="E388" s="217"/>
      <c r="F388" s="1636" t="s">
        <v>72</v>
      </c>
      <c r="G388" s="1637"/>
      <c r="H388" s="1637"/>
      <c r="I388" s="1637"/>
      <c r="J388" s="1638"/>
      <c r="K388" s="87"/>
      <c r="L388" s="293"/>
    </row>
    <row r="389" spans="1:12" ht="18">
      <c r="A389" s="221"/>
      <c r="B389" s="221"/>
      <c r="C389" s="201"/>
      <c r="D389" s="201"/>
      <c r="E389" s="219"/>
      <c r="F389" s="223" t="s">
        <v>23</v>
      </c>
      <c r="G389" s="223" t="s">
        <v>87</v>
      </c>
      <c r="H389" s="223" t="s">
        <v>212</v>
      </c>
      <c r="I389" s="223" t="s">
        <v>80</v>
      </c>
      <c r="J389" s="223" t="s">
        <v>81</v>
      </c>
      <c r="K389" s="87"/>
      <c r="L389" s="293"/>
    </row>
    <row r="390" spans="1:12">
      <c r="A390" s="222"/>
      <c r="B390" s="222"/>
      <c r="C390" s="203"/>
      <c r="D390" s="203"/>
      <c r="E390" s="218"/>
      <c r="F390" s="204" t="s">
        <v>34</v>
      </c>
      <c r="G390" s="204" t="s">
        <v>34</v>
      </c>
      <c r="H390" s="203" t="s">
        <v>34</v>
      </c>
      <c r="I390" s="204" t="s">
        <v>77</v>
      </c>
      <c r="J390" s="204" t="s">
        <v>77</v>
      </c>
      <c r="K390" s="87"/>
      <c r="L390" s="293"/>
    </row>
    <row r="391" spans="1:12">
      <c r="A391" s="202"/>
      <c r="B391" s="200"/>
      <c r="C391" s="200"/>
      <c r="D391" s="200"/>
      <c r="E391" s="217"/>
      <c r="F391" s="205"/>
      <c r="G391" s="205"/>
      <c r="H391" s="201"/>
      <c r="I391" s="205"/>
      <c r="J391" s="205"/>
      <c r="K391" s="87"/>
      <c r="L391" s="293"/>
    </row>
    <row r="392" spans="1:12">
      <c r="A392" s="205" t="str">
        <f>A363</f>
        <v>LC-15</v>
      </c>
      <c r="B392" s="201" t="str">
        <f>B363</f>
        <v>LC-2 + Seismic Sx=1,Sz=0.3,Sy=0.3</v>
      </c>
      <c r="C392" s="201"/>
      <c r="D392" s="201"/>
      <c r="E392" s="219"/>
      <c r="F392" s="205">
        <f>SUMPRODUCT(F366:F385,$K$366:$K$385)</f>
        <v>1385.7996498469799</v>
      </c>
      <c r="G392" s="219">
        <f>SUMPRODUCT(G366:G385,$K$366:$K$385)</f>
        <v>190.33237839555255</v>
      </c>
      <c r="H392" s="219">
        <f>SUMPRODUCT(H366:H385,$K$366:$K$385)</f>
        <v>54.729167518665761</v>
      </c>
      <c r="I392" s="219">
        <f>SUMPRODUCT(I366:I385,$K$366:$K$385)</f>
        <v>1469.983441742067</v>
      </c>
      <c r="J392" s="219">
        <f>SUMPRODUCT(J366:J385,$K$366:$K$385)</f>
        <v>456.06828243593873</v>
      </c>
      <c r="K392" s="87"/>
      <c r="L392" s="293"/>
    </row>
    <row r="393" spans="1:12">
      <c r="A393" s="204"/>
      <c r="B393" s="203"/>
      <c r="C393" s="203"/>
      <c r="D393" s="203"/>
      <c r="E393" s="218"/>
      <c r="F393" s="204"/>
      <c r="G393" s="204"/>
      <c r="H393" s="203"/>
      <c r="I393" s="204"/>
      <c r="J393" s="204"/>
      <c r="K393" s="87"/>
      <c r="L393" s="293"/>
    </row>
    <row r="396" spans="1:12">
      <c r="A396" s="811" t="str">
        <f>K396</f>
        <v>LC-16</v>
      </c>
      <c r="B396" s="31" t="str">
        <f>VLOOKUP(A396,LC_DEF_2!A45:B92,2,FALSE)</f>
        <v>LC-2 + Seismic Sx=0.3,Sz=1,Sy=0.3</v>
      </c>
      <c r="C396" s="31"/>
      <c r="D396" s="31"/>
      <c r="E396" s="32"/>
      <c r="F396" s="1599" t="s">
        <v>742</v>
      </c>
      <c r="G396" s="1635"/>
      <c r="H396" s="1635"/>
      <c r="I396" s="1635"/>
      <c r="J396" s="1600"/>
      <c r="K396" s="1580" t="s">
        <v>242</v>
      </c>
      <c r="L396" s="293"/>
    </row>
    <row r="397" spans="1:12" ht="18">
      <c r="A397" s="25" t="s">
        <v>73</v>
      </c>
      <c r="B397" s="26" t="s">
        <v>74</v>
      </c>
      <c r="C397" s="26"/>
      <c r="D397" s="26"/>
      <c r="E397" s="27"/>
      <c r="F397" s="58" t="s">
        <v>23</v>
      </c>
      <c r="G397" s="58" t="s">
        <v>87</v>
      </c>
      <c r="H397" s="58" t="s">
        <v>212</v>
      </c>
      <c r="I397" s="58" t="s">
        <v>80</v>
      </c>
      <c r="J397" s="58" t="s">
        <v>81</v>
      </c>
      <c r="K397" s="433"/>
      <c r="L397" s="293"/>
    </row>
    <row r="398" spans="1:12">
      <c r="A398" s="25"/>
      <c r="B398" s="26"/>
      <c r="C398" s="26"/>
      <c r="D398" s="26"/>
      <c r="E398" s="27"/>
      <c r="F398" s="36" t="s">
        <v>34</v>
      </c>
      <c r="G398" s="36" t="s">
        <v>34</v>
      </c>
      <c r="H398" s="36" t="s">
        <v>34</v>
      </c>
      <c r="I398" s="36" t="s">
        <v>77</v>
      </c>
      <c r="J398" s="36" t="s">
        <v>77</v>
      </c>
      <c r="K398" s="433"/>
      <c r="L398" s="293"/>
    </row>
    <row r="399" spans="1:12">
      <c r="A399" s="25" t="s">
        <v>88</v>
      </c>
      <c r="B399" s="26" t="s">
        <v>75</v>
      </c>
      <c r="C399" s="26"/>
      <c r="D399" s="26"/>
      <c r="E399" s="27"/>
      <c r="F399" s="195">
        <f>SF!F14</f>
        <v>365.08803866482532</v>
      </c>
      <c r="G399" s="210"/>
      <c r="H399" s="34"/>
      <c r="I399" s="195">
        <f>SF!I14</f>
        <v>0</v>
      </c>
      <c r="J399" s="195">
        <f>SF!J14</f>
        <v>0</v>
      </c>
      <c r="K399" s="511">
        <v>1.35</v>
      </c>
      <c r="L399" s="266"/>
    </row>
    <row r="400" spans="1:12">
      <c r="A400" s="25" t="s">
        <v>90</v>
      </c>
      <c r="B400" s="26" t="s">
        <v>249</v>
      </c>
      <c r="C400" s="26"/>
      <c r="D400" s="26"/>
      <c r="E400" s="27"/>
      <c r="F400" s="195">
        <f>SF!F16</f>
        <v>36.639026644707663</v>
      </c>
      <c r="G400" s="210"/>
      <c r="H400" s="34"/>
      <c r="I400" s="195">
        <f>SF!I16</f>
        <v>0</v>
      </c>
      <c r="J400" s="195">
        <f>SF!J16</f>
        <v>0</v>
      </c>
      <c r="K400" s="511">
        <v>1.35</v>
      </c>
      <c r="L400" s="266"/>
    </row>
    <row r="401" spans="1:12">
      <c r="A401" s="25" t="s">
        <v>250</v>
      </c>
      <c r="B401" s="26" t="s">
        <v>967</v>
      </c>
      <c r="C401" s="26"/>
      <c r="D401" s="26"/>
      <c r="E401" s="27"/>
      <c r="F401" s="195">
        <f>SF!F19</f>
        <v>230</v>
      </c>
      <c r="G401" s="27"/>
      <c r="H401" s="34"/>
      <c r="I401" s="195">
        <f>SF!I19</f>
        <v>-115</v>
      </c>
      <c r="J401" s="195">
        <f>SF!J19</f>
        <v>0</v>
      </c>
      <c r="K401" s="433">
        <v>1.35</v>
      </c>
      <c r="L401" s="11"/>
    </row>
    <row r="402" spans="1:12">
      <c r="A402" s="25" t="s">
        <v>251</v>
      </c>
      <c r="B402" s="26" t="s">
        <v>968</v>
      </c>
      <c r="C402" s="26"/>
      <c r="D402" s="26"/>
      <c r="E402" s="27"/>
      <c r="F402" s="195">
        <f>SF!F20</f>
        <v>20.660000000000004</v>
      </c>
      <c r="G402" s="27"/>
      <c r="H402" s="34"/>
      <c r="I402" s="195">
        <f>SF!I20</f>
        <v>-10.330000000000002</v>
      </c>
      <c r="J402" s="195">
        <f>SF!J20</f>
        <v>0</v>
      </c>
      <c r="K402" s="433">
        <v>1.35</v>
      </c>
      <c r="L402" s="11"/>
    </row>
    <row r="403" spans="1:12">
      <c r="A403" s="25" t="s">
        <v>97</v>
      </c>
      <c r="B403" s="26" t="s">
        <v>969</v>
      </c>
      <c r="C403" s="26"/>
      <c r="D403" s="26"/>
      <c r="E403" s="27"/>
      <c r="F403" s="195">
        <f>SF!F21</f>
        <v>42</v>
      </c>
      <c r="G403" s="27"/>
      <c r="H403" s="34"/>
      <c r="I403" s="195">
        <f>SF!I21</f>
        <v>-14.858499999999999</v>
      </c>
      <c r="J403" s="195">
        <f>SF!J21</f>
        <v>0</v>
      </c>
      <c r="K403" s="433">
        <v>1.35</v>
      </c>
      <c r="L403" s="11"/>
    </row>
    <row r="404" spans="1:12">
      <c r="A404" s="25" t="s">
        <v>250</v>
      </c>
      <c r="B404" s="26" t="s">
        <v>970</v>
      </c>
      <c r="C404" s="26"/>
      <c r="D404" s="26"/>
      <c r="E404" s="27"/>
      <c r="F404" s="195">
        <f>SF!F23</f>
        <v>230</v>
      </c>
      <c r="G404" s="27"/>
      <c r="H404" s="34"/>
      <c r="I404" s="195">
        <f>SF!I23</f>
        <v>115</v>
      </c>
      <c r="J404" s="195">
        <f>SF!J23</f>
        <v>0</v>
      </c>
      <c r="K404" s="433">
        <v>1.35</v>
      </c>
      <c r="L404" s="11"/>
    </row>
    <row r="405" spans="1:12">
      <c r="A405" s="25" t="s">
        <v>251</v>
      </c>
      <c r="B405" s="26" t="s">
        <v>971</v>
      </c>
      <c r="C405" s="26"/>
      <c r="D405" s="26"/>
      <c r="E405" s="27"/>
      <c r="F405" s="195">
        <f>SF!F24</f>
        <v>20.660000000000004</v>
      </c>
      <c r="G405" s="27"/>
      <c r="H405" s="34"/>
      <c r="I405" s="195">
        <f>SF!I24</f>
        <v>10.330000000000002</v>
      </c>
      <c r="J405" s="195">
        <f>SF!J24</f>
        <v>0</v>
      </c>
      <c r="K405" s="433">
        <v>1.35</v>
      </c>
      <c r="L405" s="266"/>
    </row>
    <row r="406" spans="1:12">
      <c r="A406" s="25" t="s">
        <v>97</v>
      </c>
      <c r="B406" s="26" t="s">
        <v>972</v>
      </c>
      <c r="C406" s="26"/>
      <c r="D406" s="26"/>
      <c r="E406" s="27"/>
      <c r="F406" s="195">
        <f>SF!F25</f>
        <v>42</v>
      </c>
      <c r="G406" s="27"/>
      <c r="H406" s="34"/>
      <c r="I406" s="195">
        <f>SF!I25</f>
        <v>14.858499999999999</v>
      </c>
      <c r="J406" s="195">
        <f>SF!J25</f>
        <v>0</v>
      </c>
      <c r="K406" s="511">
        <v>1.75</v>
      </c>
      <c r="L406" s="11"/>
    </row>
    <row r="407" spans="1:12">
      <c r="A407" s="25" t="s">
        <v>986</v>
      </c>
      <c r="B407" s="163" t="s">
        <v>955</v>
      </c>
      <c r="C407" s="26"/>
      <c r="D407" s="26"/>
      <c r="E407" s="27"/>
      <c r="F407" s="34"/>
      <c r="G407" s="195">
        <f>SF!G40</f>
        <v>5.8532000000000011</v>
      </c>
      <c r="H407" s="34"/>
      <c r="I407" s="195">
        <f>SF!I40</f>
        <v>48.464496000000018</v>
      </c>
      <c r="J407" s="34"/>
      <c r="K407" s="433">
        <v>1.35</v>
      </c>
      <c r="L407" s="266"/>
    </row>
    <row r="408" spans="1:12">
      <c r="A408" s="278" t="s">
        <v>200</v>
      </c>
      <c r="B408" s="262"/>
      <c r="C408" s="262"/>
      <c r="D408" s="262"/>
      <c r="E408" s="263"/>
      <c r="F408" s="279"/>
      <c r="G408" s="280"/>
      <c r="H408" s="264"/>
      <c r="I408" s="279"/>
      <c r="J408" s="264"/>
      <c r="K408" s="1581">
        <v>0.44999999999999996</v>
      </c>
      <c r="L408" s="266"/>
    </row>
    <row r="409" spans="1:12">
      <c r="A409" s="25" t="s">
        <v>991</v>
      </c>
      <c r="B409" s="26" t="s">
        <v>989</v>
      </c>
      <c r="C409" s="26"/>
      <c r="D409" s="26"/>
      <c r="E409" s="27"/>
      <c r="F409" s="197"/>
      <c r="G409" s="172">
        <f>SF!G52</f>
        <v>94.821839999999995</v>
      </c>
      <c r="H409" s="34"/>
      <c r="I409" s="172">
        <f>SF!I52</f>
        <v>785.12483520000001</v>
      </c>
      <c r="J409" s="89"/>
      <c r="K409" s="511">
        <v>0.44999999999999996</v>
      </c>
      <c r="L409" s="266"/>
    </row>
    <row r="410" spans="1:12">
      <c r="A410" s="25" t="s">
        <v>217</v>
      </c>
      <c r="B410" s="26" t="s">
        <v>211</v>
      </c>
      <c r="C410" s="26"/>
      <c r="D410" s="26"/>
      <c r="E410" s="27"/>
      <c r="F410" s="197"/>
      <c r="G410" s="196">
        <f>SF!G58</f>
        <v>26.798532263701709</v>
      </c>
      <c r="H410" s="199"/>
      <c r="I410" s="172">
        <f>SF!I58</f>
        <v>147.28381289471153</v>
      </c>
      <c r="J410" s="195"/>
      <c r="K410" s="433">
        <v>0.44999999999999996</v>
      </c>
      <c r="L410" s="266"/>
    </row>
    <row r="411" spans="1:12">
      <c r="A411" s="278" t="s">
        <v>1817</v>
      </c>
      <c r="B411" s="262"/>
      <c r="C411" s="262"/>
      <c r="D411" s="262"/>
      <c r="E411" s="263"/>
      <c r="F411" s="279"/>
      <c r="G411" s="280"/>
      <c r="H411" s="264"/>
      <c r="I411" s="279"/>
      <c r="J411" s="264"/>
      <c r="K411" s="1582">
        <v>1.5</v>
      </c>
      <c r="L411" s="266"/>
    </row>
    <row r="412" spans="1:12">
      <c r="A412" s="25" t="s">
        <v>997</v>
      </c>
      <c r="B412" s="26" t="s">
        <v>988</v>
      </c>
      <c r="C412" s="26"/>
      <c r="D412" s="26"/>
      <c r="E412" s="27"/>
      <c r="F412" s="197"/>
      <c r="G412" s="211"/>
      <c r="H412" s="172">
        <f>SF!H67</f>
        <v>47.410919999999997</v>
      </c>
      <c r="I412" s="197"/>
      <c r="J412" s="172">
        <f>SF!J67</f>
        <v>433.10062959257624</v>
      </c>
      <c r="K412" s="511">
        <v>1.5</v>
      </c>
      <c r="L412" s="266"/>
    </row>
    <row r="413" spans="1:12">
      <c r="A413" s="25" t="s">
        <v>998</v>
      </c>
      <c r="B413" s="26" t="s">
        <v>989</v>
      </c>
      <c r="C413" s="26"/>
      <c r="D413" s="26"/>
      <c r="E413" s="27"/>
      <c r="F413" s="197"/>
      <c r="G413" s="211"/>
      <c r="H413" s="172">
        <f>SF!H68</f>
        <v>47.410919999999997</v>
      </c>
      <c r="I413" s="197"/>
      <c r="J413" s="172">
        <f>SF!J68</f>
        <v>433.10062959257624</v>
      </c>
      <c r="K413" s="433">
        <v>1.5</v>
      </c>
      <c r="L413" s="266"/>
    </row>
    <row r="414" spans="1:12">
      <c r="A414" s="25" t="s">
        <v>1006</v>
      </c>
      <c r="B414" s="26" t="s">
        <v>211</v>
      </c>
      <c r="C414" s="26"/>
      <c r="D414" s="26"/>
      <c r="E414" s="27"/>
      <c r="F414" s="197"/>
      <c r="G414" s="195"/>
      <c r="H414" s="172">
        <f>SF!H78</f>
        <v>26.798532263701709</v>
      </c>
      <c r="I414" s="195"/>
      <c r="J414" s="172">
        <f>SF!J78</f>
        <v>147.28381289471153</v>
      </c>
      <c r="K414" s="433">
        <v>1.5</v>
      </c>
      <c r="L414" s="266"/>
    </row>
    <row r="415" spans="1:12">
      <c r="A415" s="990" t="s">
        <v>204</v>
      </c>
      <c r="B415" s="661"/>
      <c r="C415" s="661"/>
      <c r="D415" s="661"/>
      <c r="E415" s="584"/>
      <c r="F415" s="991"/>
      <c r="G415" s="992"/>
      <c r="H415" s="370"/>
      <c r="I415" s="991"/>
      <c r="J415" s="370"/>
      <c r="K415" s="1583">
        <v>0.44999999999999996</v>
      </c>
      <c r="L415" s="266"/>
    </row>
    <row r="416" spans="1:12">
      <c r="A416" s="25" t="s">
        <v>1007</v>
      </c>
      <c r="B416" s="26" t="s">
        <v>988</v>
      </c>
      <c r="C416" s="26"/>
      <c r="D416" s="26"/>
      <c r="E416" s="27"/>
      <c r="F416" s="196">
        <f>SF!F87</f>
        <v>31.607279999999999</v>
      </c>
      <c r="G416" s="211"/>
      <c r="H416" s="34"/>
      <c r="I416" s="196">
        <f>SF!I87</f>
        <v>-15.140358000000003</v>
      </c>
      <c r="J416" s="196">
        <f>SF!J87</f>
        <v>0</v>
      </c>
      <c r="K416" s="433">
        <v>0.44999999999999996</v>
      </c>
      <c r="L416" s="266"/>
    </row>
    <row r="417" spans="1:12">
      <c r="A417" s="25" t="s">
        <v>1008</v>
      </c>
      <c r="B417" s="26" t="s">
        <v>989</v>
      </c>
      <c r="C417" s="26"/>
      <c r="D417" s="26"/>
      <c r="E417" s="27"/>
      <c r="F417" s="196">
        <f>SF!F88</f>
        <v>31.607279999999999</v>
      </c>
      <c r="G417" s="211"/>
      <c r="H417" s="34"/>
      <c r="I417" s="196">
        <f>SF!I88</f>
        <v>15.140358000000003</v>
      </c>
      <c r="J417" s="196">
        <f>SF!J88</f>
        <v>0</v>
      </c>
      <c r="K417" s="511">
        <v>0.44999999999999996</v>
      </c>
      <c r="L417" s="266"/>
    </row>
    <row r="418" spans="1:12">
      <c r="A418" s="25" t="s">
        <v>1011</v>
      </c>
      <c r="B418" s="26" t="s">
        <v>211</v>
      </c>
      <c r="C418" s="26"/>
      <c r="D418" s="26"/>
      <c r="E418" s="27"/>
      <c r="F418" s="196">
        <f>SF!F98</f>
        <v>17.865688175801139</v>
      </c>
      <c r="G418" s="211"/>
      <c r="H418" s="197"/>
      <c r="I418" s="196">
        <f>SF!I98</f>
        <v>0</v>
      </c>
      <c r="J418" s="196">
        <f>SF!J98</f>
        <v>0</v>
      </c>
      <c r="K418" s="511">
        <v>0.44999999999999996</v>
      </c>
      <c r="L418" s="266"/>
    </row>
    <row r="419" spans="1:12">
      <c r="A419" s="253"/>
      <c r="B419" s="15"/>
      <c r="C419" s="15"/>
      <c r="D419" s="15"/>
      <c r="E419" s="22"/>
      <c r="F419" s="212"/>
      <c r="G419" s="213"/>
      <c r="H419" s="198"/>
      <c r="I419" s="198"/>
      <c r="J419" s="58"/>
      <c r="K419" s="208"/>
      <c r="L419" s="293"/>
    </row>
    <row r="420" spans="1:12">
      <c r="A420" s="46"/>
      <c r="B420" s="46"/>
      <c r="C420" s="46"/>
      <c r="D420" s="46"/>
      <c r="E420" s="46"/>
      <c r="F420" s="46"/>
      <c r="G420" s="46"/>
      <c r="H420" s="46"/>
      <c r="I420" s="46"/>
      <c r="J420" s="46"/>
      <c r="K420" s="87"/>
      <c r="L420" s="293"/>
    </row>
    <row r="421" spans="1:12">
      <c r="A421" s="220" t="s">
        <v>73</v>
      </c>
      <c r="B421" s="220" t="s">
        <v>74</v>
      </c>
      <c r="C421" s="200"/>
      <c r="D421" s="200"/>
      <c r="E421" s="217"/>
      <c r="F421" s="1636" t="s">
        <v>72</v>
      </c>
      <c r="G421" s="1637"/>
      <c r="H421" s="1637"/>
      <c r="I421" s="1637"/>
      <c r="J421" s="1638"/>
      <c r="K421" s="87"/>
      <c r="L421" s="293"/>
    </row>
    <row r="422" spans="1:12" ht="18">
      <c r="A422" s="221"/>
      <c r="B422" s="221"/>
      <c r="C422" s="201"/>
      <c r="D422" s="201"/>
      <c r="E422" s="219"/>
      <c r="F422" s="223" t="s">
        <v>23</v>
      </c>
      <c r="G422" s="223" t="s">
        <v>87</v>
      </c>
      <c r="H422" s="223" t="s">
        <v>212</v>
      </c>
      <c r="I422" s="223" t="s">
        <v>80</v>
      </c>
      <c r="J422" s="223" t="s">
        <v>81</v>
      </c>
      <c r="K422" s="87"/>
      <c r="L422" s="293"/>
    </row>
    <row r="423" spans="1:12">
      <c r="A423" s="222"/>
      <c r="B423" s="222"/>
      <c r="C423" s="203"/>
      <c r="D423" s="203"/>
      <c r="E423" s="218"/>
      <c r="F423" s="204" t="s">
        <v>34</v>
      </c>
      <c r="G423" s="204" t="s">
        <v>34</v>
      </c>
      <c r="H423" s="203" t="s">
        <v>34</v>
      </c>
      <c r="I423" s="204" t="s">
        <v>77</v>
      </c>
      <c r="J423" s="204" t="s">
        <v>77</v>
      </c>
      <c r="K423" s="87"/>
      <c r="L423" s="293"/>
    </row>
    <row r="424" spans="1:12">
      <c r="A424" s="202"/>
      <c r="B424" s="200"/>
      <c r="C424" s="200"/>
      <c r="D424" s="200"/>
      <c r="E424" s="217"/>
      <c r="F424" s="205"/>
      <c r="G424" s="205"/>
      <c r="H424" s="201"/>
      <c r="I424" s="205"/>
      <c r="J424" s="205"/>
      <c r="K424" s="87"/>
      <c r="L424" s="293"/>
    </row>
    <row r="425" spans="1:12">
      <c r="A425" s="205" t="str">
        <f>A396</f>
        <v>LC-16</v>
      </c>
      <c r="B425" s="201" t="str">
        <f>B396</f>
        <v>LC-2 + Seismic Sx=0.3,Sz=1,Sy=0.3</v>
      </c>
      <c r="C425" s="201"/>
      <c r="D425" s="201"/>
      <c r="E425" s="219"/>
      <c r="F425" s="205">
        <f>SUMPRODUCT(F399:F418,$K$399:$K$418)</f>
        <v>1385.7996498469799</v>
      </c>
      <c r="G425" s="219">
        <f>SUMPRODUCT(G399:G418,$K$399:$K$418)</f>
        <v>62.630987518665762</v>
      </c>
      <c r="H425" s="219">
        <f>SUMPRODUCT(H399:H418,$K$399:$K$418)</f>
        <v>182.43055839555257</v>
      </c>
      <c r="I425" s="219">
        <f>SUMPRODUCT(I399:I418,$K$399:$K$418)</f>
        <v>490.95436124262017</v>
      </c>
      <c r="J425" s="219">
        <f>SUMPRODUCT(J399:J418,$K$399:$K$418)</f>
        <v>1520.2276081197961</v>
      </c>
      <c r="K425" s="87"/>
      <c r="L425" s="293"/>
    </row>
    <row r="426" spans="1:12">
      <c r="A426" s="204"/>
      <c r="B426" s="203"/>
      <c r="C426" s="203"/>
      <c r="D426" s="203"/>
      <c r="E426" s="218"/>
      <c r="F426" s="204"/>
      <c r="G426" s="204"/>
      <c r="H426" s="203"/>
      <c r="I426" s="204"/>
      <c r="J426" s="204"/>
      <c r="K426" s="87"/>
      <c r="L426" s="293"/>
    </row>
    <row r="429" spans="1:12">
      <c r="A429" s="811" t="str">
        <f>K429</f>
        <v>LC-17</v>
      </c>
      <c r="B429" s="31" t="str">
        <f>VLOOKUP(A429,LC_DEF_2!A45:B92,2,FALSE)</f>
        <v>LC-3 + Seismic Sx=1,Sz=0.3,Sy=-0.3</v>
      </c>
      <c r="C429" s="31"/>
      <c r="D429" s="31"/>
      <c r="E429" s="32"/>
      <c r="F429" s="1599" t="s">
        <v>742</v>
      </c>
      <c r="G429" s="1635"/>
      <c r="H429" s="1635"/>
      <c r="I429" s="1635"/>
      <c r="J429" s="1600"/>
      <c r="K429" s="1580" t="s">
        <v>243</v>
      </c>
      <c r="L429" s="293"/>
    </row>
    <row r="430" spans="1:12" ht="18">
      <c r="A430" s="25" t="s">
        <v>73</v>
      </c>
      <c r="B430" s="26" t="s">
        <v>74</v>
      </c>
      <c r="C430" s="26"/>
      <c r="D430" s="26"/>
      <c r="E430" s="27"/>
      <c r="F430" s="58" t="s">
        <v>23</v>
      </c>
      <c r="G430" s="58" t="s">
        <v>87</v>
      </c>
      <c r="H430" s="58" t="s">
        <v>212</v>
      </c>
      <c r="I430" s="58" t="s">
        <v>80</v>
      </c>
      <c r="J430" s="58" t="s">
        <v>81</v>
      </c>
      <c r="K430" s="433"/>
      <c r="L430" s="293"/>
    </row>
    <row r="431" spans="1:12">
      <c r="A431" s="25"/>
      <c r="B431" s="26"/>
      <c r="C431" s="26"/>
      <c r="D431" s="26"/>
      <c r="E431" s="27"/>
      <c r="F431" s="36" t="s">
        <v>34</v>
      </c>
      <c r="G431" s="36" t="s">
        <v>34</v>
      </c>
      <c r="H431" s="36" t="s">
        <v>34</v>
      </c>
      <c r="I431" s="36" t="s">
        <v>77</v>
      </c>
      <c r="J431" s="36" t="s">
        <v>77</v>
      </c>
      <c r="K431" s="433"/>
      <c r="L431" s="293"/>
    </row>
    <row r="432" spans="1:12">
      <c r="A432" s="25" t="s">
        <v>88</v>
      </c>
      <c r="B432" s="26" t="s">
        <v>75</v>
      </c>
      <c r="C432" s="26"/>
      <c r="D432" s="26"/>
      <c r="E432" s="27"/>
      <c r="F432" s="195">
        <f>SF!F14</f>
        <v>365.08803866482532</v>
      </c>
      <c r="G432" s="210"/>
      <c r="H432" s="34"/>
      <c r="I432" s="195">
        <f>SF!I14</f>
        <v>0</v>
      </c>
      <c r="J432" s="195">
        <f>SF!J14</f>
        <v>0</v>
      </c>
      <c r="K432" s="511">
        <v>1.35</v>
      </c>
      <c r="L432" s="266"/>
    </row>
    <row r="433" spans="1:12">
      <c r="A433" s="25" t="s">
        <v>90</v>
      </c>
      <c r="B433" s="26" t="s">
        <v>249</v>
      </c>
      <c r="C433" s="26"/>
      <c r="D433" s="26"/>
      <c r="E433" s="27"/>
      <c r="F433" s="195">
        <f>SF!F16</f>
        <v>36.639026644707663</v>
      </c>
      <c r="G433" s="210"/>
      <c r="H433" s="34"/>
      <c r="I433" s="195">
        <f>SF!I16</f>
        <v>0</v>
      </c>
      <c r="J433" s="195">
        <f>SF!J16</f>
        <v>0</v>
      </c>
      <c r="K433" s="511">
        <v>1.35</v>
      </c>
      <c r="L433" s="266"/>
    </row>
    <row r="434" spans="1:12">
      <c r="A434" s="25" t="s">
        <v>250</v>
      </c>
      <c r="B434" s="26" t="s">
        <v>967</v>
      </c>
      <c r="C434" s="26"/>
      <c r="D434" s="26"/>
      <c r="E434" s="27"/>
      <c r="F434" s="195">
        <f>SF!F19</f>
        <v>230</v>
      </c>
      <c r="G434" s="27"/>
      <c r="H434" s="34"/>
      <c r="I434" s="195">
        <f>SF!I19</f>
        <v>-115</v>
      </c>
      <c r="J434" s="195">
        <f>SF!J19</f>
        <v>0</v>
      </c>
      <c r="K434" s="433">
        <v>1.35</v>
      </c>
      <c r="L434" s="11"/>
    </row>
    <row r="435" spans="1:12">
      <c r="A435" s="25" t="s">
        <v>251</v>
      </c>
      <c r="B435" s="26" t="s">
        <v>968</v>
      </c>
      <c r="C435" s="26"/>
      <c r="D435" s="26"/>
      <c r="E435" s="27"/>
      <c r="F435" s="195">
        <f>SF!F20</f>
        <v>20.660000000000004</v>
      </c>
      <c r="G435" s="27"/>
      <c r="H435" s="34"/>
      <c r="I435" s="195">
        <f>SF!I20</f>
        <v>-10.330000000000002</v>
      </c>
      <c r="J435" s="195">
        <f>SF!J20</f>
        <v>0</v>
      </c>
      <c r="K435" s="433">
        <v>1.35</v>
      </c>
      <c r="L435" s="11"/>
    </row>
    <row r="436" spans="1:12">
      <c r="A436" s="25" t="s">
        <v>97</v>
      </c>
      <c r="B436" s="26" t="s">
        <v>969</v>
      </c>
      <c r="C436" s="26"/>
      <c r="D436" s="26"/>
      <c r="E436" s="27"/>
      <c r="F436" s="195">
        <f>SF!F21</f>
        <v>42</v>
      </c>
      <c r="G436" s="27"/>
      <c r="H436" s="34"/>
      <c r="I436" s="195">
        <f>SF!I21</f>
        <v>-14.858499999999999</v>
      </c>
      <c r="J436" s="195">
        <f>SF!J21</f>
        <v>0</v>
      </c>
      <c r="K436" s="433">
        <v>1.35</v>
      </c>
      <c r="L436" s="11"/>
    </row>
    <row r="437" spans="1:12">
      <c r="A437" s="25" t="s">
        <v>250</v>
      </c>
      <c r="B437" s="26" t="s">
        <v>970</v>
      </c>
      <c r="C437" s="26"/>
      <c r="D437" s="26"/>
      <c r="E437" s="27"/>
      <c r="F437" s="195">
        <f>SF!F23</f>
        <v>230</v>
      </c>
      <c r="G437" s="27"/>
      <c r="H437" s="34"/>
      <c r="I437" s="195">
        <f>SF!I23</f>
        <v>115</v>
      </c>
      <c r="J437" s="195">
        <f>SF!J23</f>
        <v>0</v>
      </c>
      <c r="K437" s="433">
        <v>1.35</v>
      </c>
      <c r="L437" s="11"/>
    </row>
    <row r="438" spans="1:12">
      <c r="A438" s="25" t="s">
        <v>251</v>
      </c>
      <c r="B438" s="26" t="s">
        <v>971</v>
      </c>
      <c r="C438" s="26"/>
      <c r="D438" s="26"/>
      <c r="E438" s="27"/>
      <c r="F438" s="195">
        <f>SF!F24</f>
        <v>20.660000000000004</v>
      </c>
      <c r="G438" s="27"/>
      <c r="H438" s="34"/>
      <c r="I438" s="195">
        <f>SF!I24</f>
        <v>10.330000000000002</v>
      </c>
      <c r="J438" s="195">
        <f>SF!J24</f>
        <v>0</v>
      </c>
      <c r="K438" s="433">
        <v>1.35</v>
      </c>
      <c r="L438" s="266"/>
    </row>
    <row r="439" spans="1:12">
      <c r="A439" s="25" t="s">
        <v>97</v>
      </c>
      <c r="B439" s="26" t="s">
        <v>972</v>
      </c>
      <c r="C439" s="26"/>
      <c r="D439" s="26"/>
      <c r="E439" s="27"/>
      <c r="F439" s="195">
        <f>SF!F25</f>
        <v>42</v>
      </c>
      <c r="G439" s="27"/>
      <c r="H439" s="34"/>
      <c r="I439" s="195">
        <f>SF!I25</f>
        <v>14.858499999999999</v>
      </c>
      <c r="J439" s="195">
        <f>SF!J25</f>
        <v>0</v>
      </c>
      <c r="K439" s="511">
        <v>1.75</v>
      </c>
      <c r="L439" s="11"/>
    </row>
    <row r="440" spans="1:12">
      <c r="A440" s="25" t="s">
        <v>976</v>
      </c>
      <c r="B440" s="26" t="s">
        <v>978</v>
      </c>
      <c r="C440" s="26"/>
      <c r="D440" s="26"/>
      <c r="E440" s="27"/>
      <c r="F440" s="195">
        <f>SF!F29</f>
        <v>65.160399999999996</v>
      </c>
      <c r="G440" s="27"/>
      <c r="H440" s="34"/>
      <c r="I440" s="195">
        <f>SF!I29</f>
        <v>-32.580199999999998</v>
      </c>
      <c r="J440" s="195">
        <f>SF!J29</f>
        <v>-10.105732306306301</v>
      </c>
      <c r="K440" s="511">
        <v>0.2</v>
      </c>
      <c r="L440" s="11"/>
    </row>
    <row r="441" spans="1:12">
      <c r="A441" s="25" t="s">
        <v>977</v>
      </c>
      <c r="B441" s="26" t="s">
        <v>979</v>
      </c>
      <c r="C441" s="26"/>
      <c r="D441" s="26"/>
      <c r="E441" s="27"/>
      <c r="F441" s="195">
        <f>SF!F30</f>
        <v>75.185314285714313</v>
      </c>
      <c r="G441" s="27"/>
      <c r="H441" s="34"/>
      <c r="I441" s="195">
        <f>SF!I30</f>
        <v>37.592657142857156</v>
      </c>
      <c r="J441" s="195">
        <f>SF!J30</f>
        <v>-11.660497166023164</v>
      </c>
      <c r="K441" s="511">
        <v>0.2</v>
      </c>
      <c r="L441" s="266"/>
    </row>
    <row r="442" spans="1:12">
      <c r="A442" s="278" t="s">
        <v>200</v>
      </c>
      <c r="B442" s="262"/>
      <c r="C442" s="262"/>
      <c r="D442" s="262"/>
      <c r="E442" s="263"/>
      <c r="F442" s="279"/>
      <c r="G442" s="280"/>
      <c r="H442" s="264"/>
      <c r="I442" s="279"/>
      <c r="J442" s="264"/>
      <c r="K442" s="1581">
        <v>1.5</v>
      </c>
      <c r="L442" s="266"/>
    </row>
    <row r="443" spans="1:12">
      <c r="A443" s="25" t="s">
        <v>991</v>
      </c>
      <c r="B443" s="26" t="s">
        <v>989</v>
      </c>
      <c r="C443" s="26"/>
      <c r="D443" s="26"/>
      <c r="E443" s="27"/>
      <c r="F443" s="197"/>
      <c r="G443" s="172">
        <f>SF!G52</f>
        <v>94.821839999999995</v>
      </c>
      <c r="H443" s="34"/>
      <c r="I443" s="172">
        <f>SF!I52</f>
        <v>785.12483520000001</v>
      </c>
      <c r="J443" s="89"/>
      <c r="K443" s="511">
        <v>1.5</v>
      </c>
      <c r="L443" s="266"/>
    </row>
    <row r="444" spans="1:12">
      <c r="A444" s="25" t="s">
        <v>994</v>
      </c>
      <c r="B444" s="26" t="s">
        <v>996</v>
      </c>
      <c r="C444" s="26"/>
      <c r="D444" s="26"/>
      <c r="E444" s="27"/>
      <c r="F444" s="197"/>
      <c r="G444" s="172">
        <f>SF!G56</f>
        <v>4.5540000000000003</v>
      </c>
      <c r="H444" s="34"/>
      <c r="I444" s="172">
        <f>SF!I56</f>
        <v>37.70712000000001</v>
      </c>
      <c r="J444" s="89"/>
      <c r="K444" s="433">
        <v>1.5</v>
      </c>
      <c r="L444" s="266"/>
    </row>
    <row r="445" spans="1:12">
      <c r="A445" s="25" t="s">
        <v>217</v>
      </c>
      <c r="B445" s="26" t="s">
        <v>211</v>
      </c>
      <c r="C445" s="26"/>
      <c r="D445" s="26"/>
      <c r="E445" s="27"/>
      <c r="F445" s="197"/>
      <c r="G445" s="196">
        <f>SF!G58</f>
        <v>26.798532263701709</v>
      </c>
      <c r="H445" s="199"/>
      <c r="I445" s="172">
        <f>SF!I58</f>
        <v>147.28381289471153</v>
      </c>
      <c r="J445" s="195"/>
      <c r="K445" s="433">
        <v>1.5</v>
      </c>
      <c r="L445" s="266"/>
    </row>
    <row r="446" spans="1:12">
      <c r="A446" s="278" t="s">
        <v>1817</v>
      </c>
      <c r="B446" s="262"/>
      <c r="C446" s="262"/>
      <c r="D446" s="262"/>
      <c r="E446" s="263"/>
      <c r="F446" s="279"/>
      <c r="G446" s="280"/>
      <c r="H446" s="264"/>
      <c r="I446" s="279"/>
      <c r="J446" s="264"/>
      <c r="K446" s="1582">
        <v>0.44999999999999996</v>
      </c>
      <c r="L446" s="266"/>
    </row>
    <row r="447" spans="1:12">
      <c r="A447" s="25" t="s">
        <v>997</v>
      </c>
      <c r="B447" s="26" t="s">
        <v>988</v>
      </c>
      <c r="C447" s="26"/>
      <c r="D447" s="26"/>
      <c r="E447" s="27"/>
      <c r="F447" s="197"/>
      <c r="G447" s="211"/>
      <c r="H447" s="172">
        <f>SF!H67</f>
        <v>47.410919999999997</v>
      </c>
      <c r="I447" s="197"/>
      <c r="J447" s="172">
        <f>SF!J67</f>
        <v>433.10062959257624</v>
      </c>
      <c r="K447" s="511">
        <v>0.44999999999999996</v>
      </c>
      <c r="L447" s="266"/>
    </row>
    <row r="448" spans="1:12">
      <c r="A448" s="25" t="s">
        <v>998</v>
      </c>
      <c r="B448" s="26" t="s">
        <v>989</v>
      </c>
      <c r="C448" s="26"/>
      <c r="D448" s="26"/>
      <c r="E448" s="27"/>
      <c r="F448" s="197"/>
      <c r="G448" s="211"/>
      <c r="H448" s="172">
        <f>SF!H68</f>
        <v>47.410919999999997</v>
      </c>
      <c r="I448" s="197"/>
      <c r="J448" s="172">
        <f>SF!J68</f>
        <v>433.10062959257624</v>
      </c>
      <c r="K448" s="433">
        <v>0.44999999999999996</v>
      </c>
      <c r="L448" s="266"/>
    </row>
    <row r="449" spans="1:12">
      <c r="A449" s="25" t="s">
        <v>1004</v>
      </c>
      <c r="B449" s="26" t="s">
        <v>1000</v>
      </c>
      <c r="C449" s="26"/>
      <c r="D449" s="26"/>
      <c r="E449" s="27"/>
      <c r="F449" s="197"/>
      <c r="G449" s="211"/>
      <c r="H449" s="172">
        <f>SF!H72</f>
        <v>10.555984799999999</v>
      </c>
      <c r="I449" s="197"/>
      <c r="J449" s="172">
        <f>SF!J72</f>
        <v>115.74637333199999</v>
      </c>
      <c r="K449" s="433">
        <v>0.09</v>
      </c>
      <c r="L449" s="266"/>
    </row>
    <row r="450" spans="1:12">
      <c r="A450" s="25" t="s">
        <v>1005</v>
      </c>
      <c r="B450" s="26" t="s">
        <v>1001</v>
      </c>
      <c r="C450" s="26"/>
      <c r="D450" s="26"/>
      <c r="E450" s="27"/>
      <c r="F450" s="197"/>
      <c r="G450" s="211"/>
      <c r="H450" s="172">
        <f>SF!H73</f>
        <v>12.18002091428572</v>
      </c>
      <c r="I450" s="197"/>
      <c r="J450" s="172">
        <f>SF!J73</f>
        <v>133.55392932514292</v>
      </c>
      <c r="K450" s="433">
        <v>0.09</v>
      </c>
      <c r="L450" s="266"/>
    </row>
    <row r="451" spans="1:12">
      <c r="A451" s="25" t="s">
        <v>1006</v>
      </c>
      <c r="B451" s="26" t="s">
        <v>211</v>
      </c>
      <c r="C451" s="26"/>
      <c r="D451" s="26"/>
      <c r="E451" s="27"/>
      <c r="F451" s="197"/>
      <c r="G451" s="195"/>
      <c r="H451" s="172">
        <f>SF!H78</f>
        <v>26.798532263701709</v>
      </c>
      <c r="I451" s="195"/>
      <c r="J451" s="172">
        <f>SF!J78</f>
        <v>147.28381289471153</v>
      </c>
      <c r="K451" s="433">
        <v>0.44999999999999996</v>
      </c>
      <c r="L451" s="266"/>
    </row>
    <row r="452" spans="1:12">
      <c r="A452" s="990" t="s">
        <v>204</v>
      </c>
      <c r="B452" s="661"/>
      <c r="C452" s="661"/>
      <c r="D452" s="661"/>
      <c r="E452" s="584"/>
      <c r="F452" s="991"/>
      <c r="G452" s="992"/>
      <c r="H452" s="370"/>
      <c r="I452" s="991"/>
      <c r="J452" s="370"/>
      <c r="K452" s="1583">
        <v>0.44999999999999996</v>
      </c>
      <c r="L452" s="266"/>
    </row>
    <row r="453" spans="1:12">
      <c r="A453" s="25" t="s">
        <v>1007</v>
      </c>
      <c r="B453" s="26" t="s">
        <v>988</v>
      </c>
      <c r="C453" s="26"/>
      <c r="D453" s="26"/>
      <c r="E453" s="27"/>
      <c r="F453" s="196">
        <f>SF!F87</f>
        <v>31.607279999999999</v>
      </c>
      <c r="G453" s="211"/>
      <c r="H453" s="34"/>
      <c r="I453" s="196">
        <f>SF!I87</f>
        <v>-15.140358000000003</v>
      </c>
      <c r="J453" s="196">
        <f>SF!J87</f>
        <v>0</v>
      </c>
      <c r="K453" s="433">
        <v>-0.44999999999999996</v>
      </c>
      <c r="L453" s="266"/>
    </row>
    <row r="454" spans="1:12">
      <c r="A454" s="25" t="s">
        <v>1008</v>
      </c>
      <c r="B454" s="26" t="s">
        <v>989</v>
      </c>
      <c r="C454" s="26"/>
      <c r="D454" s="26"/>
      <c r="E454" s="27"/>
      <c r="F454" s="196">
        <f>SF!F88</f>
        <v>31.607279999999999</v>
      </c>
      <c r="G454" s="211"/>
      <c r="H454" s="34"/>
      <c r="I454" s="196">
        <f>SF!I88</f>
        <v>15.140358000000003</v>
      </c>
      <c r="J454" s="196">
        <f>SF!J88</f>
        <v>0</v>
      </c>
      <c r="K454" s="511">
        <v>-0.44999999999999996</v>
      </c>
      <c r="L454" s="266"/>
    </row>
    <row r="455" spans="1:12">
      <c r="A455" s="25" t="s">
        <v>1009</v>
      </c>
      <c r="B455" s="26" t="s">
        <v>1000</v>
      </c>
      <c r="C455" s="26"/>
      <c r="D455" s="26"/>
      <c r="E455" s="27"/>
      <c r="F455" s="196">
        <f>SF!F92</f>
        <v>7.0373232000000003</v>
      </c>
      <c r="G455" s="211"/>
      <c r="H455" s="34"/>
      <c r="I455" s="196">
        <f>SF!I92</f>
        <v>-3.5186616000000002</v>
      </c>
      <c r="J455" s="196">
        <f>SF!J92</f>
        <v>-1.0914190890810807</v>
      </c>
      <c r="K455" s="511">
        <v>-0.09</v>
      </c>
      <c r="L455" s="266"/>
    </row>
    <row r="456" spans="1:12">
      <c r="A456" s="25" t="s">
        <v>1010</v>
      </c>
      <c r="B456" s="26" t="s">
        <v>1001</v>
      </c>
      <c r="C456" s="26"/>
      <c r="D456" s="26"/>
      <c r="E456" s="27"/>
      <c r="F456" s="196">
        <f>SF!F93</f>
        <v>8.1200139428571472</v>
      </c>
      <c r="G456" s="211"/>
      <c r="H456" s="34"/>
      <c r="I456" s="196">
        <f>SF!I93</f>
        <v>4.0600069714285736</v>
      </c>
      <c r="J456" s="196">
        <f>SF!J93</f>
        <v>-1.259333693930502</v>
      </c>
      <c r="K456" s="511">
        <v>-0.09</v>
      </c>
      <c r="L456" s="266"/>
    </row>
    <row r="457" spans="1:12">
      <c r="A457" s="25" t="s">
        <v>1011</v>
      </c>
      <c r="B457" s="26" t="s">
        <v>211</v>
      </c>
      <c r="C457" s="26"/>
      <c r="D457" s="26"/>
      <c r="E457" s="27"/>
      <c r="F457" s="196">
        <f>SF!F98</f>
        <v>17.865688175801139</v>
      </c>
      <c r="G457" s="211"/>
      <c r="H457" s="197"/>
      <c r="I457" s="196">
        <f>SF!I98</f>
        <v>0</v>
      </c>
      <c r="J457" s="196">
        <f>SF!J98</f>
        <v>0</v>
      </c>
      <c r="K457" s="511">
        <v>-0.44999999999999996</v>
      </c>
      <c r="L457" s="266"/>
    </row>
    <row r="458" spans="1:12">
      <c r="A458" s="253"/>
      <c r="B458" s="15"/>
      <c r="C458" s="15"/>
      <c r="D458" s="15"/>
      <c r="E458" s="22"/>
      <c r="F458" s="212"/>
      <c r="G458" s="213"/>
      <c r="H458" s="198"/>
      <c r="I458" s="198"/>
      <c r="J458" s="58"/>
      <c r="K458" s="208"/>
      <c r="L458" s="293"/>
    </row>
    <row r="459" spans="1:12">
      <c r="A459" s="46"/>
      <c r="B459" s="46"/>
      <c r="C459" s="46"/>
      <c r="D459" s="46"/>
      <c r="E459" s="46"/>
      <c r="F459" s="46"/>
      <c r="G459" s="46"/>
      <c r="H459" s="46"/>
      <c r="I459" s="46"/>
      <c r="J459" s="46"/>
      <c r="K459" s="87"/>
      <c r="L459" s="293"/>
    </row>
    <row r="460" spans="1:12">
      <c r="A460" s="220" t="s">
        <v>73</v>
      </c>
      <c r="B460" s="220" t="s">
        <v>74</v>
      </c>
      <c r="C460" s="200"/>
      <c r="D460" s="200"/>
      <c r="E460" s="217"/>
      <c r="F460" s="1636" t="s">
        <v>72</v>
      </c>
      <c r="G460" s="1637"/>
      <c r="H460" s="1637"/>
      <c r="I460" s="1637"/>
      <c r="J460" s="1638"/>
      <c r="K460" s="87"/>
      <c r="L460" s="293"/>
    </row>
    <row r="461" spans="1:12" ht="18">
      <c r="A461" s="221"/>
      <c r="B461" s="221"/>
      <c r="C461" s="201"/>
      <c r="D461" s="201"/>
      <c r="E461" s="219"/>
      <c r="F461" s="223" t="s">
        <v>23</v>
      </c>
      <c r="G461" s="223" t="s">
        <v>87</v>
      </c>
      <c r="H461" s="223" t="s">
        <v>212</v>
      </c>
      <c r="I461" s="223" t="s">
        <v>80</v>
      </c>
      <c r="J461" s="223" t="s">
        <v>81</v>
      </c>
      <c r="K461" s="87"/>
      <c r="L461" s="293"/>
    </row>
    <row r="462" spans="1:12">
      <c r="A462" s="222"/>
      <c r="B462" s="222"/>
      <c r="C462" s="203"/>
      <c r="D462" s="203"/>
      <c r="E462" s="218"/>
      <c r="F462" s="204" t="s">
        <v>34</v>
      </c>
      <c r="G462" s="204" t="s">
        <v>34</v>
      </c>
      <c r="H462" s="203" t="s">
        <v>34</v>
      </c>
      <c r="I462" s="204" t="s">
        <v>77</v>
      </c>
      <c r="J462" s="204" t="s">
        <v>77</v>
      </c>
      <c r="K462" s="87"/>
      <c r="L462" s="293"/>
    </row>
    <row r="463" spans="1:12">
      <c r="A463" s="202"/>
      <c r="B463" s="200"/>
      <c r="C463" s="200"/>
      <c r="D463" s="200"/>
      <c r="E463" s="217"/>
      <c r="F463" s="205"/>
      <c r="G463" s="205"/>
      <c r="H463" s="201"/>
      <c r="I463" s="205"/>
      <c r="J463" s="205"/>
      <c r="K463" s="87"/>
      <c r="L463" s="293"/>
    </row>
    <row r="464" spans="1:12">
      <c r="A464" s="205" t="str">
        <f>A429</f>
        <v>LC-17</v>
      </c>
      <c r="B464" s="201" t="str">
        <f>B429</f>
        <v>LC-3 + Seismic Sx=1,Sz=0.3,Sy=-0.3</v>
      </c>
      <c r="C464" s="201"/>
      <c r="D464" s="201"/>
      <c r="E464" s="219"/>
      <c r="F464" s="205">
        <f>SUMPRODUCT(F432:F457,$K$432:$K$457)</f>
        <v>1339.5324090030451</v>
      </c>
      <c r="G464" s="219">
        <f>SUMPRODUCT(G432:G457,$K$432:$K$457)</f>
        <v>189.26155839555253</v>
      </c>
      <c r="H464" s="219">
        <f>SUMPRODUCT(H432:H457,$K$432:$K$457)</f>
        <v>56.775408032951475</v>
      </c>
      <c r="I464" s="219">
        <f>SUMPRODUCT(I432:I457,$K$432:$K$457)</f>
        <v>1462.0708224872101</v>
      </c>
      <c r="J464" s="219">
        <f>SUMPRODUCT(J432:J457,$K$432:$K$457)</f>
        <v>474.36363153108681</v>
      </c>
      <c r="K464" s="87"/>
      <c r="L464" s="293"/>
    </row>
    <row r="465" spans="1:12">
      <c r="A465" s="204"/>
      <c r="B465" s="203"/>
      <c r="C465" s="203"/>
      <c r="D465" s="203"/>
      <c r="E465" s="218"/>
      <c r="F465" s="204"/>
      <c r="G465" s="204"/>
      <c r="H465" s="203"/>
      <c r="I465" s="204"/>
      <c r="J465" s="204"/>
      <c r="K465" s="87"/>
      <c r="L465" s="293"/>
    </row>
    <row r="468" spans="1:12">
      <c r="A468" s="811" t="str">
        <f>K468</f>
        <v>LC-18</v>
      </c>
      <c r="B468" s="31" t="str">
        <f>VLOOKUP(A468,LC_DEF_2!A45:B92,2,FALSE)</f>
        <v>LC-3 + Seismic Sx=0.3,Sz=1,Sy=-0.3</v>
      </c>
      <c r="C468" s="31"/>
      <c r="D468" s="31"/>
      <c r="E468" s="32"/>
      <c r="F468" s="1599" t="s">
        <v>742</v>
      </c>
      <c r="G468" s="1635"/>
      <c r="H468" s="1635"/>
      <c r="I468" s="1635"/>
      <c r="J468" s="1600"/>
      <c r="K468" s="1580" t="s">
        <v>244</v>
      </c>
      <c r="L468" s="293"/>
    </row>
    <row r="469" spans="1:12" ht="18">
      <c r="A469" s="25" t="s">
        <v>73</v>
      </c>
      <c r="B469" s="26" t="s">
        <v>74</v>
      </c>
      <c r="C469" s="26"/>
      <c r="D469" s="26"/>
      <c r="E469" s="27"/>
      <c r="F469" s="58" t="s">
        <v>23</v>
      </c>
      <c r="G469" s="58" t="s">
        <v>87</v>
      </c>
      <c r="H469" s="58" t="s">
        <v>212</v>
      </c>
      <c r="I469" s="58" t="s">
        <v>80</v>
      </c>
      <c r="J469" s="58" t="s">
        <v>81</v>
      </c>
      <c r="K469" s="433"/>
      <c r="L469" s="293"/>
    </row>
    <row r="470" spans="1:12">
      <c r="A470" s="25"/>
      <c r="B470" s="26"/>
      <c r="C470" s="26"/>
      <c r="D470" s="26"/>
      <c r="E470" s="27"/>
      <c r="F470" s="36" t="s">
        <v>34</v>
      </c>
      <c r="G470" s="36" t="s">
        <v>34</v>
      </c>
      <c r="H470" s="36" t="s">
        <v>34</v>
      </c>
      <c r="I470" s="36" t="s">
        <v>77</v>
      </c>
      <c r="J470" s="36" t="s">
        <v>77</v>
      </c>
      <c r="K470" s="433"/>
      <c r="L470" s="293"/>
    </row>
    <row r="471" spans="1:12">
      <c r="A471" s="25" t="s">
        <v>88</v>
      </c>
      <c r="B471" s="26" t="s">
        <v>75</v>
      </c>
      <c r="C471" s="26"/>
      <c r="D471" s="26"/>
      <c r="E471" s="27"/>
      <c r="F471" s="195">
        <f>SF!F14</f>
        <v>365.08803866482532</v>
      </c>
      <c r="G471" s="210"/>
      <c r="H471" s="34"/>
      <c r="I471" s="195">
        <f>SF!I14</f>
        <v>0</v>
      </c>
      <c r="J471" s="195">
        <f>SF!J14</f>
        <v>0</v>
      </c>
      <c r="K471" s="511">
        <v>1.35</v>
      </c>
      <c r="L471" s="266"/>
    </row>
    <row r="472" spans="1:12">
      <c r="A472" s="25" t="s">
        <v>90</v>
      </c>
      <c r="B472" s="26" t="s">
        <v>249</v>
      </c>
      <c r="C472" s="26"/>
      <c r="D472" s="26"/>
      <c r="E472" s="27"/>
      <c r="F472" s="195">
        <f>SF!F16</f>
        <v>36.639026644707663</v>
      </c>
      <c r="G472" s="210"/>
      <c r="H472" s="34"/>
      <c r="I472" s="195">
        <f>SF!I16</f>
        <v>0</v>
      </c>
      <c r="J472" s="195">
        <f>SF!J16</f>
        <v>0</v>
      </c>
      <c r="K472" s="511">
        <v>1.35</v>
      </c>
      <c r="L472" s="266"/>
    </row>
    <row r="473" spans="1:12">
      <c r="A473" s="25" t="s">
        <v>250</v>
      </c>
      <c r="B473" s="26" t="s">
        <v>967</v>
      </c>
      <c r="C473" s="26"/>
      <c r="D473" s="26"/>
      <c r="E473" s="27"/>
      <c r="F473" s="195">
        <f>SF!F19</f>
        <v>230</v>
      </c>
      <c r="G473" s="27"/>
      <c r="H473" s="34"/>
      <c r="I473" s="195">
        <f>SF!I19</f>
        <v>-115</v>
      </c>
      <c r="J473" s="195">
        <f>SF!J19</f>
        <v>0</v>
      </c>
      <c r="K473" s="433">
        <v>1.35</v>
      </c>
      <c r="L473" s="11"/>
    </row>
    <row r="474" spans="1:12">
      <c r="A474" s="25" t="s">
        <v>251</v>
      </c>
      <c r="B474" s="26" t="s">
        <v>968</v>
      </c>
      <c r="C474" s="26"/>
      <c r="D474" s="26"/>
      <c r="E474" s="27"/>
      <c r="F474" s="195">
        <f>SF!F20</f>
        <v>20.660000000000004</v>
      </c>
      <c r="G474" s="27"/>
      <c r="H474" s="34"/>
      <c r="I474" s="195">
        <f>SF!I20</f>
        <v>-10.330000000000002</v>
      </c>
      <c r="J474" s="195">
        <f>SF!J20</f>
        <v>0</v>
      </c>
      <c r="K474" s="433">
        <v>1.35</v>
      </c>
      <c r="L474" s="11"/>
    </row>
    <row r="475" spans="1:12">
      <c r="A475" s="25" t="s">
        <v>97</v>
      </c>
      <c r="B475" s="26" t="s">
        <v>969</v>
      </c>
      <c r="C475" s="26"/>
      <c r="D475" s="26"/>
      <c r="E475" s="27"/>
      <c r="F475" s="195">
        <f>SF!F21</f>
        <v>42</v>
      </c>
      <c r="G475" s="27"/>
      <c r="H475" s="34"/>
      <c r="I475" s="195">
        <f>SF!I21</f>
        <v>-14.858499999999999</v>
      </c>
      <c r="J475" s="195">
        <f>SF!J21</f>
        <v>0</v>
      </c>
      <c r="K475" s="433">
        <v>1.35</v>
      </c>
      <c r="L475" s="11"/>
    </row>
    <row r="476" spans="1:12">
      <c r="A476" s="25" t="s">
        <v>250</v>
      </c>
      <c r="B476" s="26" t="s">
        <v>970</v>
      </c>
      <c r="C476" s="26"/>
      <c r="D476" s="26"/>
      <c r="E476" s="27"/>
      <c r="F476" s="195">
        <f>SF!F23</f>
        <v>230</v>
      </c>
      <c r="G476" s="27"/>
      <c r="H476" s="34"/>
      <c r="I476" s="195">
        <f>SF!I23</f>
        <v>115</v>
      </c>
      <c r="J476" s="195">
        <f>SF!J23</f>
        <v>0</v>
      </c>
      <c r="K476" s="433">
        <v>1.35</v>
      </c>
      <c r="L476" s="11"/>
    </row>
    <row r="477" spans="1:12">
      <c r="A477" s="25" t="s">
        <v>251</v>
      </c>
      <c r="B477" s="26" t="s">
        <v>971</v>
      </c>
      <c r="C477" s="26"/>
      <c r="D477" s="26"/>
      <c r="E477" s="27"/>
      <c r="F477" s="195">
        <f>SF!F24</f>
        <v>20.660000000000004</v>
      </c>
      <c r="G477" s="27"/>
      <c r="H477" s="34"/>
      <c r="I477" s="195">
        <f>SF!I24</f>
        <v>10.330000000000002</v>
      </c>
      <c r="J477" s="195">
        <f>SF!J24</f>
        <v>0</v>
      </c>
      <c r="K477" s="433">
        <v>1.35</v>
      </c>
      <c r="L477" s="266"/>
    </row>
    <row r="478" spans="1:12">
      <c r="A478" s="25" t="s">
        <v>97</v>
      </c>
      <c r="B478" s="26" t="s">
        <v>972</v>
      </c>
      <c r="C478" s="26"/>
      <c r="D478" s="26"/>
      <c r="E478" s="27"/>
      <c r="F478" s="195">
        <f>SF!F25</f>
        <v>42</v>
      </c>
      <c r="G478" s="27"/>
      <c r="H478" s="34"/>
      <c r="I478" s="195">
        <f>SF!I25</f>
        <v>14.858499999999999</v>
      </c>
      <c r="J478" s="195">
        <f>SF!J25</f>
        <v>0</v>
      </c>
      <c r="K478" s="511">
        <v>1.75</v>
      </c>
      <c r="L478" s="11"/>
    </row>
    <row r="479" spans="1:12">
      <c r="A479" s="25" t="s">
        <v>976</v>
      </c>
      <c r="B479" s="26" t="s">
        <v>978</v>
      </c>
      <c r="C479" s="26"/>
      <c r="D479" s="26"/>
      <c r="E479" s="27"/>
      <c r="F479" s="195">
        <f>SF!F29</f>
        <v>65.160399999999996</v>
      </c>
      <c r="G479" s="27"/>
      <c r="H479" s="34"/>
      <c r="I479" s="195">
        <f>SF!I29</f>
        <v>-32.580199999999998</v>
      </c>
      <c r="J479" s="195">
        <f>SF!J29</f>
        <v>-10.105732306306301</v>
      </c>
      <c r="K479" s="511">
        <v>0.2</v>
      </c>
      <c r="L479" s="11"/>
    </row>
    <row r="480" spans="1:12">
      <c r="A480" s="25" t="s">
        <v>977</v>
      </c>
      <c r="B480" s="26" t="s">
        <v>979</v>
      </c>
      <c r="C480" s="26"/>
      <c r="D480" s="26"/>
      <c r="E480" s="27"/>
      <c r="F480" s="195">
        <f>SF!F30</f>
        <v>75.185314285714313</v>
      </c>
      <c r="G480" s="27"/>
      <c r="H480" s="34"/>
      <c r="I480" s="195">
        <f>SF!I30</f>
        <v>37.592657142857156</v>
      </c>
      <c r="J480" s="195">
        <f>SF!J30</f>
        <v>-11.660497166023164</v>
      </c>
      <c r="K480" s="511">
        <v>0.2</v>
      </c>
      <c r="L480" s="266"/>
    </row>
    <row r="481" spans="1:12">
      <c r="A481" s="278" t="s">
        <v>200</v>
      </c>
      <c r="B481" s="262"/>
      <c r="C481" s="262"/>
      <c r="D481" s="262"/>
      <c r="E481" s="263"/>
      <c r="F481" s="279"/>
      <c r="G481" s="280"/>
      <c r="H481" s="264"/>
      <c r="I481" s="279"/>
      <c r="J481" s="264"/>
      <c r="K481" s="1581">
        <v>1.5</v>
      </c>
      <c r="L481" s="266"/>
    </row>
    <row r="482" spans="1:12">
      <c r="A482" s="25" t="s">
        <v>991</v>
      </c>
      <c r="B482" s="26" t="s">
        <v>989</v>
      </c>
      <c r="C482" s="26"/>
      <c r="D482" s="26"/>
      <c r="E482" s="27"/>
      <c r="F482" s="197"/>
      <c r="G482" s="172">
        <f>SF!G52</f>
        <v>94.821839999999995</v>
      </c>
      <c r="H482" s="34"/>
      <c r="I482" s="172">
        <f>SF!I52</f>
        <v>785.12483520000001</v>
      </c>
      <c r="J482" s="89"/>
      <c r="K482" s="511">
        <v>0.44999999999999996</v>
      </c>
      <c r="L482" s="266"/>
    </row>
    <row r="483" spans="1:12">
      <c r="A483" s="25" t="s">
        <v>994</v>
      </c>
      <c r="B483" s="26" t="s">
        <v>996</v>
      </c>
      <c r="C483" s="26"/>
      <c r="D483" s="26"/>
      <c r="E483" s="27"/>
      <c r="F483" s="197"/>
      <c r="G483" s="172">
        <f>SF!G56</f>
        <v>4.5540000000000003</v>
      </c>
      <c r="H483" s="34"/>
      <c r="I483" s="172">
        <f>SF!I56</f>
        <v>37.70712000000001</v>
      </c>
      <c r="J483" s="89"/>
      <c r="K483" s="433">
        <v>1.5</v>
      </c>
      <c r="L483" s="266"/>
    </row>
    <row r="484" spans="1:12">
      <c r="A484" s="25" t="s">
        <v>217</v>
      </c>
      <c r="B484" s="26" t="s">
        <v>211</v>
      </c>
      <c r="C484" s="26"/>
      <c r="D484" s="26"/>
      <c r="E484" s="27"/>
      <c r="F484" s="197"/>
      <c r="G484" s="196">
        <f>SF!G58</f>
        <v>26.798532263701709</v>
      </c>
      <c r="H484" s="199"/>
      <c r="I484" s="172">
        <f>SF!I58</f>
        <v>147.28381289471153</v>
      </c>
      <c r="J484" s="195"/>
      <c r="K484" s="433">
        <v>0.44999999999999996</v>
      </c>
      <c r="L484" s="266"/>
    </row>
    <row r="485" spans="1:12">
      <c r="A485" s="278" t="s">
        <v>1817</v>
      </c>
      <c r="B485" s="262"/>
      <c r="C485" s="262"/>
      <c r="D485" s="262"/>
      <c r="E485" s="263"/>
      <c r="F485" s="279"/>
      <c r="G485" s="280"/>
      <c r="H485" s="264"/>
      <c r="I485" s="279"/>
      <c r="J485" s="264"/>
      <c r="K485" s="1582">
        <v>1.5</v>
      </c>
      <c r="L485" s="266"/>
    </row>
    <row r="486" spans="1:12">
      <c r="A486" s="25" t="s">
        <v>997</v>
      </c>
      <c r="B486" s="26" t="s">
        <v>988</v>
      </c>
      <c r="C486" s="26"/>
      <c r="D486" s="26"/>
      <c r="E486" s="27"/>
      <c r="F486" s="197"/>
      <c r="G486" s="211"/>
      <c r="H486" s="172">
        <f>SF!H67</f>
        <v>47.410919999999997</v>
      </c>
      <c r="I486" s="197"/>
      <c r="J486" s="172">
        <f>SF!J67</f>
        <v>433.10062959257624</v>
      </c>
      <c r="K486" s="511">
        <v>1.5</v>
      </c>
      <c r="L486" s="266"/>
    </row>
    <row r="487" spans="1:12">
      <c r="A487" s="25" t="s">
        <v>998</v>
      </c>
      <c r="B487" s="26" t="s">
        <v>989</v>
      </c>
      <c r="C487" s="26"/>
      <c r="D487" s="26"/>
      <c r="E487" s="27"/>
      <c r="F487" s="197"/>
      <c r="G487" s="211"/>
      <c r="H487" s="172">
        <f>SF!H68</f>
        <v>47.410919999999997</v>
      </c>
      <c r="I487" s="197"/>
      <c r="J487" s="172">
        <f>SF!J68</f>
        <v>433.10062959257624</v>
      </c>
      <c r="K487" s="433">
        <v>1.5</v>
      </c>
      <c r="L487" s="266"/>
    </row>
    <row r="488" spans="1:12">
      <c r="A488" s="25" t="s">
        <v>1004</v>
      </c>
      <c r="B488" s="26" t="s">
        <v>1000</v>
      </c>
      <c r="C488" s="26"/>
      <c r="D488" s="26"/>
      <c r="E488" s="27"/>
      <c r="F488" s="197"/>
      <c r="G488" s="211"/>
      <c r="H488" s="172">
        <f>SF!H72</f>
        <v>10.555984799999999</v>
      </c>
      <c r="I488" s="197"/>
      <c r="J488" s="172">
        <f>SF!J72</f>
        <v>115.74637333199999</v>
      </c>
      <c r="K488" s="433">
        <v>0.30000000000000004</v>
      </c>
      <c r="L488" s="266"/>
    </row>
    <row r="489" spans="1:12">
      <c r="A489" s="25" t="s">
        <v>1005</v>
      </c>
      <c r="B489" s="26" t="s">
        <v>1001</v>
      </c>
      <c r="C489" s="26"/>
      <c r="D489" s="26"/>
      <c r="E489" s="27"/>
      <c r="F489" s="197"/>
      <c r="G489" s="211"/>
      <c r="H489" s="172">
        <f>SF!H73</f>
        <v>12.18002091428572</v>
      </c>
      <c r="I489" s="197"/>
      <c r="J489" s="172">
        <f>SF!J73</f>
        <v>133.55392932514292</v>
      </c>
      <c r="K489" s="433">
        <v>0.30000000000000004</v>
      </c>
      <c r="L489" s="266"/>
    </row>
    <row r="490" spans="1:12">
      <c r="A490" s="25" t="s">
        <v>1006</v>
      </c>
      <c r="B490" s="26" t="s">
        <v>211</v>
      </c>
      <c r="C490" s="26"/>
      <c r="D490" s="26"/>
      <c r="E490" s="27"/>
      <c r="F490" s="197"/>
      <c r="G490" s="195"/>
      <c r="H490" s="172">
        <f>SF!H78</f>
        <v>26.798532263701709</v>
      </c>
      <c r="I490" s="195"/>
      <c r="J490" s="172">
        <f>SF!J78</f>
        <v>147.28381289471153</v>
      </c>
      <c r="K490" s="433">
        <v>1.5</v>
      </c>
      <c r="L490" s="266"/>
    </row>
    <row r="491" spans="1:12">
      <c r="A491" s="990" t="s">
        <v>204</v>
      </c>
      <c r="B491" s="661"/>
      <c r="C491" s="661"/>
      <c r="D491" s="661"/>
      <c r="E491" s="584"/>
      <c r="F491" s="991"/>
      <c r="G491" s="992"/>
      <c r="H491" s="370"/>
      <c r="I491" s="991"/>
      <c r="J491" s="370"/>
      <c r="K491" s="1583">
        <v>0.44999999999999996</v>
      </c>
      <c r="L491" s="266"/>
    </row>
    <row r="492" spans="1:12">
      <c r="A492" s="25" t="s">
        <v>1007</v>
      </c>
      <c r="B492" s="26" t="s">
        <v>988</v>
      </c>
      <c r="C492" s="26"/>
      <c r="D492" s="26"/>
      <c r="E492" s="27"/>
      <c r="F492" s="196">
        <f>SF!F87</f>
        <v>31.607279999999999</v>
      </c>
      <c r="G492" s="211"/>
      <c r="H492" s="34"/>
      <c r="I492" s="196">
        <f>SF!I87</f>
        <v>-15.140358000000003</v>
      </c>
      <c r="J492" s="196">
        <f>SF!J87</f>
        <v>0</v>
      </c>
      <c r="K492" s="433">
        <v>-0.44999999999999996</v>
      </c>
      <c r="L492" s="266"/>
    </row>
    <row r="493" spans="1:12">
      <c r="A493" s="25" t="s">
        <v>1008</v>
      </c>
      <c r="B493" s="26" t="s">
        <v>989</v>
      </c>
      <c r="C493" s="26"/>
      <c r="D493" s="26"/>
      <c r="E493" s="27"/>
      <c r="F493" s="196">
        <f>SF!F88</f>
        <v>31.607279999999999</v>
      </c>
      <c r="G493" s="211"/>
      <c r="H493" s="34"/>
      <c r="I493" s="196">
        <f>SF!I88</f>
        <v>15.140358000000003</v>
      </c>
      <c r="J493" s="196">
        <f>SF!J88</f>
        <v>0</v>
      </c>
      <c r="K493" s="511">
        <v>-0.44999999999999996</v>
      </c>
      <c r="L493" s="266"/>
    </row>
    <row r="494" spans="1:12">
      <c r="A494" s="25" t="s">
        <v>1009</v>
      </c>
      <c r="B494" s="26" t="s">
        <v>1000</v>
      </c>
      <c r="C494" s="26"/>
      <c r="D494" s="26"/>
      <c r="E494" s="27"/>
      <c r="F494" s="196">
        <f>SF!F92</f>
        <v>7.0373232000000003</v>
      </c>
      <c r="G494" s="211"/>
      <c r="H494" s="34"/>
      <c r="I494" s="196">
        <f>SF!I92</f>
        <v>-3.5186616000000002</v>
      </c>
      <c r="J494" s="196">
        <f>SF!J92</f>
        <v>-1.0914190890810807</v>
      </c>
      <c r="K494" s="511">
        <v>-0.09</v>
      </c>
      <c r="L494" s="266"/>
    </row>
    <row r="495" spans="1:12">
      <c r="A495" s="25" t="s">
        <v>1010</v>
      </c>
      <c r="B495" s="26" t="s">
        <v>1001</v>
      </c>
      <c r="C495" s="26"/>
      <c r="D495" s="26"/>
      <c r="E495" s="27"/>
      <c r="F495" s="196">
        <f>SF!F93</f>
        <v>8.1200139428571472</v>
      </c>
      <c r="G495" s="211"/>
      <c r="H495" s="34"/>
      <c r="I495" s="196">
        <f>SF!I93</f>
        <v>4.0600069714285736</v>
      </c>
      <c r="J495" s="196">
        <f>SF!J93</f>
        <v>-1.259333693930502</v>
      </c>
      <c r="K495" s="511">
        <v>-0.09</v>
      </c>
      <c r="L495" s="266"/>
    </row>
    <row r="496" spans="1:12">
      <c r="A496" s="25" t="s">
        <v>1011</v>
      </c>
      <c r="B496" s="26" t="s">
        <v>211</v>
      </c>
      <c r="C496" s="26"/>
      <c r="D496" s="26"/>
      <c r="E496" s="27"/>
      <c r="F496" s="196">
        <f>SF!F98</f>
        <v>17.865688175801139</v>
      </c>
      <c r="G496" s="211"/>
      <c r="H496" s="197"/>
      <c r="I496" s="196">
        <f>SF!I98</f>
        <v>0</v>
      </c>
      <c r="J496" s="196">
        <f>SF!J98</f>
        <v>0</v>
      </c>
      <c r="K496" s="511">
        <v>-0.44999999999999996</v>
      </c>
      <c r="L496" s="266"/>
    </row>
    <row r="497" spans="1:12">
      <c r="A497" s="253"/>
      <c r="B497" s="15"/>
      <c r="C497" s="15"/>
      <c r="D497" s="15"/>
      <c r="E497" s="22"/>
      <c r="F497" s="212"/>
      <c r="G497" s="213"/>
      <c r="H497" s="198"/>
      <c r="I497" s="198"/>
      <c r="J497" s="58"/>
      <c r="K497" s="208"/>
      <c r="L497" s="293"/>
    </row>
    <row r="498" spans="1:12">
      <c r="A498" s="46"/>
      <c r="B498" s="46"/>
      <c r="C498" s="46"/>
      <c r="D498" s="46"/>
      <c r="E498" s="46"/>
      <c r="F498" s="46"/>
      <c r="G498" s="46"/>
      <c r="H498" s="46"/>
      <c r="I498" s="46"/>
      <c r="J498" s="46"/>
      <c r="K498" s="87"/>
      <c r="L498" s="293"/>
    </row>
    <row r="499" spans="1:12">
      <c r="A499" s="220" t="s">
        <v>73</v>
      </c>
      <c r="B499" s="220" t="s">
        <v>74</v>
      </c>
      <c r="C499" s="200"/>
      <c r="D499" s="200"/>
      <c r="E499" s="217"/>
      <c r="F499" s="1636" t="s">
        <v>72</v>
      </c>
      <c r="G499" s="1637"/>
      <c r="H499" s="1637"/>
      <c r="I499" s="1637"/>
      <c r="J499" s="1638"/>
      <c r="K499" s="87"/>
      <c r="L499" s="293"/>
    </row>
    <row r="500" spans="1:12" ht="18">
      <c r="A500" s="221"/>
      <c r="B500" s="221"/>
      <c r="C500" s="201"/>
      <c r="D500" s="201"/>
      <c r="E500" s="219"/>
      <c r="F500" s="223" t="s">
        <v>23</v>
      </c>
      <c r="G500" s="223" t="s">
        <v>87</v>
      </c>
      <c r="H500" s="223" t="s">
        <v>212</v>
      </c>
      <c r="I500" s="223" t="s">
        <v>80</v>
      </c>
      <c r="J500" s="223" t="s">
        <v>81</v>
      </c>
      <c r="K500" s="87"/>
      <c r="L500" s="293"/>
    </row>
    <row r="501" spans="1:12">
      <c r="A501" s="222"/>
      <c r="B501" s="222"/>
      <c r="C501" s="203"/>
      <c r="D501" s="203"/>
      <c r="E501" s="218"/>
      <c r="F501" s="204" t="s">
        <v>34</v>
      </c>
      <c r="G501" s="204" t="s">
        <v>34</v>
      </c>
      <c r="H501" s="203" t="s">
        <v>34</v>
      </c>
      <c r="I501" s="204" t="s">
        <v>77</v>
      </c>
      <c r="J501" s="204" t="s">
        <v>77</v>
      </c>
      <c r="K501" s="87"/>
      <c r="L501" s="293"/>
    </row>
    <row r="502" spans="1:12">
      <c r="A502" s="202"/>
      <c r="B502" s="200"/>
      <c r="C502" s="200"/>
      <c r="D502" s="200"/>
      <c r="E502" s="217"/>
      <c r="F502" s="205"/>
      <c r="G502" s="205"/>
      <c r="H502" s="201"/>
      <c r="I502" s="205"/>
      <c r="J502" s="205"/>
      <c r="K502" s="87"/>
      <c r="L502" s="293"/>
    </row>
    <row r="503" spans="1:12">
      <c r="A503" s="205" t="str">
        <f>A468</f>
        <v>LC-18</v>
      </c>
      <c r="B503" s="201" t="str">
        <f>B468</f>
        <v>LC-3 + Seismic Sx=0.3,Sz=1,Sy=-0.3</v>
      </c>
      <c r="C503" s="201"/>
      <c r="D503" s="201"/>
      <c r="E503" s="219"/>
      <c r="F503" s="205">
        <f>SUMPRODUCT(F471:F496,$K$471:$K$496)</f>
        <v>1339.5324090030451</v>
      </c>
      <c r="G503" s="219">
        <f>SUMPRODUCT(G471:G496,$K$471:$K$496)</f>
        <v>61.560167518665764</v>
      </c>
      <c r="H503" s="219">
        <f>SUMPRODUCT(H471:H496,$K$471:$K$496)</f>
        <v>189.25136010983823</v>
      </c>
      <c r="I503" s="219">
        <f>SUMPRODUCT(I471:I496,$K$471:$K$496)</f>
        <v>483.04174198776303</v>
      </c>
      <c r="J503" s="219">
        <f>SUMPRODUCT(J471:J496,$K$471:$K$496)</f>
        <v>1590.8760207729442</v>
      </c>
      <c r="K503" s="87"/>
      <c r="L503" s="293"/>
    </row>
    <row r="504" spans="1:12">
      <c r="A504" s="204"/>
      <c r="B504" s="203"/>
      <c r="C504" s="203"/>
      <c r="D504" s="203"/>
      <c r="E504" s="218"/>
      <c r="F504" s="204"/>
      <c r="G504" s="204"/>
      <c r="H504" s="203"/>
      <c r="I504" s="204"/>
      <c r="J504" s="204"/>
      <c r="K504" s="87"/>
      <c r="L504" s="293"/>
    </row>
    <row r="507" spans="1:12">
      <c r="A507" s="811" t="str">
        <f>K507</f>
        <v>LC-19</v>
      </c>
      <c r="B507" s="31" t="str">
        <f>VLOOKUP(A507,LC_DEF_2!A45:B92,2,FALSE)</f>
        <v>LC-3 + Seismic Sx=1,Sz=0.3,Sy=0.3</v>
      </c>
      <c r="C507" s="31"/>
      <c r="D507" s="31"/>
      <c r="E507" s="32"/>
      <c r="F507" s="1599" t="s">
        <v>742</v>
      </c>
      <c r="G507" s="1635"/>
      <c r="H507" s="1635"/>
      <c r="I507" s="1635"/>
      <c r="J507" s="1600"/>
      <c r="K507" s="1580" t="s">
        <v>668</v>
      </c>
      <c r="L507" s="293"/>
    </row>
    <row r="508" spans="1:12" ht="18">
      <c r="A508" s="25" t="s">
        <v>73</v>
      </c>
      <c r="B508" s="26" t="s">
        <v>74</v>
      </c>
      <c r="C508" s="26"/>
      <c r="D508" s="26"/>
      <c r="E508" s="27"/>
      <c r="F508" s="58" t="s">
        <v>23</v>
      </c>
      <c r="G508" s="58" t="s">
        <v>87</v>
      </c>
      <c r="H508" s="58" t="s">
        <v>212</v>
      </c>
      <c r="I508" s="58" t="s">
        <v>80</v>
      </c>
      <c r="J508" s="58" t="s">
        <v>81</v>
      </c>
      <c r="K508" s="433"/>
      <c r="L508" s="293"/>
    </row>
    <row r="509" spans="1:12">
      <c r="A509" s="25"/>
      <c r="B509" s="26"/>
      <c r="C509" s="26"/>
      <c r="D509" s="26"/>
      <c r="E509" s="27"/>
      <c r="F509" s="36" t="s">
        <v>34</v>
      </c>
      <c r="G509" s="36" t="s">
        <v>34</v>
      </c>
      <c r="H509" s="36" t="s">
        <v>34</v>
      </c>
      <c r="I509" s="36" t="s">
        <v>77</v>
      </c>
      <c r="J509" s="36" t="s">
        <v>77</v>
      </c>
      <c r="K509" s="433"/>
      <c r="L509" s="293"/>
    </row>
    <row r="510" spans="1:12">
      <c r="A510" s="25" t="s">
        <v>88</v>
      </c>
      <c r="B510" s="26" t="s">
        <v>75</v>
      </c>
      <c r="C510" s="26"/>
      <c r="D510" s="26"/>
      <c r="E510" s="27"/>
      <c r="F510" s="195">
        <f>SF!F14</f>
        <v>365.08803866482532</v>
      </c>
      <c r="G510" s="210"/>
      <c r="H510" s="34"/>
      <c r="I510" s="195">
        <f>SF!I14</f>
        <v>0</v>
      </c>
      <c r="J510" s="195">
        <f>SF!J14</f>
        <v>0</v>
      </c>
      <c r="K510" s="511">
        <v>1.35</v>
      </c>
      <c r="L510" s="266"/>
    </row>
    <row r="511" spans="1:12">
      <c r="A511" s="25" t="s">
        <v>90</v>
      </c>
      <c r="B511" s="26" t="s">
        <v>249</v>
      </c>
      <c r="C511" s="26"/>
      <c r="D511" s="26"/>
      <c r="E511" s="27"/>
      <c r="F511" s="195">
        <f>SF!F16</f>
        <v>36.639026644707663</v>
      </c>
      <c r="G511" s="210"/>
      <c r="H511" s="34"/>
      <c r="I511" s="195">
        <f>SF!I16</f>
        <v>0</v>
      </c>
      <c r="J511" s="195">
        <f>SF!J16</f>
        <v>0</v>
      </c>
      <c r="K511" s="511">
        <v>1.35</v>
      </c>
      <c r="L511" s="266"/>
    </row>
    <row r="512" spans="1:12">
      <c r="A512" s="25" t="s">
        <v>250</v>
      </c>
      <c r="B512" s="26" t="s">
        <v>967</v>
      </c>
      <c r="C512" s="26"/>
      <c r="D512" s="26"/>
      <c r="E512" s="27"/>
      <c r="F512" s="195">
        <f>SF!F19</f>
        <v>230</v>
      </c>
      <c r="G512" s="27"/>
      <c r="H512" s="34"/>
      <c r="I512" s="195">
        <f>SF!I19</f>
        <v>-115</v>
      </c>
      <c r="J512" s="195">
        <f>SF!J19</f>
        <v>0</v>
      </c>
      <c r="K512" s="433">
        <v>1.35</v>
      </c>
      <c r="L512" s="11"/>
    </row>
    <row r="513" spans="1:12">
      <c r="A513" s="25" t="s">
        <v>251</v>
      </c>
      <c r="B513" s="26" t="s">
        <v>968</v>
      </c>
      <c r="C513" s="26"/>
      <c r="D513" s="26"/>
      <c r="E513" s="27"/>
      <c r="F513" s="195">
        <f>SF!F20</f>
        <v>20.660000000000004</v>
      </c>
      <c r="G513" s="27"/>
      <c r="H513" s="34"/>
      <c r="I513" s="195">
        <f>SF!I20</f>
        <v>-10.330000000000002</v>
      </c>
      <c r="J513" s="195">
        <f>SF!J20</f>
        <v>0</v>
      </c>
      <c r="K513" s="433">
        <v>1.35</v>
      </c>
      <c r="L513" s="11"/>
    </row>
    <row r="514" spans="1:12">
      <c r="A514" s="25" t="s">
        <v>97</v>
      </c>
      <c r="B514" s="26" t="s">
        <v>969</v>
      </c>
      <c r="C514" s="26"/>
      <c r="D514" s="26"/>
      <c r="E514" s="27"/>
      <c r="F514" s="195">
        <f>SF!F21</f>
        <v>42</v>
      </c>
      <c r="G514" s="27"/>
      <c r="H514" s="34"/>
      <c r="I514" s="195">
        <f>SF!I21</f>
        <v>-14.858499999999999</v>
      </c>
      <c r="J514" s="195">
        <f>SF!J21</f>
        <v>0</v>
      </c>
      <c r="K514" s="433">
        <v>1.35</v>
      </c>
      <c r="L514" s="11"/>
    </row>
    <row r="515" spans="1:12">
      <c r="A515" s="25" t="s">
        <v>250</v>
      </c>
      <c r="B515" s="26" t="s">
        <v>970</v>
      </c>
      <c r="C515" s="26"/>
      <c r="D515" s="26"/>
      <c r="E515" s="27"/>
      <c r="F515" s="195">
        <f>SF!F23</f>
        <v>230</v>
      </c>
      <c r="G515" s="27"/>
      <c r="H515" s="34"/>
      <c r="I515" s="195">
        <f>SF!I23</f>
        <v>115</v>
      </c>
      <c r="J515" s="195">
        <f>SF!J23</f>
        <v>0</v>
      </c>
      <c r="K515" s="433">
        <v>1.35</v>
      </c>
      <c r="L515" s="11"/>
    </row>
    <row r="516" spans="1:12">
      <c r="A516" s="25" t="s">
        <v>251</v>
      </c>
      <c r="B516" s="26" t="s">
        <v>971</v>
      </c>
      <c r="C516" s="26"/>
      <c r="D516" s="26"/>
      <c r="E516" s="27"/>
      <c r="F516" s="195">
        <f>SF!F24</f>
        <v>20.660000000000004</v>
      </c>
      <c r="G516" s="27"/>
      <c r="H516" s="34"/>
      <c r="I516" s="195">
        <f>SF!I24</f>
        <v>10.330000000000002</v>
      </c>
      <c r="J516" s="195">
        <f>SF!J24</f>
        <v>0</v>
      </c>
      <c r="K516" s="433">
        <v>1.35</v>
      </c>
      <c r="L516" s="266"/>
    </row>
    <row r="517" spans="1:12">
      <c r="A517" s="25" t="s">
        <v>97</v>
      </c>
      <c r="B517" s="26" t="s">
        <v>972</v>
      </c>
      <c r="C517" s="26"/>
      <c r="D517" s="26"/>
      <c r="E517" s="27"/>
      <c r="F517" s="195">
        <f>SF!F25</f>
        <v>42</v>
      </c>
      <c r="G517" s="27"/>
      <c r="H517" s="34"/>
      <c r="I517" s="195">
        <f>SF!I25</f>
        <v>14.858499999999999</v>
      </c>
      <c r="J517" s="195">
        <f>SF!J25</f>
        <v>0</v>
      </c>
      <c r="K517" s="511">
        <v>1.75</v>
      </c>
      <c r="L517" s="11"/>
    </row>
    <row r="518" spans="1:12">
      <c r="A518" s="25" t="s">
        <v>976</v>
      </c>
      <c r="B518" s="26" t="s">
        <v>978</v>
      </c>
      <c r="C518" s="26"/>
      <c r="D518" s="26"/>
      <c r="E518" s="27"/>
      <c r="F518" s="195">
        <f>SF!F29</f>
        <v>65.160399999999996</v>
      </c>
      <c r="G518" s="27"/>
      <c r="H518" s="34"/>
      <c r="I518" s="195">
        <f>SF!I29</f>
        <v>-32.580199999999998</v>
      </c>
      <c r="J518" s="195">
        <f>SF!J29</f>
        <v>-10.105732306306301</v>
      </c>
      <c r="K518" s="511">
        <v>0.2</v>
      </c>
      <c r="L518" s="11"/>
    </row>
    <row r="519" spans="1:12">
      <c r="A519" s="25" t="s">
        <v>977</v>
      </c>
      <c r="B519" s="26" t="s">
        <v>979</v>
      </c>
      <c r="C519" s="26"/>
      <c r="D519" s="26"/>
      <c r="E519" s="27"/>
      <c r="F519" s="195">
        <f>SF!F30</f>
        <v>75.185314285714313</v>
      </c>
      <c r="G519" s="27"/>
      <c r="H519" s="34"/>
      <c r="I519" s="195">
        <f>SF!I30</f>
        <v>37.592657142857156</v>
      </c>
      <c r="J519" s="195">
        <f>SF!J30</f>
        <v>-11.660497166023164</v>
      </c>
      <c r="K519" s="511">
        <v>0.2</v>
      </c>
      <c r="L519" s="266"/>
    </row>
    <row r="520" spans="1:12">
      <c r="A520" s="278" t="s">
        <v>200</v>
      </c>
      <c r="B520" s="262"/>
      <c r="C520" s="262"/>
      <c r="D520" s="262"/>
      <c r="E520" s="263"/>
      <c r="F520" s="279"/>
      <c r="G520" s="280"/>
      <c r="H520" s="264"/>
      <c r="I520" s="279"/>
      <c r="J520" s="264"/>
      <c r="K520" s="1581">
        <v>1.5</v>
      </c>
      <c r="L520" s="266"/>
    </row>
    <row r="521" spans="1:12">
      <c r="A521" s="25" t="s">
        <v>991</v>
      </c>
      <c r="B521" s="26" t="s">
        <v>989</v>
      </c>
      <c r="C521" s="26"/>
      <c r="D521" s="26"/>
      <c r="E521" s="27"/>
      <c r="F521" s="197"/>
      <c r="G521" s="172">
        <f>SF!G52</f>
        <v>94.821839999999995</v>
      </c>
      <c r="H521" s="34"/>
      <c r="I521" s="172">
        <f>SF!I52</f>
        <v>785.12483520000001</v>
      </c>
      <c r="J521" s="89"/>
      <c r="K521" s="511">
        <v>1.5</v>
      </c>
      <c r="L521" s="266"/>
    </row>
    <row r="522" spans="1:12">
      <c r="A522" s="25" t="s">
        <v>994</v>
      </c>
      <c r="B522" s="26" t="s">
        <v>996</v>
      </c>
      <c r="C522" s="26"/>
      <c r="D522" s="26"/>
      <c r="E522" s="27"/>
      <c r="F522" s="197"/>
      <c r="G522" s="172">
        <f>SF!G56</f>
        <v>4.5540000000000003</v>
      </c>
      <c r="H522" s="34"/>
      <c r="I522" s="172">
        <f>SF!I56</f>
        <v>37.70712000000001</v>
      </c>
      <c r="J522" s="89"/>
      <c r="K522" s="433">
        <v>1.5</v>
      </c>
      <c r="L522" s="266"/>
    </row>
    <row r="523" spans="1:12">
      <c r="A523" s="25" t="s">
        <v>217</v>
      </c>
      <c r="B523" s="26" t="s">
        <v>211</v>
      </c>
      <c r="C523" s="26"/>
      <c r="D523" s="26"/>
      <c r="E523" s="27"/>
      <c r="F523" s="197"/>
      <c r="G523" s="196">
        <f>SF!G58</f>
        <v>26.798532263701709</v>
      </c>
      <c r="H523" s="199"/>
      <c r="I523" s="172">
        <f>SF!I58</f>
        <v>147.28381289471153</v>
      </c>
      <c r="J523" s="195"/>
      <c r="K523" s="433">
        <v>1.5</v>
      </c>
      <c r="L523" s="266"/>
    </row>
    <row r="524" spans="1:12">
      <c r="A524" s="278" t="s">
        <v>1817</v>
      </c>
      <c r="B524" s="262"/>
      <c r="C524" s="262"/>
      <c r="D524" s="262"/>
      <c r="E524" s="263"/>
      <c r="F524" s="279"/>
      <c r="G524" s="280"/>
      <c r="H524" s="264"/>
      <c r="I524" s="279"/>
      <c r="J524" s="264"/>
      <c r="K524" s="1582">
        <v>0.44999999999999996</v>
      </c>
      <c r="L524" s="266"/>
    </row>
    <row r="525" spans="1:12">
      <c r="A525" s="25" t="s">
        <v>997</v>
      </c>
      <c r="B525" s="26" t="s">
        <v>988</v>
      </c>
      <c r="C525" s="26"/>
      <c r="D525" s="26"/>
      <c r="E525" s="27"/>
      <c r="F525" s="197"/>
      <c r="G525" s="211"/>
      <c r="H525" s="172">
        <f>SF!H67</f>
        <v>47.410919999999997</v>
      </c>
      <c r="I525" s="197"/>
      <c r="J525" s="172">
        <f>SF!J67</f>
        <v>433.10062959257624</v>
      </c>
      <c r="K525" s="511">
        <v>0.44999999999999996</v>
      </c>
      <c r="L525" s="266"/>
    </row>
    <row r="526" spans="1:12">
      <c r="A526" s="25" t="s">
        <v>998</v>
      </c>
      <c r="B526" s="26" t="s">
        <v>989</v>
      </c>
      <c r="C526" s="26"/>
      <c r="D526" s="26"/>
      <c r="E526" s="27"/>
      <c r="F526" s="197"/>
      <c r="G526" s="211"/>
      <c r="H526" s="172">
        <f>SF!H68</f>
        <v>47.410919999999997</v>
      </c>
      <c r="I526" s="197"/>
      <c r="J526" s="172">
        <f>SF!J68</f>
        <v>433.10062959257624</v>
      </c>
      <c r="K526" s="433">
        <v>0.44999999999999996</v>
      </c>
      <c r="L526" s="266"/>
    </row>
    <row r="527" spans="1:12">
      <c r="A527" s="25" t="s">
        <v>1004</v>
      </c>
      <c r="B527" s="26" t="s">
        <v>1000</v>
      </c>
      <c r="C527" s="26"/>
      <c r="D527" s="26"/>
      <c r="E527" s="27"/>
      <c r="F527" s="197"/>
      <c r="G527" s="211"/>
      <c r="H527" s="172">
        <f>SF!H72</f>
        <v>10.555984799999999</v>
      </c>
      <c r="I527" s="197"/>
      <c r="J527" s="172">
        <f>SF!J72</f>
        <v>115.74637333199999</v>
      </c>
      <c r="K527" s="433">
        <v>0.09</v>
      </c>
      <c r="L527" s="266"/>
    </row>
    <row r="528" spans="1:12">
      <c r="A528" s="25" t="s">
        <v>1005</v>
      </c>
      <c r="B528" s="26" t="s">
        <v>1001</v>
      </c>
      <c r="C528" s="26"/>
      <c r="D528" s="26"/>
      <c r="E528" s="27"/>
      <c r="F528" s="197"/>
      <c r="G528" s="211"/>
      <c r="H528" s="172">
        <f>SF!H73</f>
        <v>12.18002091428572</v>
      </c>
      <c r="I528" s="197"/>
      <c r="J528" s="172">
        <f>SF!J73</f>
        <v>133.55392932514292</v>
      </c>
      <c r="K528" s="433">
        <v>0.09</v>
      </c>
      <c r="L528" s="266"/>
    </row>
    <row r="529" spans="1:12">
      <c r="A529" s="25" t="s">
        <v>1006</v>
      </c>
      <c r="B529" s="26" t="s">
        <v>211</v>
      </c>
      <c r="C529" s="26"/>
      <c r="D529" s="26"/>
      <c r="E529" s="27"/>
      <c r="F529" s="197"/>
      <c r="G529" s="195"/>
      <c r="H529" s="172">
        <f>SF!H78</f>
        <v>26.798532263701709</v>
      </c>
      <c r="I529" s="195"/>
      <c r="J529" s="172">
        <f>SF!J78</f>
        <v>147.28381289471153</v>
      </c>
      <c r="K529" s="433">
        <v>0.44999999999999996</v>
      </c>
      <c r="L529" s="266"/>
    </row>
    <row r="530" spans="1:12">
      <c r="A530" s="990" t="s">
        <v>204</v>
      </c>
      <c r="B530" s="661"/>
      <c r="C530" s="661"/>
      <c r="D530" s="661"/>
      <c r="E530" s="584"/>
      <c r="F530" s="991"/>
      <c r="G530" s="992"/>
      <c r="H530" s="370"/>
      <c r="I530" s="991"/>
      <c r="J530" s="370"/>
      <c r="K530" s="1583">
        <v>0.44999999999999996</v>
      </c>
      <c r="L530" s="266"/>
    </row>
    <row r="531" spans="1:12">
      <c r="A531" s="25" t="s">
        <v>1007</v>
      </c>
      <c r="B531" s="26" t="s">
        <v>988</v>
      </c>
      <c r="C531" s="26"/>
      <c r="D531" s="26"/>
      <c r="E531" s="27"/>
      <c r="F531" s="196">
        <f>SF!F87</f>
        <v>31.607279999999999</v>
      </c>
      <c r="G531" s="211"/>
      <c r="H531" s="34"/>
      <c r="I531" s="196">
        <f>SF!I87</f>
        <v>-15.140358000000003</v>
      </c>
      <c r="J531" s="196">
        <f>SF!J87</f>
        <v>0</v>
      </c>
      <c r="K531" s="433">
        <v>0.44999999999999996</v>
      </c>
      <c r="L531" s="266"/>
    </row>
    <row r="532" spans="1:12">
      <c r="A532" s="25" t="s">
        <v>1008</v>
      </c>
      <c r="B532" s="26" t="s">
        <v>989</v>
      </c>
      <c r="C532" s="26"/>
      <c r="D532" s="26"/>
      <c r="E532" s="27"/>
      <c r="F532" s="196">
        <f>SF!F88</f>
        <v>31.607279999999999</v>
      </c>
      <c r="G532" s="211"/>
      <c r="H532" s="34"/>
      <c r="I532" s="196">
        <f>SF!I88</f>
        <v>15.140358000000003</v>
      </c>
      <c r="J532" s="196">
        <f>SF!J88</f>
        <v>0</v>
      </c>
      <c r="K532" s="511">
        <v>0.44999999999999996</v>
      </c>
      <c r="L532" s="266"/>
    </row>
    <row r="533" spans="1:12">
      <c r="A533" s="25" t="s">
        <v>1009</v>
      </c>
      <c r="B533" s="26" t="s">
        <v>1000</v>
      </c>
      <c r="C533" s="26"/>
      <c r="D533" s="26"/>
      <c r="E533" s="27"/>
      <c r="F533" s="196">
        <f>SF!F92</f>
        <v>7.0373232000000003</v>
      </c>
      <c r="G533" s="211"/>
      <c r="H533" s="34"/>
      <c r="I533" s="196">
        <f>SF!I92</f>
        <v>-3.5186616000000002</v>
      </c>
      <c r="J533" s="196">
        <f>SF!J92</f>
        <v>-1.0914190890810807</v>
      </c>
      <c r="K533" s="511">
        <v>0.09</v>
      </c>
      <c r="L533" s="266"/>
    </row>
    <row r="534" spans="1:12">
      <c r="A534" s="25" t="s">
        <v>1010</v>
      </c>
      <c r="B534" s="26" t="s">
        <v>1001</v>
      </c>
      <c r="C534" s="26"/>
      <c r="D534" s="26"/>
      <c r="E534" s="27"/>
      <c r="F534" s="196">
        <f>SF!F93</f>
        <v>8.1200139428571472</v>
      </c>
      <c r="G534" s="211"/>
      <c r="H534" s="34"/>
      <c r="I534" s="196">
        <f>SF!I93</f>
        <v>4.0600069714285736</v>
      </c>
      <c r="J534" s="196">
        <f>SF!J93</f>
        <v>-1.259333693930502</v>
      </c>
      <c r="K534" s="511">
        <v>0.09</v>
      </c>
      <c r="L534" s="266"/>
    </row>
    <row r="535" spans="1:12">
      <c r="A535" s="25" t="s">
        <v>1011</v>
      </c>
      <c r="B535" s="26" t="s">
        <v>211</v>
      </c>
      <c r="C535" s="26"/>
      <c r="D535" s="26"/>
      <c r="E535" s="27"/>
      <c r="F535" s="196">
        <f>SF!F98</f>
        <v>17.865688175801139</v>
      </c>
      <c r="G535" s="211"/>
      <c r="H535" s="197"/>
      <c r="I535" s="196">
        <f>SF!I98</f>
        <v>0</v>
      </c>
      <c r="J535" s="196">
        <f>SF!J98</f>
        <v>0</v>
      </c>
      <c r="K535" s="511">
        <v>0.44999999999999996</v>
      </c>
      <c r="L535" s="266"/>
    </row>
    <row r="536" spans="1:12">
      <c r="A536" s="253"/>
      <c r="B536" s="15"/>
      <c r="C536" s="15"/>
      <c r="D536" s="15"/>
      <c r="E536" s="22"/>
      <c r="F536" s="212"/>
      <c r="G536" s="213"/>
      <c r="H536" s="198"/>
      <c r="I536" s="198"/>
      <c r="J536" s="58"/>
      <c r="K536" s="208"/>
      <c r="L536" s="293"/>
    </row>
    <row r="537" spans="1:12">
      <c r="A537" s="46"/>
      <c r="B537" s="46"/>
      <c r="C537" s="46"/>
      <c r="D537" s="46"/>
      <c r="E537" s="46"/>
      <c r="F537" s="46"/>
      <c r="G537" s="46"/>
      <c r="H537" s="46"/>
      <c r="I537" s="46"/>
      <c r="J537" s="46"/>
      <c r="K537" s="87"/>
      <c r="L537" s="293"/>
    </row>
    <row r="538" spans="1:12">
      <c r="A538" s="220" t="s">
        <v>73</v>
      </c>
      <c r="B538" s="220" t="s">
        <v>74</v>
      </c>
      <c r="C538" s="200"/>
      <c r="D538" s="200"/>
      <c r="E538" s="217"/>
      <c r="F538" s="1636" t="s">
        <v>72</v>
      </c>
      <c r="G538" s="1637"/>
      <c r="H538" s="1637"/>
      <c r="I538" s="1637"/>
      <c r="J538" s="1638"/>
      <c r="K538" s="87"/>
      <c r="L538" s="293"/>
    </row>
    <row r="539" spans="1:12" ht="18">
      <c r="A539" s="221"/>
      <c r="B539" s="221"/>
      <c r="C539" s="201"/>
      <c r="D539" s="201"/>
      <c r="E539" s="219"/>
      <c r="F539" s="223" t="s">
        <v>23</v>
      </c>
      <c r="G539" s="223" t="s">
        <v>87</v>
      </c>
      <c r="H539" s="223" t="s">
        <v>212</v>
      </c>
      <c r="I539" s="223" t="s">
        <v>80</v>
      </c>
      <c r="J539" s="223" t="s">
        <v>81</v>
      </c>
      <c r="K539" s="87"/>
      <c r="L539" s="293"/>
    </row>
    <row r="540" spans="1:12">
      <c r="A540" s="222"/>
      <c r="B540" s="222"/>
      <c r="C540" s="203"/>
      <c r="D540" s="203"/>
      <c r="E540" s="218"/>
      <c r="F540" s="204" t="s">
        <v>34</v>
      </c>
      <c r="G540" s="204" t="s">
        <v>34</v>
      </c>
      <c r="H540" s="203" t="s">
        <v>34</v>
      </c>
      <c r="I540" s="204" t="s">
        <v>77</v>
      </c>
      <c r="J540" s="204" t="s">
        <v>77</v>
      </c>
      <c r="K540" s="87"/>
      <c r="L540" s="293"/>
    </row>
    <row r="541" spans="1:12">
      <c r="A541" s="202"/>
      <c r="B541" s="200"/>
      <c r="C541" s="200"/>
      <c r="D541" s="200"/>
      <c r="E541" s="217"/>
      <c r="F541" s="205"/>
      <c r="G541" s="205"/>
      <c r="H541" s="201"/>
      <c r="I541" s="205"/>
      <c r="J541" s="205"/>
      <c r="K541" s="87"/>
      <c r="L541" s="293"/>
    </row>
    <row r="542" spans="1:12">
      <c r="A542" s="205" t="str">
        <f>A507</f>
        <v>LC-19</v>
      </c>
      <c r="B542" s="201" t="str">
        <f>B507</f>
        <v>LC-3 + Seismic Sx=1,Sz=0.3,Sy=0.3</v>
      </c>
      <c r="C542" s="201"/>
      <c r="D542" s="201"/>
      <c r="E542" s="219"/>
      <c r="F542" s="205">
        <f>SUMPRODUCT(F510:F535,$K$510:$K$535)</f>
        <v>1415.2329530469799</v>
      </c>
      <c r="G542" s="219">
        <f>SUMPRODUCT(G510:G535,$K$510:$K$535)</f>
        <v>189.26155839555253</v>
      </c>
      <c r="H542" s="219">
        <f>SUMPRODUCT(H510:H535,$K$510:$K$535)</f>
        <v>56.775408032951475</v>
      </c>
      <c r="I542" s="219">
        <f>SUMPRODUCT(I510:I535,$K$510:$K$535)</f>
        <v>1462.1682646540671</v>
      </c>
      <c r="J542" s="219">
        <f>SUMPRODUCT(J510:J535,$K$510:$K$535)</f>
        <v>473.94049603014474</v>
      </c>
      <c r="K542" s="87"/>
      <c r="L542" s="293"/>
    </row>
    <row r="543" spans="1:12">
      <c r="A543" s="204"/>
      <c r="B543" s="203"/>
      <c r="C543" s="203"/>
      <c r="D543" s="203"/>
      <c r="E543" s="218"/>
      <c r="F543" s="204"/>
      <c r="G543" s="204"/>
      <c r="H543" s="203"/>
      <c r="I543" s="204"/>
      <c r="J543" s="204"/>
      <c r="K543" s="87"/>
      <c r="L543" s="293"/>
    </row>
    <row r="546" spans="1:12">
      <c r="A546" s="811" t="str">
        <f>K546</f>
        <v>LC-20</v>
      </c>
      <c r="B546" s="31" t="str">
        <f>VLOOKUP(A546,LC_DEF_2!A45:B92,2,FALSE)</f>
        <v>LC-3 + Seismic Sx=0.3,Sz=1,Sy=0.3</v>
      </c>
      <c r="C546" s="31"/>
      <c r="D546" s="31"/>
      <c r="E546" s="32"/>
      <c r="F546" s="1599" t="s">
        <v>742</v>
      </c>
      <c r="G546" s="1635"/>
      <c r="H546" s="1635"/>
      <c r="I546" s="1635"/>
      <c r="J546" s="1600"/>
      <c r="K546" s="1580" t="s">
        <v>669</v>
      </c>
      <c r="L546" s="293"/>
    </row>
    <row r="547" spans="1:12" ht="18">
      <c r="A547" s="25" t="s">
        <v>73</v>
      </c>
      <c r="B547" s="26" t="s">
        <v>74</v>
      </c>
      <c r="C547" s="26"/>
      <c r="D547" s="26"/>
      <c r="E547" s="27"/>
      <c r="F547" s="58" t="s">
        <v>23</v>
      </c>
      <c r="G547" s="58" t="s">
        <v>87</v>
      </c>
      <c r="H547" s="58" t="s">
        <v>212</v>
      </c>
      <c r="I547" s="58" t="s">
        <v>80</v>
      </c>
      <c r="J547" s="58" t="s">
        <v>81</v>
      </c>
      <c r="K547" s="433"/>
      <c r="L547" s="293"/>
    </row>
    <row r="548" spans="1:12">
      <c r="A548" s="25"/>
      <c r="B548" s="26"/>
      <c r="C548" s="26"/>
      <c r="D548" s="26"/>
      <c r="E548" s="27"/>
      <c r="F548" s="36" t="s">
        <v>34</v>
      </c>
      <c r="G548" s="36" t="s">
        <v>34</v>
      </c>
      <c r="H548" s="36" t="s">
        <v>34</v>
      </c>
      <c r="I548" s="36" t="s">
        <v>77</v>
      </c>
      <c r="J548" s="36" t="s">
        <v>77</v>
      </c>
      <c r="K548" s="433"/>
      <c r="L548" s="293"/>
    </row>
    <row r="549" spans="1:12">
      <c r="A549" s="25" t="s">
        <v>88</v>
      </c>
      <c r="B549" s="26" t="s">
        <v>75</v>
      </c>
      <c r="C549" s="26"/>
      <c r="D549" s="26"/>
      <c r="E549" s="27"/>
      <c r="F549" s="195">
        <f>SF!F14</f>
        <v>365.08803866482532</v>
      </c>
      <c r="G549" s="210"/>
      <c r="H549" s="34"/>
      <c r="I549" s="195">
        <f>SF!I14</f>
        <v>0</v>
      </c>
      <c r="J549" s="195">
        <f>SF!J14</f>
        <v>0</v>
      </c>
      <c r="K549" s="511">
        <v>1.35</v>
      </c>
      <c r="L549" s="266"/>
    </row>
    <row r="550" spans="1:12">
      <c r="A550" s="25" t="s">
        <v>90</v>
      </c>
      <c r="B550" s="26" t="s">
        <v>249</v>
      </c>
      <c r="C550" s="26"/>
      <c r="D550" s="26"/>
      <c r="E550" s="27"/>
      <c r="F550" s="195">
        <f>SF!F16</f>
        <v>36.639026644707663</v>
      </c>
      <c r="G550" s="210"/>
      <c r="H550" s="34"/>
      <c r="I550" s="195">
        <f>SF!I16</f>
        <v>0</v>
      </c>
      <c r="J550" s="195">
        <f>SF!J16</f>
        <v>0</v>
      </c>
      <c r="K550" s="511">
        <v>1.35</v>
      </c>
      <c r="L550" s="266"/>
    </row>
    <row r="551" spans="1:12">
      <c r="A551" s="25" t="s">
        <v>250</v>
      </c>
      <c r="B551" s="26" t="s">
        <v>967</v>
      </c>
      <c r="C551" s="26"/>
      <c r="D551" s="26"/>
      <c r="E551" s="27"/>
      <c r="F551" s="195">
        <f>SF!F19</f>
        <v>230</v>
      </c>
      <c r="G551" s="27"/>
      <c r="H551" s="34"/>
      <c r="I551" s="195">
        <f>SF!I19</f>
        <v>-115</v>
      </c>
      <c r="J551" s="195">
        <f>SF!J19</f>
        <v>0</v>
      </c>
      <c r="K551" s="433">
        <v>1.35</v>
      </c>
      <c r="L551" s="11"/>
    </row>
    <row r="552" spans="1:12">
      <c r="A552" s="25" t="s">
        <v>251</v>
      </c>
      <c r="B552" s="26" t="s">
        <v>968</v>
      </c>
      <c r="C552" s="26"/>
      <c r="D552" s="26"/>
      <c r="E552" s="27"/>
      <c r="F552" s="195">
        <f>SF!F20</f>
        <v>20.660000000000004</v>
      </c>
      <c r="G552" s="27"/>
      <c r="H552" s="34"/>
      <c r="I552" s="195">
        <f>SF!I20</f>
        <v>-10.330000000000002</v>
      </c>
      <c r="J552" s="195">
        <f>SF!J20</f>
        <v>0</v>
      </c>
      <c r="K552" s="433">
        <v>1.35</v>
      </c>
      <c r="L552" s="11"/>
    </row>
    <row r="553" spans="1:12">
      <c r="A553" s="25" t="s">
        <v>97</v>
      </c>
      <c r="B553" s="26" t="s">
        <v>969</v>
      </c>
      <c r="C553" s="26"/>
      <c r="D553" s="26"/>
      <c r="E553" s="27"/>
      <c r="F553" s="195">
        <f>SF!F21</f>
        <v>42</v>
      </c>
      <c r="G553" s="27"/>
      <c r="H553" s="34"/>
      <c r="I553" s="195">
        <f>SF!I21</f>
        <v>-14.858499999999999</v>
      </c>
      <c r="J553" s="195">
        <f>SF!J21</f>
        <v>0</v>
      </c>
      <c r="K553" s="433">
        <v>1.35</v>
      </c>
      <c r="L553" s="11"/>
    </row>
    <row r="554" spans="1:12">
      <c r="A554" s="25" t="s">
        <v>250</v>
      </c>
      <c r="B554" s="26" t="s">
        <v>970</v>
      </c>
      <c r="C554" s="26"/>
      <c r="D554" s="26"/>
      <c r="E554" s="27"/>
      <c r="F554" s="195">
        <f>SF!F23</f>
        <v>230</v>
      </c>
      <c r="G554" s="27"/>
      <c r="H554" s="34"/>
      <c r="I554" s="195">
        <f>SF!I23</f>
        <v>115</v>
      </c>
      <c r="J554" s="195">
        <f>SF!J23</f>
        <v>0</v>
      </c>
      <c r="K554" s="433">
        <v>1.35</v>
      </c>
      <c r="L554" s="11"/>
    </row>
    <row r="555" spans="1:12">
      <c r="A555" s="25" t="s">
        <v>251</v>
      </c>
      <c r="B555" s="26" t="s">
        <v>971</v>
      </c>
      <c r="C555" s="26"/>
      <c r="D555" s="26"/>
      <c r="E555" s="27"/>
      <c r="F555" s="195">
        <f>SF!F24</f>
        <v>20.660000000000004</v>
      </c>
      <c r="G555" s="27"/>
      <c r="H555" s="34"/>
      <c r="I555" s="195">
        <f>SF!I24</f>
        <v>10.330000000000002</v>
      </c>
      <c r="J555" s="195">
        <f>SF!J24</f>
        <v>0</v>
      </c>
      <c r="K555" s="433">
        <v>1.35</v>
      </c>
      <c r="L555" s="266"/>
    </row>
    <row r="556" spans="1:12">
      <c r="A556" s="25" t="s">
        <v>97</v>
      </c>
      <c r="B556" s="26" t="s">
        <v>972</v>
      </c>
      <c r="C556" s="26"/>
      <c r="D556" s="26"/>
      <c r="E556" s="27"/>
      <c r="F556" s="195">
        <f>SF!F25</f>
        <v>42</v>
      </c>
      <c r="G556" s="27"/>
      <c r="H556" s="34"/>
      <c r="I556" s="195">
        <f>SF!I25</f>
        <v>14.858499999999999</v>
      </c>
      <c r="J556" s="195">
        <f>SF!J25</f>
        <v>0</v>
      </c>
      <c r="K556" s="511">
        <v>1.75</v>
      </c>
      <c r="L556" s="11"/>
    </row>
    <row r="557" spans="1:12">
      <c r="A557" s="25" t="s">
        <v>976</v>
      </c>
      <c r="B557" s="26" t="s">
        <v>978</v>
      </c>
      <c r="C557" s="26"/>
      <c r="D557" s="26"/>
      <c r="E557" s="27"/>
      <c r="F557" s="195">
        <f>SF!F29</f>
        <v>65.160399999999996</v>
      </c>
      <c r="G557" s="27"/>
      <c r="H557" s="34"/>
      <c r="I557" s="195">
        <f>SF!I29</f>
        <v>-32.580199999999998</v>
      </c>
      <c r="J557" s="195">
        <f>SF!J29</f>
        <v>-10.105732306306301</v>
      </c>
      <c r="K557" s="511">
        <v>0.2</v>
      </c>
      <c r="L557" s="11"/>
    </row>
    <row r="558" spans="1:12">
      <c r="A558" s="25" t="s">
        <v>977</v>
      </c>
      <c r="B558" s="26" t="s">
        <v>979</v>
      </c>
      <c r="C558" s="26"/>
      <c r="D558" s="26"/>
      <c r="E558" s="27"/>
      <c r="F558" s="195">
        <f>SF!F30</f>
        <v>75.185314285714313</v>
      </c>
      <c r="G558" s="27"/>
      <c r="H558" s="34"/>
      <c r="I558" s="195">
        <f>SF!I30</f>
        <v>37.592657142857156</v>
      </c>
      <c r="J558" s="195">
        <f>SF!J30</f>
        <v>-11.660497166023164</v>
      </c>
      <c r="K558" s="511">
        <v>0.2</v>
      </c>
      <c r="L558" s="266"/>
    </row>
    <row r="559" spans="1:12">
      <c r="A559" s="278" t="s">
        <v>200</v>
      </c>
      <c r="B559" s="262"/>
      <c r="C559" s="262"/>
      <c r="D559" s="262"/>
      <c r="E559" s="263"/>
      <c r="F559" s="279"/>
      <c r="G559" s="280"/>
      <c r="H559" s="264"/>
      <c r="I559" s="279"/>
      <c r="J559" s="264"/>
      <c r="K559" s="1581">
        <v>1.5</v>
      </c>
      <c r="L559" s="266"/>
    </row>
    <row r="560" spans="1:12">
      <c r="A560" s="25" t="s">
        <v>991</v>
      </c>
      <c r="B560" s="26" t="s">
        <v>989</v>
      </c>
      <c r="C560" s="26"/>
      <c r="D560" s="26"/>
      <c r="E560" s="27"/>
      <c r="F560" s="197"/>
      <c r="G560" s="172">
        <f>SF!G52</f>
        <v>94.821839999999995</v>
      </c>
      <c r="H560" s="34"/>
      <c r="I560" s="172">
        <f>SF!I52</f>
        <v>785.12483520000001</v>
      </c>
      <c r="J560" s="89"/>
      <c r="K560" s="511">
        <v>0.44999999999999996</v>
      </c>
      <c r="L560" s="266"/>
    </row>
    <row r="561" spans="1:12">
      <c r="A561" s="25" t="s">
        <v>994</v>
      </c>
      <c r="B561" s="26" t="s">
        <v>996</v>
      </c>
      <c r="C561" s="26"/>
      <c r="D561" s="26"/>
      <c r="E561" s="27"/>
      <c r="F561" s="197"/>
      <c r="G561" s="172">
        <f>SF!G56</f>
        <v>4.5540000000000003</v>
      </c>
      <c r="H561" s="34"/>
      <c r="I561" s="172">
        <f>SF!I56</f>
        <v>37.70712000000001</v>
      </c>
      <c r="J561" s="89"/>
      <c r="K561" s="433">
        <v>1.5</v>
      </c>
      <c r="L561" s="266"/>
    </row>
    <row r="562" spans="1:12">
      <c r="A562" s="25" t="s">
        <v>217</v>
      </c>
      <c r="B562" s="26" t="s">
        <v>211</v>
      </c>
      <c r="C562" s="26"/>
      <c r="D562" s="26"/>
      <c r="E562" s="27"/>
      <c r="F562" s="197"/>
      <c r="G562" s="196">
        <f>SF!G58</f>
        <v>26.798532263701709</v>
      </c>
      <c r="H562" s="199"/>
      <c r="I562" s="172">
        <f>SF!I58</f>
        <v>147.28381289471153</v>
      </c>
      <c r="J562" s="195"/>
      <c r="K562" s="433">
        <v>0.44999999999999996</v>
      </c>
      <c r="L562" s="266"/>
    </row>
    <row r="563" spans="1:12">
      <c r="A563" s="278" t="s">
        <v>1817</v>
      </c>
      <c r="B563" s="262"/>
      <c r="C563" s="262"/>
      <c r="D563" s="262"/>
      <c r="E563" s="263"/>
      <c r="F563" s="279"/>
      <c r="G563" s="280"/>
      <c r="H563" s="264"/>
      <c r="I563" s="279"/>
      <c r="J563" s="264"/>
      <c r="K563" s="1582">
        <v>1.5</v>
      </c>
      <c r="L563" s="266"/>
    </row>
    <row r="564" spans="1:12">
      <c r="A564" s="25" t="s">
        <v>997</v>
      </c>
      <c r="B564" s="26" t="s">
        <v>988</v>
      </c>
      <c r="C564" s="26"/>
      <c r="D564" s="26"/>
      <c r="E564" s="27"/>
      <c r="F564" s="197"/>
      <c r="G564" s="211"/>
      <c r="H564" s="172">
        <f>SF!H67</f>
        <v>47.410919999999997</v>
      </c>
      <c r="I564" s="197"/>
      <c r="J564" s="172">
        <f>SF!J67</f>
        <v>433.10062959257624</v>
      </c>
      <c r="K564" s="511">
        <v>1.5</v>
      </c>
      <c r="L564" s="266"/>
    </row>
    <row r="565" spans="1:12">
      <c r="A565" s="25" t="s">
        <v>998</v>
      </c>
      <c r="B565" s="26" t="s">
        <v>989</v>
      </c>
      <c r="C565" s="26"/>
      <c r="D565" s="26"/>
      <c r="E565" s="27"/>
      <c r="F565" s="197"/>
      <c r="G565" s="211"/>
      <c r="H565" s="172">
        <f>SF!H68</f>
        <v>47.410919999999997</v>
      </c>
      <c r="I565" s="197"/>
      <c r="J565" s="172">
        <f>SF!J68</f>
        <v>433.10062959257624</v>
      </c>
      <c r="K565" s="433">
        <v>1.5</v>
      </c>
      <c r="L565" s="266"/>
    </row>
    <row r="566" spans="1:12">
      <c r="A566" s="25" t="s">
        <v>1004</v>
      </c>
      <c r="B566" s="26" t="s">
        <v>1000</v>
      </c>
      <c r="C566" s="26"/>
      <c r="D566" s="26"/>
      <c r="E566" s="27"/>
      <c r="F566" s="197"/>
      <c r="G566" s="211"/>
      <c r="H566" s="172">
        <f>SF!H72</f>
        <v>10.555984799999999</v>
      </c>
      <c r="I566" s="197"/>
      <c r="J566" s="172">
        <f>SF!J72</f>
        <v>115.74637333199999</v>
      </c>
      <c r="K566" s="433">
        <v>0.30000000000000004</v>
      </c>
      <c r="L566" s="266"/>
    </row>
    <row r="567" spans="1:12">
      <c r="A567" s="25" t="s">
        <v>1005</v>
      </c>
      <c r="B567" s="26" t="s">
        <v>1001</v>
      </c>
      <c r="C567" s="26"/>
      <c r="D567" s="26"/>
      <c r="E567" s="27"/>
      <c r="F567" s="197"/>
      <c r="G567" s="211"/>
      <c r="H567" s="172">
        <f>SF!H73</f>
        <v>12.18002091428572</v>
      </c>
      <c r="I567" s="197"/>
      <c r="J567" s="172">
        <f>SF!J73</f>
        <v>133.55392932514292</v>
      </c>
      <c r="K567" s="433">
        <v>0.30000000000000004</v>
      </c>
      <c r="L567" s="266"/>
    </row>
    <row r="568" spans="1:12">
      <c r="A568" s="25" t="s">
        <v>1006</v>
      </c>
      <c r="B568" s="26" t="s">
        <v>211</v>
      </c>
      <c r="C568" s="26"/>
      <c r="D568" s="26"/>
      <c r="E568" s="27"/>
      <c r="F568" s="197"/>
      <c r="G568" s="195"/>
      <c r="H568" s="172">
        <f>SF!H78</f>
        <v>26.798532263701709</v>
      </c>
      <c r="I568" s="195"/>
      <c r="J568" s="172">
        <f>SF!J78</f>
        <v>147.28381289471153</v>
      </c>
      <c r="K568" s="433">
        <v>1.5</v>
      </c>
      <c r="L568" s="266"/>
    </row>
    <row r="569" spans="1:12">
      <c r="A569" s="990" t="s">
        <v>204</v>
      </c>
      <c r="B569" s="661"/>
      <c r="C569" s="661"/>
      <c r="D569" s="661"/>
      <c r="E569" s="584"/>
      <c r="F569" s="991"/>
      <c r="G569" s="992"/>
      <c r="H569" s="370"/>
      <c r="I569" s="991"/>
      <c r="J569" s="370"/>
      <c r="K569" s="1583">
        <v>0.44999999999999996</v>
      </c>
      <c r="L569" s="266"/>
    </row>
    <row r="570" spans="1:12">
      <c r="A570" s="25" t="s">
        <v>1007</v>
      </c>
      <c r="B570" s="26" t="s">
        <v>988</v>
      </c>
      <c r="C570" s="26"/>
      <c r="D570" s="26"/>
      <c r="E570" s="27"/>
      <c r="F570" s="196">
        <f>SF!F87</f>
        <v>31.607279999999999</v>
      </c>
      <c r="G570" s="211"/>
      <c r="H570" s="34"/>
      <c r="I570" s="196">
        <f>SF!I87</f>
        <v>-15.140358000000003</v>
      </c>
      <c r="J570" s="196">
        <f>SF!J87</f>
        <v>0</v>
      </c>
      <c r="K570" s="433">
        <v>0.44999999999999996</v>
      </c>
      <c r="L570" s="266"/>
    </row>
    <row r="571" spans="1:12">
      <c r="A571" s="25" t="s">
        <v>1008</v>
      </c>
      <c r="B571" s="26" t="s">
        <v>989</v>
      </c>
      <c r="C571" s="26"/>
      <c r="D571" s="26"/>
      <c r="E571" s="27"/>
      <c r="F571" s="196">
        <f>SF!F88</f>
        <v>31.607279999999999</v>
      </c>
      <c r="G571" s="211"/>
      <c r="H571" s="34"/>
      <c r="I571" s="196">
        <f>SF!I88</f>
        <v>15.140358000000003</v>
      </c>
      <c r="J571" s="196">
        <f>SF!J88</f>
        <v>0</v>
      </c>
      <c r="K571" s="511">
        <v>0.44999999999999996</v>
      </c>
      <c r="L571" s="266"/>
    </row>
    <row r="572" spans="1:12">
      <c r="A572" s="25" t="s">
        <v>1009</v>
      </c>
      <c r="B572" s="26" t="s">
        <v>1000</v>
      </c>
      <c r="C572" s="26"/>
      <c r="D572" s="26"/>
      <c r="E572" s="27"/>
      <c r="F572" s="196">
        <f>SF!F92</f>
        <v>7.0373232000000003</v>
      </c>
      <c r="G572" s="211"/>
      <c r="H572" s="34"/>
      <c r="I572" s="196">
        <f>SF!I92</f>
        <v>-3.5186616000000002</v>
      </c>
      <c r="J572" s="196">
        <f>SF!J92</f>
        <v>-1.0914190890810807</v>
      </c>
      <c r="K572" s="511">
        <v>0.09</v>
      </c>
      <c r="L572" s="266"/>
    </row>
    <row r="573" spans="1:12">
      <c r="A573" s="25" t="s">
        <v>1010</v>
      </c>
      <c r="B573" s="26" t="s">
        <v>1001</v>
      </c>
      <c r="C573" s="26"/>
      <c r="D573" s="26"/>
      <c r="E573" s="27"/>
      <c r="F573" s="196">
        <f>SF!F93</f>
        <v>8.1200139428571472</v>
      </c>
      <c r="G573" s="211"/>
      <c r="H573" s="34"/>
      <c r="I573" s="196">
        <f>SF!I93</f>
        <v>4.0600069714285736</v>
      </c>
      <c r="J573" s="196">
        <f>SF!J93</f>
        <v>-1.259333693930502</v>
      </c>
      <c r="K573" s="511">
        <v>0.09</v>
      </c>
      <c r="L573" s="266"/>
    </row>
    <row r="574" spans="1:12">
      <c r="A574" s="25" t="s">
        <v>1011</v>
      </c>
      <c r="B574" s="26" t="s">
        <v>211</v>
      </c>
      <c r="C574" s="26"/>
      <c r="D574" s="26"/>
      <c r="E574" s="27"/>
      <c r="F574" s="196">
        <f>SF!F98</f>
        <v>17.865688175801139</v>
      </c>
      <c r="G574" s="211"/>
      <c r="H574" s="197"/>
      <c r="I574" s="196">
        <f>SF!I98</f>
        <v>0</v>
      </c>
      <c r="J574" s="196">
        <f>SF!J98</f>
        <v>0</v>
      </c>
      <c r="K574" s="511">
        <v>0.44999999999999996</v>
      </c>
      <c r="L574" s="266"/>
    </row>
    <row r="575" spans="1:12">
      <c r="A575" s="253"/>
      <c r="B575" s="15"/>
      <c r="C575" s="15"/>
      <c r="D575" s="15"/>
      <c r="E575" s="22"/>
      <c r="F575" s="212"/>
      <c r="G575" s="213"/>
      <c r="H575" s="198"/>
      <c r="I575" s="198"/>
      <c r="J575" s="58"/>
      <c r="K575" s="208"/>
      <c r="L575" s="293"/>
    </row>
    <row r="576" spans="1:12">
      <c r="A576" s="46"/>
      <c r="B576" s="46"/>
      <c r="C576" s="46"/>
      <c r="D576" s="46"/>
      <c r="E576" s="46"/>
      <c r="F576" s="46"/>
      <c r="G576" s="46"/>
      <c r="H576" s="46"/>
      <c r="I576" s="46"/>
      <c r="J576" s="46"/>
      <c r="K576" s="87"/>
      <c r="L576" s="293"/>
    </row>
    <row r="577" spans="1:12">
      <c r="A577" s="220" t="s">
        <v>73</v>
      </c>
      <c r="B577" s="220" t="s">
        <v>74</v>
      </c>
      <c r="C577" s="200"/>
      <c r="D577" s="200"/>
      <c r="E577" s="217"/>
      <c r="F577" s="1636" t="s">
        <v>72</v>
      </c>
      <c r="G577" s="1637"/>
      <c r="H577" s="1637"/>
      <c r="I577" s="1637"/>
      <c r="J577" s="1638"/>
      <c r="K577" s="87"/>
      <c r="L577" s="293"/>
    </row>
    <row r="578" spans="1:12" ht="18">
      <c r="A578" s="221"/>
      <c r="B578" s="221"/>
      <c r="C578" s="201"/>
      <c r="D578" s="201"/>
      <c r="E578" s="219"/>
      <c r="F578" s="223" t="s">
        <v>23</v>
      </c>
      <c r="G578" s="223" t="s">
        <v>87</v>
      </c>
      <c r="H578" s="223" t="s">
        <v>212</v>
      </c>
      <c r="I578" s="223" t="s">
        <v>80</v>
      </c>
      <c r="J578" s="223" t="s">
        <v>81</v>
      </c>
      <c r="K578" s="87"/>
      <c r="L578" s="293"/>
    </row>
    <row r="579" spans="1:12">
      <c r="A579" s="222"/>
      <c r="B579" s="222"/>
      <c r="C579" s="203"/>
      <c r="D579" s="203"/>
      <c r="E579" s="218"/>
      <c r="F579" s="204" t="s">
        <v>34</v>
      </c>
      <c r="G579" s="204" t="s">
        <v>34</v>
      </c>
      <c r="H579" s="203" t="s">
        <v>34</v>
      </c>
      <c r="I579" s="204" t="s">
        <v>77</v>
      </c>
      <c r="J579" s="204" t="s">
        <v>77</v>
      </c>
      <c r="K579" s="87"/>
      <c r="L579" s="293"/>
    </row>
    <row r="580" spans="1:12">
      <c r="A580" s="202"/>
      <c r="B580" s="200"/>
      <c r="C580" s="200"/>
      <c r="D580" s="200"/>
      <c r="E580" s="217"/>
      <c r="F580" s="205"/>
      <c r="G580" s="205"/>
      <c r="H580" s="201"/>
      <c r="I580" s="205"/>
      <c r="J580" s="205"/>
      <c r="K580" s="87"/>
      <c r="L580" s="293"/>
    </row>
    <row r="581" spans="1:12">
      <c r="A581" s="205" t="str">
        <f>A546</f>
        <v>LC-20</v>
      </c>
      <c r="B581" s="201" t="str">
        <f>B546</f>
        <v>LC-3 + Seismic Sx=0.3,Sz=1,Sy=0.3</v>
      </c>
      <c r="C581" s="201"/>
      <c r="D581" s="201"/>
      <c r="E581" s="219"/>
      <c r="F581" s="205">
        <f>SUMPRODUCT(F549:F574,$K$549:$K$574)</f>
        <v>1415.2329530469799</v>
      </c>
      <c r="G581" s="219">
        <f>SUMPRODUCT(G549:G574,$K$549:$K$574)</f>
        <v>61.560167518665764</v>
      </c>
      <c r="H581" s="219">
        <f>SUMPRODUCT(H549:H574,$K$549:$K$574)</f>
        <v>189.25136010983823</v>
      </c>
      <c r="I581" s="219">
        <f>SUMPRODUCT(I549:I574,$K$549:$K$574)</f>
        <v>483.13918415462018</v>
      </c>
      <c r="J581" s="219">
        <f>SUMPRODUCT(J549:J574,$K$549:$K$574)</f>
        <v>1590.4528852720018</v>
      </c>
      <c r="K581" s="87"/>
      <c r="L581" s="293"/>
    </row>
    <row r="582" spans="1:12">
      <c r="A582" s="204"/>
      <c r="B582" s="203"/>
      <c r="C582" s="203"/>
      <c r="D582" s="203"/>
      <c r="E582" s="218"/>
      <c r="F582" s="204"/>
      <c r="G582" s="204"/>
      <c r="H582" s="203"/>
      <c r="I582" s="204"/>
      <c r="J582" s="204"/>
      <c r="K582" s="87"/>
      <c r="L582" s="293"/>
    </row>
    <row r="585" spans="1:12">
      <c r="A585" s="811" t="str">
        <f>K585</f>
        <v>LC-21</v>
      </c>
      <c r="B585" s="31" t="str">
        <f>VLOOKUP(A585,LC_DEF_2!A45:B92,2,FALSE)</f>
        <v>LC-4 + Seismic Sx=1,Sz=0.3,Sy=-0.3</v>
      </c>
      <c r="C585" s="31"/>
      <c r="D585" s="31"/>
      <c r="E585" s="32"/>
      <c r="F585" s="1599" t="s">
        <v>742</v>
      </c>
      <c r="G585" s="1635"/>
      <c r="H585" s="1635"/>
      <c r="I585" s="1635"/>
      <c r="J585" s="1600"/>
      <c r="K585" s="1580" t="s">
        <v>682</v>
      </c>
      <c r="L585" s="293"/>
    </row>
    <row r="586" spans="1:12" ht="18">
      <c r="A586" s="25" t="s">
        <v>73</v>
      </c>
      <c r="B586" s="26" t="s">
        <v>74</v>
      </c>
      <c r="C586" s="26"/>
      <c r="D586" s="26"/>
      <c r="E586" s="27"/>
      <c r="F586" s="58" t="s">
        <v>23</v>
      </c>
      <c r="G586" s="58" t="s">
        <v>87</v>
      </c>
      <c r="H586" s="58" t="s">
        <v>212</v>
      </c>
      <c r="I586" s="58" t="s">
        <v>80</v>
      </c>
      <c r="J586" s="58" t="s">
        <v>81</v>
      </c>
      <c r="K586" s="433"/>
      <c r="L586" s="293"/>
    </row>
    <row r="587" spans="1:12">
      <c r="A587" s="25"/>
      <c r="B587" s="26"/>
      <c r="C587" s="26"/>
      <c r="D587" s="26"/>
      <c r="E587" s="27"/>
      <c r="F587" s="36" t="s">
        <v>34</v>
      </c>
      <c r="G587" s="36" t="s">
        <v>34</v>
      </c>
      <c r="H587" s="36" t="s">
        <v>34</v>
      </c>
      <c r="I587" s="36" t="s">
        <v>77</v>
      </c>
      <c r="J587" s="36" t="s">
        <v>77</v>
      </c>
      <c r="K587" s="433"/>
      <c r="L587" s="293"/>
    </row>
    <row r="588" spans="1:12">
      <c r="A588" s="25" t="s">
        <v>88</v>
      </c>
      <c r="B588" s="26" t="s">
        <v>75</v>
      </c>
      <c r="C588" s="26"/>
      <c r="D588" s="26"/>
      <c r="E588" s="27"/>
      <c r="F588" s="195">
        <f>SF!F14</f>
        <v>365.08803866482532</v>
      </c>
      <c r="G588" s="210"/>
      <c r="H588" s="34"/>
      <c r="I588" s="195">
        <f>SF!I14</f>
        <v>0</v>
      </c>
      <c r="J588" s="195">
        <f>SF!J14</f>
        <v>0</v>
      </c>
      <c r="K588" s="511">
        <v>1.35</v>
      </c>
      <c r="L588" s="266"/>
    </row>
    <row r="589" spans="1:12">
      <c r="A589" s="25" t="s">
        <v>90</v>
      </c>
      <c r="B589" s="26" t="s">
        <v>249</v>
      </c>
      <c r="C589" s="26"/>
      <c r="D589" s="26"/>
      <c r="E589" s="27"/>
      <c r="F589" s="195">
        <f>SF!F16</f>
        <v>36.639026644707663</v>
      </c>
      <c r="G589" s="210"/>
      <c r="H589" s="34"/>
      <c r="I589" s="195">
        <f>SF!I16</f>
        <v>0</v>
      </c>
      <c r="J589" s="195">
        <f>SF!J16</f>
        <v>0</v>
      </c>
      <c r="K589" s="511">
        <v>1.35</v>
      </c>
      <c r="L589" s="266"/>
    </row>
    <row r="590" spans="1:12">
      <c r="A590" s="25" t="s">
        <v>250</v>
      </c>
      <c r="B590" s="26" t="s">
        <v>967</v>
      </c>
      <c r="C590" s="26"/>
      <c r="D590" s="26"/>
      <c r="E590" s="27"/>
      <c r="F590" s="195">
        <f>SF!F19</f>
        <v>230</v>
      </c>
      <c r="G590" s="27"/>
      <c r="H590" s="34"/>
      <c r="I590" s="195">
        <f>SF!I19</f>
        <v>-115</v>
      </c>
      <c r="J590" s="195">
        <f>SF!J19</f>
        <v>0</v>
      </c>
      <c r="K590" s="433">
        <v>1.35</v>
      </c>
      <c r="L590" s="11"/>
    </row>
    <row r="591" spans="1:12">
      <c r="A591" s="25" t="s">
        <v>251</v>
      </c>
      <c r="B591" s="26" t="s">
        <v>968</v>
      </c>
      <c r="C591" s="26"/>
      <c r="D591" s="26"/>
      <c r="E591" s="27"/>
      <c r="F591" s="195">
        <f>SF!F20</f>
        <v>20.660000000000004</v>
      </c>
      <c r="G591" s="27"/>
      <c r="H591" s="34"/>
      <c r="I591" s="195">
        <f>SF!I20</f>
        <v>-10.330000000000002</v>
      </c>
      <c r="J591" s="195">
        <f>SF!J20</f>
        <v>0</v>
      </c>
      <c r="K591" s="433">
        <v>1.35</v>
      </c>
      <c r="L591" s="11"/>
    </row>
    <row r="592" spans="1:12">
      <c r="A592" s="25" t="s">
        <v>97</v>
      </c>
      <c r="B592" s="26" t="s">
        <v>969</v>
      </c>
      <c r="C592" s="26"/>
      <c r="D592" s="26"/>
      <c r="E592" s="27"/>
      <c r="F592" s="195">
        <f>SF!F21</f>
        <v>42</v>
      </c>
      <c r="G592" s="27"/>
      <c r="H592" s="34"/>
      <c r="I592" s="195">
        <f>SF!I21</f>
        <v>-14.858499999999999</v>
      </c>
      <c r="J592" s="195">
        <f>SF!J21</f>
        <v>0</v>
      </c>
      <c r="K592" s="433">
        <v>1.35</v>
      </c>
      <c r="L592" s="11"/>
    </row>
    <row r="593" spans="1:12">
      <c r="A593" s="25" t="s">
        <v>250</v>
      </c>
      <c r="B593" s="26" t="s">
        <v>970</v>
      </c>
      <c r="C593" s="26"/>
      <c r="D593" s="26"/>
      <c r="E593" s="27"/>
      <c r="F593" s="195">
        <f>SF!F23</f>
        <v>230</v>
      </c>
      <c r="G593" s="27"/>
      <c r="H593" s="34"/>
      <c r="I593" s="195">
        <f>SF!I23</f>
        <v>115</v>
      </c>
      <c r="J593" s="195">
        <f>SF!J23</f>
        <v>0</v>
      </c>
      <c r="K593" s="433">
        <v>1.35</v>
      </c>
      <c r="L593" s="11"/>
    </row>
    <row r="594" spans="1:12">
      <c r="A594" s="25" t="s">
        <v>251</v>
      </c>
      <c r="B594" s="26" t="s">
        <v>971</v>
      </c>
      <c r="C594" s="26"/>
      <c r="D594" s="26"/>
      <c r="E594" s="27"/>
      <c r="F594" s="195">
        <f>SF!F24</f>
        <v>20.660000000000004</v>
      </c>
      <c r="G594" s="27"/>
      <c r="H594" s="34"/>
      <c r="I594" s="195">
        <f>SF!I24</f>
        <v>10.330000000000002</v>
      </c>
      <c r="J594" s="195">
        <f>SF!J24</f>
        <v>0</v>
      </c>
      <c r="K594" s="433">
        <v>1.35</v>
      </c>
      <c r="L594" s="266"/>
    </row>
    <row r="595" spans="1:12">
      <c r="A595" s="25" t="s">
        <v>97</v>
      </c>
      <c r="B595" s="26" t="s">
        <v>972</v>
      </c>
      <c r="C595" s="26"/>
      <c r="D595" s="26"/>
      <c r="E595" s="27"/>
      <c r="F595" s="195">
        <f>SF!F25</f>
        <v>42</v>
      </c>
      <c r="G595" s="27"/>
      <c r="H595" s="34"/>
      <c r="I595" s="195">
        <f>SF!I25</f>
        <v>14.858499999999999</v>
      </c>
      <c r="J595" s="195">
        <f>SF!J25</f>
        <v>0</v>
      </c>
      <c r="K595" s="511">
        <v>1.75</v>
      </c>
      <c r="L595" s="11"/>
    </row>
    <row r="596" spans="1:12">
      <c r="A596" s="25" t="s">
        <v>976</v>
      </c>
      <c r="B596" s="26" t="s">
        <v>981</v>
      </c>
      <c r="C596" s="26"/>
      <c r="D596" s="26"/>
      <c r="E596" s="27"/>
      <c r="F596" s="195">
        <f>SF!F33</f>
        <v>0</v>
      </c>
      <c r="G596" s="27"/>
      <c r="H596" s="34"/>
      <c r="I596" s="195">
        <f>SF!I33</f>
        <v>0</v>
      </c>
      <c r="J596" s="195">
        <f>SF!J33</f>
        <v>0</v>
      </c>
      <c r="K596" s="433">
        <v>0.2</v>
      </c>
      <c r="L596" s="266"/>
    </row>
    <row r="597" spans="1:12">
      <c r="A597" s="25" t="s">
        <v>977</v>
      </c>
      <c r="B597" s="26" t="s">
        <v>982</v>
      </c>
      <c r="C597" s="26"/>
      <c r="D597" s="26"/>
      <c r="E597" s="27"/>
      <c r="F597" s="195">
        <f>SF!F34</f>
        <v>127.89948571428575</v>
      </c>
      <c r="G597" s="27"/>
      <c r="H597" s="34"/>
      <c r="I597" s="195">
        <f>SF!I34</f>
        <v>63.949742857142873</v>
      </c>
      <c r="J597" s="195">
        <f>SF!J34</f>
        <v>-19.835942761904757</v>
      </c>
      <c r="K597" s="433">
        <v>0.2</v>
      </c>
      <c r="L597" s="266"/>
    </row>
    <row r="598" spans="1:12">
      <c r="A598" s="278" t="s">
        <v>200</v>
      </c>
      <c r="B598" s="262"/>
      <c r="C598" s="262"/>
      <c r="D598" s="262"/>
      <c r="E598" s="263"/>
      <c r="F598" s="279"/>
      <c r="G598" s="280"/>
      <c r="H598" s="264"/>
      <c r="I598" s="279"/>
      <c r="J598" s="264"/>
      <c r="K598" s="1581">
        <v>1.5</v>
      </c>
      <c r="L598" s="266"/>
    </row>
    <row r="599" spans="1:12">
      <c r="A599" s="25" t="s">
        <v>991</v>
      </c>
      <c r="B599" s="26" t="s">
        <v>989</v>
      </c>
      <c r="C599" s="26"/>
      <c r="D599" s="26"/>
      <c r="E599" s="27"/>
      <c r="F599" s="197"/>
      <c r="G599" s="172">
        <f>SF!G52</f>
        <v>94.821839999999995</v>
      </c>
      <c r="H599" s="34"/>
      <c r="I599" s="172">
        <f>SF!I52</f>
        <v>785.12483520000001</v>
      </c>
      <c r="J599" s="89"/>
      <c r="K599" s="511">
        <v>1.5</v>
      </c>
      <c r="L599" s="266"/>
    </row>
    <row r="600" spans="1:12">
      <c r="A600" s="25" t="s">
        <v>994</v>
      </c>
      <c r="B600" s="26" t="s">
        <v>996</v>
      </c>
      <c r="C600" s="26"/>
      <c r="D600" s="26"/>
      <c r="E600" s="27"/>
      <c r="F600" s="197"/>
      <c r="G600" s="172">
        <f>SF!G56</f>
        <v>4.5540000000000003</v>
      </c>
      <c r="H600" s="34"/>
      <c r="I600" s="172">
        <f>SF!I56</f>
        <v>37.70712000000001</v>
      </c>
      <c r="J600" s="89"/>
      <c r="K600" s="433">
        <v>1.5</v>
      </c>
      <c r="L600" s="266"/>
    </row>
    <row r="601" spans="1:12">
      <c r="A601" s="25" t="s">
        <v>217</v>
      </c>
      <c r="B601" s="26" t="s">
        <v>211</v>
      </c>
      <c r="C601" s="26"/>
      <c r="D601" s="26"/>
      <c r="E601" s="27"/>
      <c r="F601" s="197"/>
      <c r="G601" s="196">
        <f>SF!G58</f>
        <v>26.798532263701709</v>
      </c>
      <c r="H601" s="199"/>
      <c r="I601" s="172">
        <f>SF!I58</f>
        <v>147.28381289471153</v>
      </c>
      <c r="J601" s="195"/>
      <c r="K601" s="433">
        <v>1.5</v>
      </c>
      <c r="L601" s="266"/>
    </row>
    <row r="602" spans="1:12">
      <c r="A602" s="278" t="s">
        <v>1817</v>
      </c>
      <c r="B602" s="262"/>
      <c r="C602" s="262"/>
      <c r="D602" s="262"/>
      <c r="E602" s="263"/>
      <c r="F602" s="279"/>
      <c r="G602" s="280"/>
      <c r="H602" s="264"/>
      <c r="I602" s="279"/>
      <c r="J602" s="264"/>
      <c r="K602" s="1582">
        <v>0.44999999999999996</v>
      </c>
      <c r="L602" s="266"/>
    </row>
    <row r="603" spans="1:12">
      <c r="A603" s="25" t="s">
        <v>997</v>
      </c>
      <c r="B603" s="26" t="s">
        <v>988</v>
      </c>
      <c r="C603" s="26"/>
      <c r="D603" s="26"/>
      <c r="E603" s="27"/>
      <c r="F603" s="197"/>
      <c r="G603" s="211"/>
      <c r="H603" s="172">
        <f>SF!H67</f>
        <v>47.410919999999997</v>
      </c>
      <c r="I603" s="197"/>
      <c r="J603" s="172">
        <f>SF!J67</f>
        <v>433.10062959257624</v>
      </c>
      <c r="K603" s="511">
        <v>0.44999999999999996</v>
      </c>
      <c r="L603" s="266"/>
    </row>
    <row r="604" spans="1:12">
      <c r="A604" s="25" t="s">
        <v>998</v>
      </c>
      <c r="B604" s="26" t="s">
        <v>989</v>
      </c>
      <c r="C604" s="26"/>
      <c r="D604" s="26"/>
      <c r="E604" s="27"/>
      <c r="F604" s="197"/>
      <c r="G604" s="211"/>
      <c r="H604" s="172">
        <f>SF!H68</f>
        <v>47.410919999999997</v>
      </c>
      <c r="I604" s="197"/>
      <c r="J604" s="172">
        <f>SF!J68</f>
        <v>433.10062959257624</v>
      </c>
      <c r="K604" s="433">
        <v>0.44999999999999996</v>
      </c>
      <c r="L604" s="266"/>
    </row>
    <row r="605" spans="1:12">
      <c r="A605" s="25" t="s">
        <v>1004</v>
      </c>
      <c r="B605" s="26" t="s">
        <v>1000</v>
      </c>
      <c r="C605" s="26"/>
      <c r="D605" s="26"/>
      <c r="E605" s="27"/>
      <c r="F605" s="197"/>
      <c r="G605" s="211"/>
      <c r="H605" s="172">
        <f>SF!H75</f>
        <v>0</v>
      </c>
      <c r="I605" s="197"/>
      <c r="J605" s="172">
        <f>SF!J75</f>
        <v>0</v>
      </c>
      <c r="K605" s="433">
        <v>0.09</v>
      </c>
      <c r="L605" s="266"/>
    </row>
    <row r="606" spans="1:12">
      <c r="A606" s="25" t="s">
        <v>1005</v>
      </c>
      <c r="B606" s="26" t="s">
        <v>1001</v>
      </c>
      <c r="C606" s="26"/>
      <c r="D606" s="26"/>
      <c r="E606" s="27"/>
      <c r="F606" s="197"/>
      <c r="G606" s="211"/>
      <c r="H606" s="172">
        <f>SF!H76</f>
        <v>20.719716685714292</v>
      </c>
      <c r="I606" s="197"/>
      <c r="J606" s="172">
        <f>SF!J76</f>
        <v>227.1916934588572</v>
      </c>
      <c r="K606" s="433">
        <v>0.09</v>
      </c>
      <c r="L606" s="266"/>
    </row>
    <row r="607" spans="1:12">
      <c r="A607" s="25" t="s">
        <v>1006</v>
      </c>
      <c r="B607" s="26" t="s">
        <v>211</v>
      </c>
      <c r="C607" s="26"/>
      <c r="D607" s="26"/>
      <c r="E607" s="27"/>
      <c r="F607" s="197"/>
      <c r="G607" s="195"/>
      <c r="H607" s="172">
        <f>SF!H78</f>
        <v>26.798532263701709</v>
      </c>
      <c r="I607" s="195"/>
      <c r="J607" s="172">
        <f>SF!J78</f>
        <v>147.28381289471153</v>
      </c>
      <c r="K607" s="433">
        <v>0.44999999999999996</v>
      </c>
      <c r="L607" s="266"/>
    </row>
    <row r="608" spans="1:12">
      <c r="A608" s="990" t="s">
        <v>204</v>
      </c>
      <c r="B608" s="661"/>
      <c r="C608" s="661"/>
      <c r="D608" s="661"/>
      <c r="E608" s="584"/>
      <c r="F608" s="991"/>
      <c r="G608" s="992"/>
      <c r="H608" s="370"/>
      <c r="I608" s="991"/>
      <c r="J608" s="370"/>
      <c r="K608" s="1583">
        <v>0.44999999999999996</v>
      </c>
      <c r="L608" s="266"/>
    </row>
    <row r="609" spans="1:12">
      <c r="A609" s="25" t="s">
        <v>1007</v>
      </c>
      <c r="B609" s="26" t="s">
        <v>988</v>
      </c>
      <c r="C609" s="26"/>
      <c r="D609" s="26"/>
      <c r="E609" s="27"/>
      <c r="F609" s="196">
        <f>SF!F87</f>
        <v>31.607279999999999</v>
      </c>
      <c r="G609" s="211"/>
      <c r="H609" s="34"/>
      <c r="I609" s="196">
        <f>SF!I87</f>
        <v>-15.140358000000003</v>
      </c>
      <c r="J609" s="196">
        <f>SF!J87</f>
        <v>0</v>
      </c>
      <c r="K609" s="433">
        <v>-0.44999999999999996</v>
      </c>
      <c r="L609" s="266"/>
    </row>
    <row r="610" spans="1:12">
      <c r="A610" s="25" t="s">
        <v>1008</v>
      </c>
      <c r="B610" s="26" t="s">
        <v>989</v>
      </c>
      <c r="C610" s="26"/>
      <c r="D610" s="26"/>
      <c r="E610" s="27"/>
      <c r="F610" s="196">
        <f>SF!F88</f>
        <v>31.607279999999999</v>
      </c>
      <c r="G610" s="211"/>
      <c r="H610" s="34"/>
      <c r="I610" s="196">
        <f>SF!I88</f>
        <v>15.140358000000003</v>
      </c>
      <c r="J610" s="196">
        <f>SF!J88</f>
        <v>0</v>
      </c>
      <c r="K610" s="511">
        <v>-0.44999999999999996</v>
      </c>
      <c r="L610" s="266"/>
    </row>
    <row r="611" spans="1:12">
      <c r="A611" s="25" t="s">
        <v>1009</v>
      </c>
      <c r="B611" s="26" t="s">
        <v>1000</v>
      </c>
      <c r="C611" s="26"/>
      <c r="D611" s="26"/>
      <c r="E611" s="27"/>
      <c r="F611" s="196">
        <f>SF!F95</f>
        <v>0</v>
      </c>
      <c r="G611" s="211"/>
      <c r="H611" s="34"/>
      <c r="I611" s="196">
        <f>SF!I95</f>
        <v>0</v>
      </c>
      <c r="J611" s="196">
        <f>SF!J95</f>
        <v>0</v>
      </c>
      <c r="K611" s="511">
        <v>-0.09</v>
      </c>
      <c r="L611" s="266"/>
    </row>
    <row r="612" spans="1:12">
      <c r="A612" s="25" t="s">
        <v>1010</v>
      </c>
      <c r="B612" s="26" t="s">
        <v>1001</v>
      </c>
      <c r="C612" s="26"/>
      <c r="D612" s="26"/>
      <c r="E612" s="27"/>
      <c r="F612" s="196">
        <f>SF!F96</f>
        <v>13.813144457142862</v>
      </c>
      <c r="G612" s="211"/>
      <c r="H612" s="34"/>
      <c r="I612" s="196">
        <f>SF!I96</f>
        <v>6.9065722285714308</v>
      </c>
      <c r="J612" s="196">
        <f>SF!J96</f>
        <v>-2.142281818285714</v>
      </c>
      <c r="K612" s="511">
        <v>-0.09</v>
      </c>
      <c r="L612" s="266"/>
    </row>
    <row r="613" spans="1:12">
      <c r="A613" s="25" t="s">
        <v>1011</v>
      </c>
      <c r="B613" s="26" t="s">
        <v>211</v>
      </c>
      <c r="C613" s="26"/>
      <c r="D613" s="26"/>
      <c r="E613" s="27"/>
      <c r="F613" s="196">
        <f>SF!F98</f>
        <v>17.865688175801139</v>
      </c>
      <c r="G613" s="211"/>
      <c r="H613" s="197"/>
      <c r="I613" s="196">
        <f>SF!I98</f>
        <v>0</v>
      </c>
      <c r="J613" s="196">
        <f>SF!J98</f>
        <v>0</v>
      </c>
      <c r="K613" s="511">
        <v>-0.44999999999999996</v>
      </c>
      <c r="L613" s="266"/>
    </row>
    <row r="614" spans="1:12">
      <c r="A614" s="253"/>
      <c r="B614" s="15"/>
      <c r="C614" s="15"/>
      <c r="D614" s="15"/>
      <c r="E614" s="22"/>
      <c r="F614" s="212"/>
      <c r="G614" s="213"/>
      <c r="H614" s="198"/>
      <c r="I614" s="198"/>
      <c r="J614" s="58"/>
      <c r="K614" s="208"/>
      <c r="L614" s="293"/>
    </row>
    <row r="615" spans="1:12">
      <c r="A615" s="46"/>
      <c r="B615" s="46"/>
      <c r="C615" s="46"/>
      <c r="D615" s="46"/>
      <c r="E615" s="46"/>
      <c r="F615" s="46"/>
      <c r="G615" s="46"/>
      <c r="H615" s="46"/>
      <c r="I615" s="46"/>
      <c r="J615" s="46"/>
      <c r="K615" s="87"/>
      <c r="L615" s="293"/>
    </row>
    <row r="616" spans="1:12">
      <c r="A616" s="220" t="s">
        <v>73</v>
      </c>
      <c r="B616" s="220" t="s">
        <v>74</v>
      </c>
      <c r="C616" s="200"/>
      <c r="D616" s="200"/>
      <c r="E616" s="217"/>
      <c r="F616" s="1636" t="s">
        <v>72</v>
      </c>
      <c r="G616" s="1637"/>
      <c r="H616" s="1637"/>
      <c r="I616" s="1637"/>
      <c r="J616" s="1638"/>
      <c r="K616" s="87"/>
      <c r="L616" s="293"/>
    </row>
    <row r="617" spans="1:12" ht="18">
      <c r="A617" s="221"/>
      <c r="B617" s="221"/>
      <c r="C617" s="201"/>
      <c r="D617" s="201"/>
      <c r="E617" s="219"/>
      <c r="F617" s="223" t="s">
        <v>23</v>
      </c>
      <c r="G617" s="223" t="s">
        <v>87</v>
      </c>
      <c r="H617" s="223" t="s">
        <v>212</v>
      </c>
      <c r="I617" s="223" t="s">
        <v>80</v>
      </c>
      <c r="J617" s="223" t="s">
        <v>81</v>
      </c>
      <c r="K617" s="87"/>
      <c r="L617" s="293"/>
    </row>
    <row r="618" spans="1:12">
      <c r="A618" s="222"/>
      <c r="B618" s="222"/>
      <c r="C618" s="203"/>
      <c r="D618" s="203"/>
      <c r="E618" s="218"/>
      <c r="F618" s="204" t="s">
        <v>34</v>
      </c>
      <c r="G618" s="204" t="s">
        <v>34</v>
      </c>
      <c r="H618" s="203" t="s">
        <v>34</v>
      </c>
      <c r="I618" s="204" t="s">
        <v>77</v>
      </c>
      <c r="J618" s="204" t="s">
        <v>77</v>
      </c>
      <c r="K618" s="87"/>
      <c r="L618" s="293"/>
    </row>
    <row r="619" spans="1:12">
      <c r="A619" s="202"/>
      <c r="B619" s="200"/>
      <c r="C619" s="200"/>
      <c r="D619" s="200"/>
      <c r="E619" s="217"/>
      <c r="F619" s="205"/>
      <c r="G619" s="205"/>
      <c r="H619" s="201"/>
      <c r="I619" s="205"/>
      <c r="J619" s="205"/>
      <c r="K619" s="87"/>
      <c r="L619" s="293"/>
    </row>
    <row r="620" spans="1:12">
      <c r="A620" s="205" t="str">
        <f>A585</f>
        <v>LC-21</v>
      </c>
      <c r="B620" s="201" t="str">
        <f>B585</f>
        <v>LC-4 + Seismic Sx=1,Sz=0.3,Sy=-0.3</v>
      </c>
      <c r="C620" s="201"/>
      <c r="D620" s="201"/>
      <c r="E620" s="219"/>
      <c r="F620" s="205">
        <f>SUMPRODUCT(F588:F613,$K$588:$K$613)</f>
        <v>1337.1641406304736</v>
      </c>
      <c r="G620" s="219">
        <f>SUMPRODUCT(G588:G613,$K$588:$K$613)</f>
        <v>189.26155839555253</v>
      </c>
      <c r="H620" s="219">
        <f>SUMPRODUCT(H588:H613,$K$588:$K$613)</f>
        <v>56.593942020380048</v>
      </c>
      <c r="I620" s="219">
        <f>SUMPRODUCT(I588:I613,$K$588:$K$613)</f>
        <v>1473.2854092129242</v>
      </c>
      <c r="J620" s="219">
        <f>SUMPRODUCT(J588:J613,$K$588:$K$613)</f>
        <v>472.74115165850066</v>
      </c>
      <c r="K620" s="87"/>
      <c r="L620" s="293"/>
    </row>
    <row r="621" spans="1:12">
      <c r="A621" s="204"/>
      <c r="B621" s="203"/>
      <c r="C621" s="203"/>
      <c r="D621" s="203"/>
      <c r="E621" s="218"/>
      <c r="F621" s="204"/>
      <c r="G621" s="204"/>
      <c r="H621" s="203"/>
      <c r="I621" s="204"/>
      <c r="J621" s="204"/>
      <c r="K621" s="87"/>
      <c r="L621" s="293"/>
    </row>
    <row r="624" spans="1:12">
      <c r="A624" s="811" t="str">
        <f>K624</f>
        <v>LC-22</v>
      </c>
      <c r="B624" s="31" t="str">
        <f>VLOOKUP(A624,LC_DEF_2!A45:B92,2,FALSE)</f>
        <v>LC-4 + Seismic Sx=0.3,Sz=1,Sy=-0.3</v>
      </c>
      <c r="C624" s="31"/>
      <c r="D624" s="31"/>
      <c r="E624" s="32"/>
      <c r="F624" s="1599" t="s">
        <v>742</v>
      </c>
      <c r="G624" s="1635"/>
      <c r="H624" s="1635"/>
      <c r="I624" s="1635"/>
      <c r="J624" s="1600"/>
      <c r="K624" s="1580" t="s">
        <v>683</v>
      </c>
      <c r="L624" s="293"/>
    </row>
    <row r="625" spans="1:12" ht="18">
      <c r="A625" s="25" t="s">
        <v>73</v>
      </c>
      <c r="B625" s="26" t="s">
        <v>74</v>
      </c>
      <c r="C625" s="26"/>
      <c r="D625" s="26"/>
      <c r="E625" s="27"/>
      <c r="F625" s="58" t="s">
        <v>23</v>
      </c>
      <c r="G625" s="58" t="s">
        <v>87</v>
      </c>
      <c r="H625" s="58" t="s">
        <v>212</v>
      </c>
      <c r="I625" s="58" t="s">
        <v>80</v>
      </c>
      <c r="J625" s="58" t="s">
        <v>81</v>
      </c>
      <c r="K625" s="433"/>
      <c r="L625" s="293"/>
    </row>
    <row r="626" spans="1:12">
      <c r="A626" s="25"/>
      <c r="B626" s="26"/>
      <c r="C626" s="26"/>
      <c r="D626" s="26"/>
      <c r="E626" s="27"/>
      <c r="F626" s="36" t="s">
        <v>34</v>
      </c>
      <c r="G626" s="36" t="s">
        <v>34</v>
      </c>
      <c r="H626" s="36" t="s">
        <v>34</v>
      </c>
      <c r="I626" s="36" t="s">
        <v>77</v>
      </c>
      <c r="J626" s="36" t="s">
        <v>77</v>
      </c>
      <c r="K626" s="433"/>
      <c r="L626" s="293"/>
    </row>
    <row r="627" spans="1:12">
      <c r="A627" s="25" t="s">
        <v>88</v>
      </c>
      <c r="B627" s="26" t="s">
        <v>75</v>
      </c>
      <c r="C627" s="26"/>
      <c r="D627" s="26"/>
      <c r="E627" s="27"/>
      <c r="F627" s="195">
        <f>SF!F14</f>
        <v>365.08803866482532</v>
      </c>
      <c r="G627" s="210"/>
      <c r="H627" s="34"/>
      <c r="I627" s="195">
        <f>SF!I14</f>
        <v>0</v>
      </c>
      <c r="J627" s="195">
        <f>SF!J14</f>
        <v>0</v>
      </c>
      <c r="K627" s="511">
        <v>1.35</v>
      </c>
      <c r="L627" s="266"/>
    </row>
    <row r="628" spans="1:12">
      <c r="A628" s="25" t="s">
        <v>90</v>
      </c>
      <c r="B628" s="26" t="s">
        <v>249</v>
      </c>
      <c r="C628" s="26"/>
      <c r="D628" s="26"/>
      <c r="E628" s="27"/>
      <c r="F628" s="195">
        <f>SF!F16</f>
        <v>36.639026644707663</v>
      </c>
      <c r="G628" s="210"/>
      <c r="H628" s="34"/>
      <c r="I628" s="195">
        <f>SF!I16</f>
        <v>0</v>
      </c>
      <c r="J628" s="195">
        <f>SF!J16</f>
        <v>0</v>
      </c>
      <c r="K628" s="511">
        <v>1.35</v>
      </c>
      <c r="L628" s="266"/>
    </row>
    <row r="629" spans="1:12">
      <c r="A629" s="25" t="s">
        <v>250</v>
      </c>
      <c r="B629" s="26" t="s">
        <v>967</v>
      </c>
      <c r="C629" s="26"/>
      <c r="D629" s="26"/>
      <c r="E629" s="27"/>
      <c r="F629" s="195">
        <f>SF!F19</f>
        <v>230</v>
      </c>
      <c r="G629" s="27"/>
      <c r="H629" s="34"/>
      <c r="I629" s="195">
        <f>SF!I19</f>
        <v>-115</v>
      </c>
      <c r="J629" s="195">
        <f>SF!J19</f>
        <v>0</v>
      </c>
      <c r="K629" s="433">
        <v>1.35</v>
      </c>
      <c r="L629" s="11"/>
    </row>
    <row r="630" spans="1:12">
      <c r="A630" s="25" t="s">
        <v>251</v>
      </c>
      <c r="B630" s="26" t="s">
        <v>968</v>
      </c>
      <c r="C630" s="26"/>
      <c r="D630" s="26"/>
      <c r="E630" s="27"/>
      <c r="F630" s="195">
        <f>SF!F20</f>
        <v>20.660000000000004</v>
      </c>
      <c r="G630" s="27"/>
      <c r="H630" s="34"/>
      <c r="I630" s="195">
        <f>SF!I20</f>
        <v>-10.330000000000002</v>
      </c>
      <c r="J630" s="195">
        <f>SF!J20</f>
        <v>0</v>
      </c>
      <c r="K630" s="433">
        <v>1.35</v>
      </c>
      <c r="L630" s="11"/>
    </row>
    <row r="631" spans="1:12">
      <c r="A631" s="25" t="s">
        <v>97</v>
      </c>
      <c r="B631" s="26" t="s">
        <v>969</v>
      </c>
      <c r="C631" s="26"/>
      <c r="D631" s="26"/>
      <c r="E631" s="27"/>
      <c r="F631" s="195">
        <f>SF!F21</f>
        <v>42</v>
      </c>
      <c r="G631" s="27"/>
      <c r="H631" s="34"/>
      <c r="I631" s="195">
        <f>SF!I21</f>
        <v>-14.858499999999999</v>
      </c>
      <c r="J631" s="195">
        <f>SF!J21</f>
        <v>0</v>
      </c>
      <c r="K631" s="433">
        <v>1.35</v>
      </c>
      <c r="L631" s="11"/>
    </row>
    <row r="632" spans="1:12">
      <c r="A632" s="25" t="s">
        <v>250</v>
      </c>
      <c r="B632" s="26" t="s">
        <v>970</v>
      </c>
      <c r="C632" s="26"/>
      <c r="D632" s="26"/>
      <c r="E632" s="27"/>
      <c r="F632" s="195">
        <f>SF!F23</f>
        <v>230</v>
      </c>
      <c r="G632" s="27"/>
      <c r="H632" s="34"/>
      <c r="I632" s="195">
        <f>SF!I23</f>
        <v>115</v>
      </c>
      <c r="J632" s="195">
        <f>SF!J23</f>
        <v>0</v>
      </c>
      <c r="K632" s="433">
        <v>1.35</v>
      </c>
      <c r="L632" s="11"/>
    </row>
    <row r="633" spans="1:12">
      <c r="A633" s="25" t="s">
        <v>251</v>
      </c>
      <c r="B633" s="26" t="s">
        <v>971</v>
      </c>
      <c r="C633" s="26"/>
      <c r="D633" s="26"/>
      <c r="E633" s="27"/>
      <c r="F633" s="195">
        <f>SF!F24</f>
        <v>20.660000000000004</v>
      </c>
      <c r="G633" s="27"/>
      <c r="H633" s="34"/>
      <c r="I633" s="195">
        <f>SF!I24</f>
        <v>10.330000000000002</v>
      </c>
      <c r="J633" s="195">
        <f>SF!J24</f>
        <v>0</v>
      </c>
      <c r="K633" s="433">
        <v>1.35</v>
      </c>
      <c r="L633" s="266"/>
    </row>
    <row r="634" spans="1:12">
      <c r="A634" s="25" t="s">
        <v>97</v>
      </c>
      <c r="B634" s="26" t="s">
        <v>972</v>
      </c>
      <c r="C634" s="26"/>
      <c r="D634" s="26"/>
      <c r="E634" s="27"/>
      <c r="F634" s="195">
        <f>SF!F25</f>
        <v>42</v>
      </c>
      <c r="G634" s="27"/>
      <c r="H634" s="34"/>
      <c r="I634" s="195">
        <f>SF!I25</f>
        <v>14.858499999999999</v>
      </c>
      <c r="J634" s="195">
        <f>SF!J25</f>
        <v>0</v>
      </c>
      <c r="K634" s="511">
        <v>1.75</v>
      </c>
      <c r="L634" s="11"/>
    </row>
    <row r="635" spans="1:12">
      <c r="A635" s="25" t="s">
        <v>976</v>
      </c>
      <c r="B635" s="26" t="s">
        <v>981</v>
      </c>
      <c r="C635" s="26"/>
      <c r="D635" s="26"/>
      <c r="E635" s="27"/>
      <c r="F635" s="195">
        <f>SF!F33</f>
        <v>0</v>
      </c>
      <c r="G635" s="27"/>
      <c r="H635" s="34"/>
      <c r="I635" s="195">
        <f>SF!I33</f>
        <v>0</v>
      </c>
      <c r="J635" s="195">
        <f>SF!J33</f>
        <v>0</v>
      </c>
      <c r="K635" s="433">
        <v>0.2</v>
      </c>
      <c r="L635" s="266"/>
    </row>
    <row r="636" spans="1:12">
      <c r="A636" s="25" t="s">
        <v>977</v>
      </c>
      <c r="B636" s="26" t="s">
        <v>982</v>
      </c>
      <c r="C636" s="26"/>
      <c r="D636" s="26"/>
      <c r="E636" s="27"/>
      <c r="F636" s="195">
        <f>SF!F34</f>
        <v>127.89948571428575</v>
      </c>
      <c r="G636" s="27"/>
      <c r="H636" s="34"/>
      <c r="I636" s="195">
        <f>SF!I34</f>
        <v>63.949742857142873</v>
      </c>
      <c r="J636" s="195">
        <f>SF!J34</f>
        <v>-19.835942761904757</v>
      </c>
      <c r="K636" s="433">
        <v>0.2</v>
      </c>
      <c r="L636" s="266"/>
    </row>
    <row r="637" spans="1:12">
      <c r="A637" s="278" t="s">
        <v>200</v>
      </c>
      <c r="B637" s="262"/>
      <c r="C637" s="262"/>
      <c r="D637" s="262"/>
      <c r="E637" s="263"/>
      <c r="F637" s="279"/>
      <c r="G637" s="280"/>
      <c r="H637" s="264"/>
      <c r="I637" s="279"/>
      <c r="J637" s="264"/>
      <c r="K637" s="1581">
        <v>1.5</v>
      </c>
      <c r="L637" s="266"/>
    </row>
    <row r="638" spans="1:12">
      <c r="A638" s="25" t="s">
        <v>991</v>
      </c>
      <c r="B638" s="26" t="s">
        <v>989</v>
      </c>
      <c r="C638" s="26"/>
      <c r="D638" s="26"/>
      <c r="E638" s="27"/>
      <c r="F638" s="197"/>
      <c r="G638" s="172">
        <f>SF!G52</f>
        <v>94.821839999999995</v>
      </c>
      <c r="H638" s="34"/>
      <c r="I638" s="172">
        <f>SF!I52</f>
        <v>785.12483520000001</v>
      </c>
      <c r="J638" s="89"/>
      <c r="K638" s="511">
        <v>0.44999999999999996</v>
      </c>
      <c r="L638" s="266"/>
    </row>
    <row r="639" spans="1:12">
      <c r="A639" s="25" t="s">
        <v>994</v>
      </c>
      <c r="B639" s="26" t="s">
        <v>996</v>
      </c>
      <c r="C639" s="26"/>
      <c r="D639" s="26"/>
      <c r="E639" s="27"/>
      <c r="F639" s="197"/>
      <c r="G639" s="172">
        <f>SF!G56</f>
        <v>4.5540000000000003</v>
      </c>
      <c r="H639" s="34"/>
      <c r="I639" s="172">
        <f>SF!I56</f>
        <v>37.70712000000001</v>
      </c>
      <c r="J639" s="89"/>
      <c r="K639" s="433">
        <v>1.5</v>
      </c>
      <c r="L639" s="266"/>
    </row>
    <row r="640" spans="1:12">
      <c r="A640" s="25" t="s">
        <v>217</v>
      </c>
      <c r="B640" s="26" t="s">
        <v>211</v>
      </c>
      <c r="C640" s="26"/>
      <c r="D640" s="26"/>
      <c r="E640" s="27"/>
      <c r="F640" s="197"/>
      <c r="G640" s="196">
        <f>SF!G58</f>
        <v>26.798532263701709</v>
      </c>
      <c r="H640" s="199"/>
      <c r="I640" s="172">
        <f>SF!I58</f>
        <v>147.28381289471153</v>
      </c>
      <c r="J640" s="195"/>
      <c r="K640" s="433">
        <v>0.44999999999999996</v>
      </c>
      <c r="L640" s="266"/>
    </row>
    <row r="641" spans="1:12">
      <c r="A641" s="278" t="s">
        <v>1817</v>
      </c>
      <c r="B641" s="262"/>
      <c r="C641" s="262"/>
      <c r="D641" s="262"/>
      <c r="E641" s="263"/>
      <c r="F641" s="279"/>
      <c r="G641" s="280"/>
      <c r="H641" s="264"/>
      <c r="I641" s="279"/>
      <c r="J641" s="264"/>
      <c r="K641" s="1582">
        <v>1.5</v>
      </c>
      <c r="L641" s="266"/>
    </row>
    <row r="642" spans="1:12">
      <c r="A642" s="25" t="s">
        <v>997</v>
      </c>
      <c r="B642" s="26" t="s">
        <v>988</v>
      </c>
      <c r="C642" s="26"/>
      <c r="D642" s="26"/>
      <c r="E642" s="27"/>
      <c r="F642" s="197"/>
      <c r="G642" s="211"/>
      <c r="H642" s="172">
        <f>SF!H67</f>
        <v>47.410919999999997</v>
      </c>
      <c r="I642" s="197"/>
      <c r="J642" s="172">
        <f>SF!J67</f>
        <v>433.10062959257624</v>
      </c>
      <c r="K642" s="511">
        <v>1.5</v>
      </c>
      <c r="L642" s="266"/>
    </row>
    <row r="643" spans="1:12">
      <c r="A643" s="25" t="s">
        <v>998</v>
      </c>
      <c r="B643" s="26" t="s">
        <v>989</v>
      </c>
      <c r="C643" s="26"/>
      <c r="D643" s="26"/>
      <c r="E643" s="27"/>
      <c r="F643" s="197"/>
      <c r="G643" s="211"/>
      <c r="H643" s="172">
        <f>SF!H68</f>
        <v>47.410919999999997</v>
      </c>
      <c r="I643" s="197"/>
      <c r="J643" s="172">
        <f>SF!J68</f>
        <v>433.10062959257624</v>
      </c>
      <c r="K643" s="433">
        <v>1.5</v>
      </c>
      <c r="L643" s="266"/>
    </row>
    <row r="644" spans="1:12">
      <c r="A644" s="25" t="s">
        <v>1004</v>
      </c>
      <c r="B644" s="26" t="s">
        <v>1000</v>
      </c>
      <c r="C644" s="26"/>
      <c r="D644" s="26"/>
      <c r="E644" s="27"/>
      <c r="F644" s="197"/>
      <c r="G644" s="211"/>
      <c r="H644" s="172">
        <f>SF!H75</f>
        <v>0</v>
      </c>
      <c r="I644" s="197"/>
      <c r="J644" s="172">
        <f>SF!J75</f>
        <v>0</v>
      </c>
      <c r="K644" s="433">
        <v>0.30000000000000004</v>
      </c>
      <c r="L644" s="266"/>
    </row>
    <row r="645" spans="1:12">
      <c r="A645" s="25" t="s">
        <v>1005</v>
      </c>
      <c r="B645" s="26" t="s">
        <v>1001</v>
      </c>
      <c r="C645" s="26"/>
      <c r="D645" s="26"/>
      <c r="E645" s="27"/>
      <c r="F645" s="197"/>
      <c r="G645" s="211"/>
      <c r="H645" s="172">
        <f>SF!H76</f>
        <v>20.719716685714292</v>
      </c>
      <c r="I645" s="197"/>
      <c r="J645" s="172">
        <f>SF!J76</f>
        <v>227.1916934588572</v>
      </c>
      <c r="K645" s="433">
        <v>0.30000000000000004</v>
      </c>
      <c r="L645" s="266"/>
    </row>
    <row r="646" spans="1:12">
      <c r="A646" s="25" t="s">
        <v>1006</v>
      </c>
      <c r="B646" s="26" t="s">
        <v>211</v>
      </c>
      <c r="C646" s="26"/>
      <c r="D646" s="26"/>
      <c r="E646" s="27"/>
      <c r="F646" s="197"/>
      <c r="G646" s="195"/>
      <c r="H646" s="172">
        <f>SF!H78</f>
        <v>26.798532263701709</v>
      </c>
      <c r="I646" s="195"/>
      <c r="J646" s="172">
        <f>SF!J78</f>
        <v>147.28381289471153</v>
      </c>
      <c r="K646" s="433">
        <v>1.5</v>
      </c>
      <c r="L646" s="266"/>
    </row>
    <row r="647" spans="1:12">
      <c r="A647" s="990" t="s">
        <v>204</v>
      </c>
      <c r="B647" s="661"/>
      <c r="C647" s="661"/>
      <c r="D647" s="661"/>
      <c r="E647" s="584"/>
      <c r="F647" s="991"/>
      <c r="G647" s="992"/>
      <c r="H647" s="370"/>
      <c r="I647" s="991"/>
      <c r="J647" s="370"/>
      <c r="K647" s="1583">
        <v>0.44999999999999996</v>
      </c>
      <c r="L647" s="266"/>
    </row>
    <row r="648" spans="1:12">
      <c r="A648" s="25" t="s">
        <v>1007</v>
      </c>
      <c r="B648" s="26" t="s">
        <v>988</v>
      </c>
      <c r="C648" s="26"/>
      <c r="D648" s="26"/>
      <c r="E648" s="27"/>
      <c r="F648" s="196">
        <f>SF!F87</f>
        <v>31.607279999999999</v>
      </c>
      <c r="G648" s="211"/>
      <c r="H648" s="34"/>
      <c r="I648" s="196">
        <f>SF!I87</f>
        <v>-15.140358000000003</v>
      </c>
      <c r="J648" s="196">
        <f>SF!J87</f>
        <v>0</v>
      </c>
      <c r="K648" s="433">
        <v>-0.44999999999999996</v>
      </c>
      <c r="L648" s="266"/>
    </row>
    <row r="649" spans="1:12">
      <c r="A649" s="25" t="s">
        <v>1008</v>
      </c>
      <c r="B649" s="26" t="s">
        <v>989</v>
      </c>
      <c r="C649" s="26"/>
      <c r="D649" s="26"/>
      <c r="E649" s="27"/>
      <c r="F649" s="196">
        <f>SF!F88</f>
        <v>31.607279999999999</v>
      </c>
      <c r="G649" s="211"/>
      <c r="H649" s="34"/>
      <c r="I649" s="196">
        <f>SF!I88</f>
        <v>15.140358000000003</v>
      </c>
      <c r="J649" s="196">
        <f>SF!J88</f>
        <v>0</v>
      </c>
      <c r="K649" s="511">
        <v>-0.44999999999999996</v>
      </c>
      <c r="L649" s="266"/>
    </row>
    <row r="650" spans="1:12">
      <c r="A650" s="25" t="s">
        <v>1009</v>
      </c>
      <c r="B650" s="26" t="s">
        <v>1000</v>
      </c>
      <c r="C650" s="26"/>
      <c r="D650" s="26"/>
      <c r="E650" s="27"/>
      <c r="F650" s="196">
        <f>SF!F95</f>
        <v>0</v>
      </c>
      <c r="G650" s="211"/>
      <c r="H650" s="34"/>
      <c r="I650" s="196">
        <f>SF!I95</f>
        <v>0</v>
      </c>
      <c r="J650" s="196">
        <f>SF!J95</f>
        <v>0</v>
      </c>
      <c r="K650" s="511">
        <v>-0.09</v>
      </c>
      <c r="L650" s="266"/>
    </row>
    <row r="651" spans="1:12">
      <c r="A651" s="25" t="s">
        <v>1010</v>
      </c>
      <c r="B651" s="26" t="s">
        <v>1001</v>
      </c>
      <c r="C651" s="26"/>
      <c r="D651" s="26"/>
      <c r="E651" s="27"/>
      <c r="F651" s="196">
        <f>SF!F96</f>
        <v>13.813144457142862</v>
      </c>
      <c r="G651" s="211"/>
      <c r="H651" s="34"/>
      <c r="I651" s="196">
        <f>SF!I96</f>
        <v>6.9065722285714308</v>
      </c>
      <c r="J651" s="196">
        <f>SF!J96</f>
        <v>-2.142281818285714</v>
      </c>
      <c r="K651" s="511">
        <v>-0.09</v>
      </c>
      <c r="L651" s="266"/>
    </row>
    <row r="652" spans="1:12">
      <c r="A652" s="25" t="s">
        <v>1011</v>
      </c>
      <c r="B652" s="26" t="s">
        <v>211</v>
      </c>
      <c r="C652" s="26"/>
      <c r="D652" s="26"/>
      <c r="E652" s="27"/>
      <c r="F652" s="196">
        <f>SF!F98</f>
        <v>17.865688175801139</v>
      </c>
      <c r="G652" s="211"/>
      <c r="H652" s="197"/>
      <c r="I652" s="196">
        <f>SF!I98</f>
        <v>0</v>
      </c>
      <c r="J652" s="196">
        <f>SF!J98</f>
        <v>0</v>
      </c>
      <c r="K652" s="511">
        <v>-0.44999999999999996</v>
      </c>
      <c r="L652" s="266"/>
    </row>
    <row r="653" spans="1:12">
      <c r="A653" s="253"/>
      <c r="B653" s="15"/>
      <c r="C653" s="15"/>
      <c r="D653" s="15"/>
      <c r="E653" s="22"/>
      <c r="F653" s="212"/>
      <c r="G653" s="213"/>
      <c r="H653" s="198"/>
      <c r="I653" s="198"/>
      <c r="J653" s="58"/>
      <c r="K653" s="208"/>
      <c r="L653" s="293"/>
    </row>
    <row r="654" spans="1:12">
      <c r="A654" s="46"/>
      <c r="B654" s="46"/>
      <c r="C654" s="46"/>
      <c r="D654" s="46"/>
      <c r="E654" s="46"/>
      <c r="F654" s="46"/>
      <c r="G654" s="46"/>
      <c r="H654" s="46"/>
      <c r="I654" s="46"/>
      <c r="J654" s="46"/>
      <c r="K654" s="87"/>
      <c r="L654" s="293"/>
    </row>
    <row r="655" spans="1:12">
      <c r="A655" s="220" t="s">
        <v>73</v>
      </c>
      <c r="B655" s="220" t="s">
        <v>74</v>
      </c>
      <c r="C655" s="200"/>
      <c r="D655" s="200"/>
      <c r="E655" s="217"/>
      <c r="F655" s="1636" t="s">
        <v>72</v>
      </c>
      <c r="G655" s="1637"/>
      <c r="H655" s="1637"/>
      <c r="I655" s="1637"/>
      <c r="J655" s="1638"/>
      <c r="K655" s="87"/>
      <c r="L655" s="293"/>
    </row>
    <row r="656" spans="1:12" ht="18">
      <c r="A656" s="221"/>
      <c r="B656" s="221"/>
      <c r="C656" s="201"/>
      <c r="D656" s="201"/>
      <c r="E656" s="219"/>
      <c r="F656" s="223" t="s">
        <v>23</v>
      </c>
      <c r="G656" s="223" t="s">
        <v>87</v>
      </c>
      <c r="H656" s="223" t="s">
        <v>212</v>
      </c>
      <c r="I656" s="223" t="s">
        <v>80</v>
      </c>
      <c r="J656" s="223" t="s">
        <v>81</v>
      </c>
      <c r="K656" s="87"/>
      <c r="L656" s="293"/>
    </row>
    <row r="657" spans="1:12">
      <c r="A657" s="222"/>
      <c r="B657" s="222"/>
      <c r="C657" s="203"/>
      <c r="D657" s="203"/>
      <c r="E657" s="218"/>
      <c r="F657" s="204" t="s">
        <v>34</v>
      </c>
      <c r="G657" s="204" t="s">
        <v>34</v>
      </c>
      <c r="H657" s="203" t="s">
        <v>34</v>
      </c>
      <c r="I657" s="204" t="s">
        <v>77</v>
      </c>
      <c r="J657" s="204" t="s">
        <v>77</v>
      </c>
      <c r="K657" s="87"/>
      <c r="L657" s="293"/>
    </row>
    <row r="658" spans="1:12">
      <c r="A658" s="202"/>
      <c r="B658" s="200"/>
      <c r="C658" s="200"/>
      <c r="D658" s="200"/>
      <c r="E658" s="217"/>
      <c r="F658" s="205"/>
      <c r="G658" s="205"/>
      <c r="H658" s="201"/>
      <c r="I658" s="205"/>
      <c r="J658" s="205"/>
      <c r="K658" s="87"/>
      <c r="L658" s="293"/>
    </row>
    <row r="659" spans="1:12">
      <c r="A659" s="205" t="str">
        <f>A624</f>
        <v>LC-22</v>
      </c>
      <c r="B659" s="201" t="str">
        <f>B624</f>
        <v>LC-4 + Seismic Sx=0.3,Sz=1,Sy=-0.3</v>
      </c>
      <c r="C659" s="201"/>
      <c r="D659" s="201"/>
      <c r="E659" s="219"/>
      <c r="F659" s="205">
        <f>SUMPRODUCT(F627:F652,$K$627:$K$652)</f>
        <v>1337.1641406304736</v>
      </c>
      <c r="G659" s="219">
        <f>SUMPRODUCT(G627:G652,$K$627:$K$652)</f>
        <v>61.560167518665764</v>
      </c>
      <c r="H659" s="219">
        <f>SUMPRODUCT(H627:H652,$K$627:$K$652)</f>
        <v>188.64647340126686</v>
      </c>
      <c r="I659" s="219">
        <f>SUMPRODUCT(I627:I652,$K$627:$K$652)</f>
        <v>494.25632871347727</v>
      </c>
      <c r="J659" s="219">
        <f>SUMPRODUCT(J627:J652,$K$627:$K$652)</f>
        <v>1584.6107329687179</v>
      </c>
      <c r="K659" s="87"/>
      <c r="L659" s="293"/>
    </row>
    <row r="660" spans="1:12">
      <c r="A660" s="204"/>
      <c r="B660" s="203"/>
      <c r="C660" s="203"/>
      <c r="D660" s="203"/>
      <c r="E660" s="218"/>
      <c r="F660" s="204"/>
      <c r="G660" s="204"/>
      <c r="H660" s="203"/>
      <c r="I660" s="204"/>
      <c r="J660" s="204"/>
      <c r="K660" s="87"/>
      <c r="L660" s="293"/>
    </row>
    <row r="663" spans="1:12">
      <c r="A663" s="811" t="str">
        <f>K663</f>
        <v>LC-23</v>
      </c>
      <c r="B663" s="31" t="str">
        <f>VLOOKUP(A663,LC_DEF_2!A45:B92,2,FALSE)</f>
        <v>LC-4 + Seismic Sx=1,Sz=0.3,Sy=0.3</v>
      </c>
      <c r="C663" s="31"/>
      <c r="D663" s="31"/>
      <c r="E663" s="32"/>
      <c r="F663" s="1599" t="s">
        <v>742</v>
      </c>
      <c r="G663" s="1635"/>
      <c r="H663" s="1635"/>
      <c r="I663" s="1635"/>
      <c r="J663" s="1600"/>
      <c r="K663" s="1580" t="s">
        <v>245</v>
      </c>
      <c r="L663" s="293"/>
    </row>
    <row r="664" spans="1:12" ht="18">
      <c r="A664" s="25" t="s">
        <v>73</v>
      </c>
      <c r="B664" s="26" t="s">
        <v>74</v>
      </c>
      <c r="C664" s="26"/>
      <c r="D664" s="26"/>
      <c r="E664" s="27"/>
      <c r="F664" s="58" t="s">
        <v>23</v>
      </c>
      <c r="G664" s="58" t="s">
        <v>87</v>
      </c>
      <c r="H664" s="58" t="s">
        <v>212</v>
      </c>
      <c r="I664" s="58" t="s">
        <v>80</v>
      </c>
      <c r="J664" s="58" t="s">
        <v>81</v>
      </c>
      <c r="K664" s="433"/>
      <c r="L664" s="293"/>
    </row>
    <row r="665" spans="1:12">
      <c r="A665" s="25"/>
      <c r="B665" s="26"/>
      <c r="C665" s="26"/>
      <c r="D665" s="26"/>
      <c r="E665" s="27"/>
      <c r="F665" s="36" t="s">
        <v>34</v>
      </c>
      <c r="G665" s="36" t="s">
        <v>34</v>
      </c>
      <c r="H665" s="36" t="s">
        <v>34</v>
      </c>
      <c r="I665" s="36" t="s">
        <v>77</v>
      </c>
      <c r="J665" s="36" t="s">
        <v>77</v>
      </c>
      <c r="K665" s="433"/>
      <c r="L665" s="293"/>
    </row>
    <row r="666" spans="1:12">
      <c r="A666" s="25" t="s">
        <v>88</v>
      </c>
      <c r="B666" s="26" t="s">
        <v>75</v>
      </c>
      <c r="C666" s="26"/>
      <c r="D666" s="26"/>
      <c r="E666" s="27"/>
      <c r="F666" s="195">
        <f>SF!F14</f>
        <v>365.08803866482532</v>
      </c>
      <c r="G666" s="210"/>
      <c r="H666" s="34"/>
      <c r="I666" s="195">
        <f>SF!I14</f>
        <v>0</v>
      </c>
      <c r="J666" s="195">
        <f>SF!J14</f>
        <v>0</v>
      </c>
      <c r="K666" s="511">
        <v>1.35</v>
      </c>
      <c r="L666" s="266"/>
    </row>
    <row r="667" spans="1:12">
      <c r="A667" s="25" t="s">
        <v>90</v>
      </c>
      <c r="B667" s="26" t="s">
        <v>249</v>
      </c>
      <c r="C667" s="26"/>
      <c r="D667" s="26"/>
      <c r="E667" s="27"/>
      <c r="F667" s="195">
        <f>SF!F16</f>
        <v>36.639026644707663</v>
      </c>
      <c r="G667" s="210"/>
      <c r="H667" s="34"/>
      <c r="I667" s="195">
        <f>SF!I16</f>
        <v>0</v>
      </c>
      <c r="J667" s="195">
        <f>SF!J16</f>
        <v>0</v>
      </c>
      <c r="K667" s="511">
        <v>1.35</v>
      </c>
      <c r="L667" s="266"/>
    </row>
    <row r="668" spans="1:12">
      <c r="A668" s="25" t="s">
        <v>250</v>
      </c>
      <c r="B668" s="26" t="s">
        <v>967</v>
      </c>
      <c r="C668" s="26"/>
      <c r="D668" s="26"/>
      <c r="E668" s="27"/>
      <c r="F668" s="195">
        <f>SF!F19</f>
        <v>230</v>
      </c>
      <c r="G668" s="27"/>
      <c r="H668" s="34"/>
      <c r="I668" s="195">
        <f>SF!I19</f>
        <v>-115</v>
      </c>
      <c r="J668" s="195">
        <f>SF!J19</f>
        <v>0</v>
      </c>
      <c r="K668" s="433">
        <v>1.35</v>
      </c>
      <c r="L668" s="11"/>
    </row>
    <row r="669" spans="1:12">
      <c r="A669" s="25" t="s">
        <v>251</v>
      </c>
      <c r="B669" s="26" t="s">
        <v>968</v>
      </c>
      <c r="C669" s="26"/>
      <c r="D669" s="26"/>
      <c r="E669" s="27"/>
      <c r="F669" s="195">
        <f>SF!F20</f>
        <v>20.660000000000004</v>
      </c>
      <c r="G669" s="27"/>
      <c r="H669" s="34"/>
      <c r="I669" s="195">
        <f>SF!I20</f>
        <v>-10.330000000000002</v>
      </c>
      <c r="J669" s="195">
        <f>SF!J20</f>
        <v>0</v>
      </c>
      <c r="K669" s="433">
        <v>1.35</v>
      </c>
      <c r="L669" s="11"/>
    </row>
    <row r="670" spans="1:12">
      <c r="A670" s="25" t="s">
        <v>97</v>
      </c>
      <c r="B670" s="26" t="s">
        <v>969</v>
      </c>
      <c r="C670" s="26"/>
      <c r="D670" s="26"/>
      <c r="E670" s="27"/>
      <c r="F670" s="195">
        <f>SF!F21</f>
        <v>42</v>
      </c>
      <c r="G670" s="27"/>
      <c r="H670" s="34"/>
      <c r="I670" s="195">
        <f>SF!I21</f>
        <v>-14.858499999999999</v>
      </c>
      <c r="J670" s="195">
        <f>SF!J21</f>
        <v>0</v>
      </c>
      <c r="K670" s="433">
        <v>1.35</v>
      </c>
      <c r="L670" s="11"/>
    </row>
    <row r="671" spans="1:12">
      <c r="A671" s="25" t="s">
        <v>250</v>
      </c>
      <c r="B671" s="26" t="s">
        <v>970</v>
      </c>
      <c r="C671" s="26"/>
      <c r="D671" s="26"/>
      <c r="E671" s="27"/>
      <c r="F671" s="195">
        <f>SF!F23</f>
        <v>230</v>
      </c>
      <c r="G671" s="27"/>
      <c r="H671" s="34"/>
      <c r="I671" s="195">
        <f>SF!I23</f>
        <v>115</v>
      </c>
      <c r="J671" s="195">
        <f>SF!J23</f>
        <v>0</v>
      </c>
      <c r="K671" s="433">
        <v>1.35</v>
      </c>
      <c r="L671" s="11"/>
    </row>
    <row r="672" spans="1:12">
      <c r="A672" s="25" t="s">
        <v>251</v>
      </c>
      <c r="B672" s="26" t="s">
        <v>971</v>
      </c>
      <c r="C672" s="26"/>
      <c r="D672" s="26"/>
      <c r="E672" s="27"/>
      <c r="F672" s="195">
        <f>SF!F24</f>
        <v>20.660000000000004</v>
      </c>
      <c r="G672" s="27"/>
      <c r="H672" s="34"/>
      <c r="I672" s="195">
        <f>SF!I24</f>
        <v>10.330000000000002</v>
      </c>
      <c r="J672" s="195">
        <f>SF!J24</f>
        <v>0</v>
      </c>
      <c r="K672" s="433">
        <v>1.35</v>
      </c>
      <c r="L672" s="266"/>
    </row>
    <row r="673" spans="1:12">
      <c r="A673" s="25" t="s">
        <v>97</v>
      </c>
      <c r="B673" s="26" t="s">
        <v>972</v>
      </c>
      <c r="C673" s="26"/>
      <c r="D673" s="26"/>
      <c r="E673" s="27"/>
      <c r="F673" s="195">
        <f>SF!F25</f>
        <v>42</v>
      </c>
      <c r="G673" s="27"/>
      <c r="H673" s="34"/>
      <c r="I673" s="195">
        <f>SF!I25</f>
        <v>14.858499999999999</v>
      </c>
      <c r="J673" s="195">
        <f>SF!J25</f>
        <v>0</v>
      </c>
      <c r="K673" s="511">
        <v>1.75</v>
      </c>
      <c r="L673" s="11"/>
    </row>
    <row r="674" spans="1:12">
      <c r="A674" s="25" t="s">
        <v>976</v>
      </c>
      <c r="B674" s="26" t="s">
        <v>981</v>
      </c>
      <c r="C674" s="26"/>
      <c r="D674" s="26"/>
      <c r="E674" s="27"/>
      <c r="F674" s="195">
        <f>SF!F33</f>
        <v>0</v>
      </c>
      <c r="G674" s="27"/>
      <c r="H674" s="34"/>
      <c r="I674" s="195">
        <f>SF!I33</f>
        <v>0</v>
      </c>
      <c r="J674" s="195">
        <f>SF!J33</f>
        <v>0</v>
      </c>
      <c r="K674" s="433">
        <v>0.2</v>
      </c>
      <c r="L674" s="266"/>
    </row>
    <row r="675" spans="1:12">
      <c r="A675" s="25" t="s">
        <v>977</v>
      </c>
      <c r="B675" s="26" t="s">
        <v>982</v>
      </c>
      <c r="C675" s="26"/>
      <c r="D675" s="26"/>
      <c r="E675" s="27"/>
      <c r="F675" s="195">
        <f>SF!F34</f>
        <v>127.89948571428575</v>
      </c>
      <c r="G675" s="27"/>
      <c r="H675" s="34"/>
      <c r="I675" s="195">
        <f>SF!I34</f>
        <v>63.949742857142873</v>
      </c>
      <c r="J675" s="195">
        <f>SF!J34</f>
        <v>-19.835942761904757</v>
      </c>
      <c r="K675" s="433">
        <v>0.2</v>
      </c>
      <c r="L675" s="266"/>
    </row>
    <row r="676" spans="1:12">
      <c r="A676" s="278" t="s">
        <v>200</v>
      </c>
      <c r="B676" s="262"/>
      <c r="C676" s="262"/>
      <c r="D676" s="262"/>
      <c r="E676" s="263"/>
      <c r="F676" s="279"/>
      <c r="G676" s="280"/>
      <c r="H676" s="264"/>
      <c r="I676" s="279"/>
      <c r="J676" s="264"/>
      <c r="K676" s="1581">
        <v>1.5</v>
      </c>
      <c r="L676" s="266"/>
    </row>
    <row r="677" spans="1:12">
      <c r="A677" s="25" t="s">
        <v>991</v>
      </c>
      <c r="B677" s="26" t="s">
        <v>989</v>
      </c>
      <c r="C677" s="26"/>
      <c r="D677" s="26"/>
      <c r="E677" s="27"/>
      <c r="F677" s="197"/>
      <c r="G677" s="172">
        <f>SF!G52</f>
        <v>94.821839999999995</v>
      </c>
      <c r="H677" s="34"/>
      <c r="I677" s="172">
        <f>SF!I52</f>
        <v>785.12483520000001</v>
      </c>
      <c r="J677" s="89"/>
      <c r="K677" s="511">
        <v>1.5</v>
      </c>
      <c r="L677" s="266"/>
    </row>
    <row r="678" spans="1:12">
      <c r="A678" s="25" t="s">
        <v>994</v>
      </c>
      <c r="B678" s="26" t="s">
        <v>996</v>
      </c>
      <c r="C678" s="26"/>
      <c r="D678" s="26"/>
      <c r="E678" s="27"/>
      <c r="F678" s="197"/>
      <c r="G678" s="172">
        <f>SF!G56</f>
        <v>4.5540000000000003</v>
      </c>
      <c r="H678" s="34"/>
      <c r="I678" s="172">
        <f>SF!I56</f>
        <v>37.70712000000001</v>
      </c>
      <c r="J678" s="89"/>
      <c r="K678" s="433">
        <v>1.5</v>
      </c>
      <c r="L678" s="266"/>
    </row>
    <row r="679" spans="1:12">
      <c r="A679" s="25" t="s">
        <v>217</v>
      </c>
      <c r="B679" s="26" t="s">
        <v>211</v>
      </c>
      <c r="C679" s="26"/>
      <c r="D679" s="26"/>
      <c r="E679" s="27"/>
      <c r="F679" s="197"/>
      <c r="G679" s="196">
        <f>SF!G58</f>
        <v>26.798532263701709</v>
      </c>
      <c r="H679" s="199"/>
      <c r="I679" s="172">
        <f>SF!I58</f>
        <v>147.28381289471153</v>
      </c>
      <c r="J679" s="195"/>
      <c r="K679" s="433">
        <v>1.5</v>
      </c>
      <c r="L679" s="266"/>
    </row>
    <row r="680" spans="1:12">
      <c r="A680" s="278" t="s">
        <v>1817</v>
      </c>
      <c r="B680" s="262"/>
      <c r="C680" s="262"/>
      <c r="D680" s="262"/>
      <c r="E680" s="263"/>
      <c r="F680" s="279"/>
      <c r="G680" s="280"/>
      <c r="H680" s="264"/>
      <c r="I680" s="279"/>
      <c r="J680" s="264"/>
      <c r="K680" s="1582">
        <v>0.44999999999999996</v>
      </c>
      <c r="L680" s="266"/>
    </row>
    <row r="681" spans="1:12">
      <c r="A681" s="25" t="s">
        <v>997</v>
      </c>
      <c r="B681" s="26" t="s">
        <v>988</v>
      </c>
      <c r="C681" s="26"/>
      <c r="D681" s="26"/>
      <c r="E681" s="27"/>
      <c r="F681" s="197"/>
      <c r="G681" s="211"/>
      <c r="H681" s="172">
        <f>SF!H67</f>
        <v>47.410919999999997</v>
      </c>
      <c r="I681" s="197"/>
      <c r="J681" s="172">
        <f>SF!J67</f>
        <v>433.10062959257624</v>
      </c>
      <c r="K681" s="511">
        <v>0.44999999999999996</v>
      </c>
      <c r="L681" s="266"/>
    </row>
    <row r="682" spans="1:12">
      <c r="A682" s="25" t="s">
        <v>998</v>
      </c>
      <c r="B682" s="26" t="s">
        <v>989</v>
      </c>
      <c r="C682" s="26"/>
      <c r="D682" s="26"/>
      <c r="E682" s="27"/>
      <c r="F682" s="197"/>
      <c r="G682" s="211"/>
      <c r="H682" s="172">
        <f>SF!H68</f>
        <v>47.410919999999997</v>
      </c>
      <c r="I682" s="197"/>
      <c r="J682" s="172">
        <f>SF!J68</f>
        <v>433.10062959257624</v>
      </c>
      <c r="K682" s="433">
        <v>0.44999999999999996</v>
      </c>
      <c r="L682" s="266"/>
    </row>
    <row r="683" spans="1:12">
      <c r="A683" s="25" t="s">
        <v>1004</v>
      </c>
      <c r="B683" s="26" t="s">
        <v>1000</v>
      </c>
      <c r="C683" s="26"/>
      <c r="D683" s="26"/>
      <c r="E683" s="27"/>
      <c r="F683" s="197"/>
      <c r="G683" s="211"/>
      <c r="H683" s="172">
        <f>SF!H75</f>
        <v>0</v>
      </c>
      <c r="I683" s="197"/>
      <c r="J683" s="172">
        <f>SF!J75</f>
        <v>0</v>
      </c>
      <c r="K683" s="433">
        <v>0.09</v>
      </c>
      <c r="L683" s="266"/>
    </row>
    <row r="684" spans="1:12">
      <c r="A684" s="25" t="s">
        <v>1005</v>
      </c>
      <c r="B684" s="26" t="s">
        <v>1001</v>
      </c>
      <c r="C684" s="26"/>
      <c r="D684" s="26"/>
      <c r="E684" s="27"/>
      <c r="F684" s="197"/>
      <c r="G684" s="211"/>
      <c r="H684" s="172">
        <f>SF!H76</f>
        <v>20.719716685714292</v>
      </c>
      <c r="I684" s="197"/>
      <c r="J684" s="172">
        <f>SF!J76</f>
        <v>227.1916934588572</v>
      </c>
      <c r="K684" s="433">
        <v>0.09</v>
      </c>
      <c r="L684" s="266"/>
    </row>
    <row r="685" spans="1:12">
      <c r="A685" s="25" t="s">
        <v>1006</v>
      </c>
      <c r="B685" s="26" t="s">
        <v>211</v>
      </c>
      <c r="C685" s="26"/>
      <c r="D685" s="26"/>
      <c r="E685" s="27"/>
      <c r="F685" s="197"/>
      <c r="G685" s="195"/>
      <c r="H685" s="172">
        <f>SF!H78</f>
        <v>26.798532263701709</v>
      </c>
      <c r="I685" s="195"/>
      <c r="J685" s="172">
        <f>SF!J78</f>
        <v>147.28381289471153</v>
      </c>
      <c r="K685" s="433">
        <v>0.44999999999999996</v>
      </c>
      <c r="L685" s="266"/>
    </row>
    <row r="686" spans="1:12">
      <c r="A686" s="990" t="s">
        <v>204</v>
      </c>
      <c r="B686" s="661"/>
      <c r="C686" s="661"/>
      <c r="D686" s="661"/>
      <c r="E686" s="584"/>
      <c r="F686" s="991"/>
      <c r="G686" s="992"/>
      <c r="H686" s="370"/>
      <c r="I686" s="991"/>
      <c r="J686" s="370"/>
      <c r="K686" s="1583">
        <v>0.44999999999999996</v>
      </c>
      <c r="L686" s="266"/>
    </row>
    <row r="687" spans="1:12">
      <c r="A687" s="25" t="s">
        <v>1007</v>
      </c>
      <c r="B687" s="26" t="s">
        <v>988</v>
      </c>
      <c r="C687" s="26"/>
      <c r="D687" s="26"/>
      <c r="E687" s="27"/>
      <c r="F687" s="196">
        <f>SF!F87</f>
        <v>31.607279999999999</v>
      </c>
      <c r="G687" s="211"/>
      <c r="H687" s="34"/>
      <c r="I687" s="196">
        <f>SF!I87</f>
        <v>-15.140358000000003</v>
      </c>
      <c r="J687" s="196">
        <f>SF!J87</f>
        <v>0</v>
      </c>
      <c r="K687" s="433">
        <v>0.44999999999999996</v>
      </c>
      <c r="L687" s="266"/>
    </row>
    <row r="688" spans="1:12">
      <c r="A688" s="25" t="s">
        <v>1008</v>
      </c>
      <c r="B688" s="26" t="s">
        <v>989</v>
      </c>
      <c r="C688" s="26"/>
      <c r="D688" s="26"/>
      <c r="E688" s="27"/>
      <c r="F688" s="196">
        <f>SF!F88</f>
        <v>31.607279999999999</v>
      </c>
      <c r="G688" s="211"/>
      <c r="H688" s="34"/>
      <c r="I688" s="196">
        <f>SF!I88</f>
        <v>15.140358000000003</v>
      </c>
      <c r="J688" s="196">
        <f>SF!J88</f>
        <v>0</v>
      </c>
      <c r="K688" s="511">
        <v>0.44999999999999996</v>
      </c>
      <c r="L688" s="266"/>
    </row>
    <row r="689" spans="1:12">
      <c r="A689" s="25" t="s">
        <v>1009</v>
      </c>
      <c r="B689" s="26" t="s">
        <v>1000</v>
      </c>
      <c r="C689" s="26"/>
      <c r="D689" s="26"/>
      <c r="E689" s="27"/>
      <c r="F689" s="196">
        <f>SF!F95</f>
        <v>0</v>
      </c>
      <c r="G689" s="211"/>
      <c r="H689" s="34"/>
      <c r="I689" s="196">
        <f>SF!I95</f>
        <v>0</v>
      </c>
      <c r="J689" s="196">
        <f>SF!J95</f>
        <v>0</v>
      </c>
      <c r="K689" s="511">
        <v>0.09</v>
      </c>
      <c r="L689" s="266"/>
    </row>
    <row r="690" spans="1:12">
      <c r="A690" s="25" t="s">
        <v>1010</v>
      </c>
      <c r="B690" s="26" t="s">
        <v>1001</v>
      </c>
      <c r="C690" s="26"/>
      <c r="D690" s="26"/>
      <c r="E690" s="27"/>
      <c r="F690" s="196">
        <f>SF!F96</f>
        <v>13.813144457142862</v>
      </c>
      <c r="G690" s="211"/>
      <c r="H690" s="34"/>
      <c r="I690" s="196">
        <f>SF!I96</f>
        <v>6.9065722285714308</v>
      </c>
      <c r="J690" s="196">
        <f>SF!J96</f>
        <v>-2.142281818285714</v>
      </c>
      <c r="K690" s="511">
        <v>0.09</v>
      </c>
      <c r="L690" s="266"/>
    </row>
    <row r="691" spans="1:12">
      <c r="A691" s="25" t="s">
        <v>1011</v>
      </c>
      <c r="B691" s="26" t="s">
        <v>211</v>
      </c>
      <c r="C691" s="26"/>
      <c r="D691" s="26"/>
      <c r="E691" s="27"/>
      <c r="F691" s="196">
        <f>SF!F98</f>
        <v>17.865688175801139</v>
      </c>
      <c r="G691" s="211"/>
      <c r="H691" s="197"/>
      <c r="I691" s="196">
        <f>SF!I98</f>
        <v>0</v>
      </c>
      <c r="J691" s="196">
        <f>SF!J98</f>
        <v>0</v>
      </c>
      <c r="K691" s="511">
        <v>0.44999999999999996</v>
      </c>
      <c r="L691" s="266"/>
    </row>
    <row r="692" spans="1:12">
      <c r="A692" s="253"/>
      <c r="B692" s="15"/>
      <c r="C692" s="15"/>
      <c r="D692" s="15"/>
      <c r="E692" s="22"/>
      <c r="F692" s="212"/>
      <c r="G692" s="213"/>
      <c r="H692" s="198"/>
      <c r="I692" s="198"/>
      <c r="J692" s="58"/>
      <c r="K692" s="208"/>
      <c r="L692" s="293"/>
    </row>
    <row r="693" spans="1:12">
      <c r="A693" s="46"/>
      <c r="B693" s="46"/>
      <c r="C693" s="46"/>
      <c r="D693" s="46"/>
      <c r="E693" s="46"/>
      <c r="F693" s="46"/>
      <c r="G693" s="46"/>
      <c r="H693" s="46"/>
      <c r="I693" s="46"/>
      <c r="J693" s="46"/>
      <c r="K693" s="87"/>
      <c r="L693" s="293"/>
    </row>
    <row r="694" spans="1:12">
      <c r="A694" s="220" t="s">
        <v>73</v>
      </c>
      <c r="B694" s="220" t="s">
        <v>74</v>
      </c>
      <c r="C694" s="200"/>
      <c r="D694" s="200"/>
      <c r="E694" s="217"/>
      <c r="F694" s="1636" t="s">
        <v>72</v>
      </c>
      <c r="G694" s="1637"/>
      <c r="H694" s="1637"/>
      <c r="I694" s="1637"/>
      <c r="J694" s="1638"/>
      <c r="K694" s="87"/>
      <c r="L694" s="293"/>
    </row>
    <row r="695" spans="1:12" ht="18">
      <c r="A695" s="221"/>
      <c r="B695" s="221"/>
      <c r="C695" s="201"/>
      <c r="D695" s="201"/>
      <c r="E695" s="219"/>
      <c r="F695" s="223" t="s">
        <v>23</v>
      </c>
      <c r="G695" s="223" t="s">
        <v>87</v>
      </c>
      <c r="H695" s="223" t="s">
        <v>212</v>
      </c>
      <c r="I695" s="223" t="s">
        <v>80</v>
      </c>
      <c r="J695" s="223" t="s">
        <v>81</v>
      </c>
      <c r="K695" s="87"/>
      <c r="L695" s="293"/>
    </row>
    <row r="696" spans="1:12">
      <c r="A696" s="222"/>
      <c r="B696" s="222"/>
      <c r="C696" s="203"/>
      <c r="D696" s="203"/>
      <c r="E696" s="218"/>
      <c r="F696" s="204" t="s">
        <v>34</v>
      </c>
      <c r="G696" s="204" t="s">
        <v>34</v>
      </c>
      <c r="H696" s="203" t="s">
        <v>34</v>
      </c>
      <c r="I696" s="204" t="s">
        <v>77</v>
      </c>
      <c r="J696" s="204" t="s">
        <v>77</v>
      </c>
      <c r="K696" s="87"/>
      <c r="L696" s="293"/>
    </row>
    <row r="697" spans="1:12">
      <c r="A697" s="202"/>
      <c r="B697" s="200"/>
      <c r="C697" s="200"/>
      <c r="D697" s="200"/>
      <c r="E697" s="217"/>
      <c r="F697" s="205"/>
      <c r="G697" s="205"/>
      <c r="H697" s="201"/>
      <c r="I697" s="205"/>
      <c r="J697" s="205"/>
      <c r="K697" s="87"/>
      <c r="L697" s="293"/>
    </row>
    <row r="698" spans="1:12">
      <c r="A698" s="205" t="str">
        <f>A663</f>
        <v>LC-23</v>
      </c>
      <c r="B698" s="201" t="str">
        <f>B663</f>
        <v>LC-4 + Seismic Sx=1,Sz=0.3,Sy=0.3</v>
      </c>
      <c r="C698" s="201"/>
      <c r="D698" s="201"/>
      <c r="E698" s="219"/>
      <c r="F698" s="205">
        <f>SUMPRODUCT(F666:F691,$K$666:$K$691)</f>
        <v>1412.6227299909799</v>
      </c>
      <c r="G698" s="219">
        <f>SUMPRODUCT(G666:G691,$K$666:$K$691)</f>
        <v>189.26155839555253</v>
      </c>
      <c r="H698" s="219">
        <f>SUMPRODUCT(H666:H691,$K$666:$K$691)</f>
        <v>56.593942020380048</v>
      </c>
      <c r="I698" s="219">
        <f>SUMPRODUCT(I666:I691,$K$666:$K$691)</f>
        <v>1474.528592214067</v>
      </c>
      <c r="J698" s="219">
        <f>SUMPRODUCT(J666:J691,$K$666:$K$691)</f>
        <v>472.35554093120919</v>
      </c>
      <c r="K698" s="87"/>
      <c r="L698" s="293"/>
    </row>
    <row r="699" spans="1:12">
      <c r="A699" s="204"/>
      <c r="B699" s="203"/>
      <c r="C699" s="203"/>
      <c r="D699" s="203"/>
      <c r="E699" s="218"/>
      <c r="F699" s="204"/>
      <c r="G699" s="204"/>
      <c r="H699" s="203"/>
      <c r="I699" s="204"/>
      <c r="J699" s="204"/>
      <c r="K699" s="87"/>
      <c r="L699" s="293"/>
    </row>
    <row r="702" spans="1:12">
      <c r="A702" s="811" t="str">
        <f>K702</f>
        <v>LC-24</v>
      </c>
      <c r="B702" s="31" t="str">
        <f>VLOOKUP(A702,LC_DEF_2!A45:B92,2,FALSE)</f>
        <v>LC-4 + Seismic Sx=0.3,Sz=1,Sy=0.3</v>
      </c>
      <c r="C702" s="31"/>
      <c r="D702" s="31"/>
      <c r="E702" s="32"/>
      <c r="F702" s="1599" t="s">
        <v>742</v>
      </c>
      <c r="G702" s="1635"/>
      <c r="H702" s="1635"/>
      <c r="I702" s="1635"/>
      <c r="J702" s="1600"/>
      <c r="K702" s="1580" t="s">
        <v>684</v>
      </c>
      <c r="L702" s="293"/>
    </row>
    <row r="703" spans="1:12" ht="18">
      <c r="A703" s="25" t="s">
        <v>73</v>
      </c>
      <c r="B703" s="26" t="s">
        <v>74</v>
      </c>
      <c r="C703" s="26"/>
      <c r="D703" s="26"/>
      <c r="E703" s="27"/>
      <c r="F703" s="58" t="s">
        <v>23</v>
      </c>
      <c r="G703" s="58" t="s">
        <v>87</v>
      </c>
      <c r="H703" s="58" t="s">
        <v>212</v>
      </c>
      <c r="I703" s="58" t="s">
        <v>80</v>
      </c>
      <c r="J703" s="58" t="s">
        <v>81</v>
      </c>
      <c r="K703" s="433"/>
      <c r="L703" s="293"/>
    </row>
    <row r="704" spans="1:12">
      <c r="A704" s="25"/>
      <c r="B704" s="26"/>
      <c r="C704" s="26"/>
      <c r="D704" s="26"/>
      <c r="E704" s="27"/>
      <c r="F704" s="36" t="s">
        <v>34</v>
      </c>
      <c r="G704" s="36" t="s">
        <v>34</v>
      </c>
      <c r="H704" s="36" t="s">
        <v>34</v>
      </c>
      <c r="I704" s="36" t="s">
        <v>77</v>
      </c>
      <c r="J704" s="36" t="s">
        <v>77</v>
      </c>
      <c r="K704" s="433"/>
      <c r="L704" s="293"/>
    </row>
    <row r="705" spans="1:12">
      <c r="A705" s="25" t="s">
        <v>88</v>
      </c>
      <c r="B705" s="26" t="s">
        <v>75</v>
      </c>
      <c r="C705" s="26"/>
      <c r="D705" s="26"/>
      <c r="E705" s="27"/>
      <c r="F705" s="195">
        <f>SF!F14</f>
        <v>365.08803866482532</v>
      </c>
      <c r="G705" s="210"/>
      <c r="H705" s="34"/>
      <c r="I705" s="195">
        <f>SF!I14</f>
        <v>0</v>
      </c>
      <c r="J705" s="195">
        <f>SF!J14</f>
        <v>0</v>
      </c>
      <c r="K705" s="511">
        <v>1.35</v>
      </c>
      <c r="L705" s="266"/>
    </row>
    <row r="706" spans="1:12">
      <c r="A706" s="25" t="s">
        <v>90</v>
      </c>
      <c r="B706" s="26" t="s">
        <v>249</v>
      </c>
      <c r="C706" s="26"/>
      <c r="D706" s="26"/>
      <c r="E706" s="27"/>
      <c r="F706" s="195">
        <f>SF!F16</f>
        <v>36.639026644707663</v>
      </c>
      <c r="G706" s="210"/>
      <c r="H706" s="34"/>
      <c r="I706" s="195">
        <f>SF!I16</f>
        <v>0</v>
      </c>
      <c r="J706" s="195">
        <f>SF!J16</f>
        <v>0</v>
      </c>
      <c r="K706" s="511">
        <v>1.35</v>
      </c>
      <c r="L706" s="266"/>
    </row>
    <row r="707" spans="1:12">
      <c r="A707" s="25" t="s">
        <v>250</v>
      </c>
      <c r="B707" s="26" t="s">
        <v>967</v>
      </c>
      <c r="C707" s="26"/>
      <c r="D707" s="26"/>
      <c r="E707" s="27"/>
      <c r="F707" s="195">
        <f>SF!F19</f>
        <v>230</v>
      </c>
      <c r="G707" s="27"/>
      <c r="H707" s="34"/>
      <c r="I707" s="195">
        <f>SF!I19</f>
        <v>-115</v>
      </c>
      <c r="J707" s="195">
        <f>SF!J19</f>
        <v>0</v>
      </c>
      <c r="K707" s="433">
        <v>1.35</v>
      </c>
      <c r="L707" s="11"/>
    </row>
    <row r="708" spans="1:12">
      <c r="A708" s="25" t="s">
        <v>251</v>
      </c>
      <c r="B708" s="26" t="s">
        <v>968</v>
      </c>
      <c r="C708" s="26"/>
      <c r="D708" s="26"/>
      <c r="E708" s="27"/>
      <c r="F708" s="195">
        <f>SF!F20</f>
        <v>20.660000000000004</v>
      </c>
      <c r="G708" s="27"/>
      <c r="H708" s="34"/>
      <c r="I708" s="195">
        <f>SF!I20</f>
        <v>-10.330000000000002</v>
      </c>
      <c r="J708" s="195">
        <f>SF!J20</f>
        <v>0</v>
      </c>
      <c r="K708" s="433">
        <v>1.35</v>
      </c>
      <c r="L708" s="11"/>
    </row>
    <row r="709" spans="1:12">
      <c r="A709" s="25" t="s">
        <v>97</v>
      </c>
      <c r="B709" s="26" t="s">
        <v>969</v>
      </c>
      <c r="C709" s="26"/>
      <c r="D709" s="26"/>
      <c r="E709" s="27"/>
      <c r="F709" s="195">
        <f>SF!F21</f>
        <v>42</v>
      </c>
      <c r="G709" s="27"/>
      <c r="H709" s="34"/>
      <c r="I709" s="195">
        <f>SF!I21</f>
        <v>-14.858499999999999</v>
      </c>
      <c r="J709" s="195">
        <f>SF!J21</f>
        <v>0</v>
      </c>
      <c r="K709" s="433">
        <v>1.35</v>
      </c>
      <c r="L709" s="11"/>
    </row>
    <row r="710" spans="1:12">
      <c r="A710" s="25" t="s">
        <v>250</v>
      </c>
      <c r="B710" s="26" t="s">
        <v>970</v>
      </c>
      <c r="C710" s="26"/>
      <c r="D710" s="26"/>
      <c r="E710" s="27"/>
      <c r="F710" s="195">
        <f>SF!F23</f>
        <v>230</v>
      </c>
      <c r="G710" s="27"/>
      <c r="H710" s="34"/>
      <c r="I710" s="195">
        <f>SF!I23</f>
        <v>115</v>
      </c>
      <c r="J710" s="195">
        <f>SF!J23</f>
        <v>0</v>
      </c>
      <c r="K710" s="433">
        <v>1.35</v>
      </c>
      <c r="L710" s="11"/>
    </row>
    <row r="711" spans="1:12">
      <c r="A711" s="25" t="s">
        <v>251</v>
      </c>
      <c r="B711" s="26" t="s">
        <v>971</v>
      </c>
      <c r="C711" s="26"/>
      <c r="D711" s="26"/>
      <c r="E711" s="27"/>
      <c r="F711" s="195">
        <f>SF!F24</f>
        <v>20.660000000000004</v>
      </c>
      <c r="G711" s="27"/>
      <c r="H711" s="34"/>
      <c r="I711" s="195">
        <f>SF!I24</f>
        <v>10.330000000000002</v>
      </c>
      <c r="J711" s="195">
        <f>SF!J24</f>
        <v>0</v>
      </c>
      <c r="K711" s="433">
        <v>1.35</v>
      </c>
      <c r="L711" s="266"/>
    </row>
    <row r="712" spans="1:12">
      <c r="A712" s="25" t="s">
        <v>97</v>
      </c>
      <c r="B712" s="26" t="s">
        <v>972</v>
      </c>
      <c r="C712" s="26"/>
      <c r="D712" s="26"/>
      <c r="E712" s="27"/>
      <c r="F712" s="195">
        <f>SF!F25</f>
        <v>42</v>
      </c>
      <c r="G712" s="27"/>
      <c r="H712" s="34"/>
      <c r="I712" s="195">
        <f>SF!I25</f>
        <v>14.858499999999999</v>
      </c>
      <c r="J712" s="195">
        <f>SF!J25</f>
        <v>0</v>
      </c>
      <c r="K712" s="511">
        <v>1.75</v>
      </c>
      <c r="L712" s="11"/>
    </row>
    <row r="713" spans="1:12">
      <c r="A713" s="25" t="s">
        <v>976</v>
      </c>
      <c r="B713" s="26" t="s">
        <v>981</v>
      </c>
      <c r="C713" s="26"/>
      <c r="D713" s="26"/>
      <c r="E713" s="27"/>
      <c r="F713" s="195">
        <f>SF!F33</f>
        <v>0</v>
      </c>
      <c r="G713" s="27"/>
      <c r="H713" s="34"/>
      <c r="I713" s="195">
        <f>SF!I33</f>
        <v>0</v>
      </c>
      <c r="J713" s="195">
        <f>SF!J33</f>
        <v>0</v>
      </c>
      <c r="K713" s="433">
        <v>0.2</v>
      </c>
      <c r="L713" s="266"/>
    </row>
    <row r="714" spans="1:12">
      <c r="A714" s="25" t="s">
        <v>977</v>
      </c>
      <c r="B714" s="26" t="s">
        <v>982</v>
      </c>
      <c r="C714" s="26"/>
      <c r="D714" s="26"/>
      <c r="E714" s="27"/>
      <c r="F714" s="195">
        <f>SF!F34</f>
        <v>127.89948571428575</v>
      </c>
      <c r="G714" s="27"/>
      <c r="H714" s="34"/>
      <c r="I714" s="195">
        <f>SF!I34</f>
        <v>63.949742857142873</v>
      </c>
      <c r="J714" s="195">
        <f>SF!J34</f>
        <v>-19.835942761904757</v>
      </c>
      <c r="K714" s="433">
        <v>0.2</v>
      </c>
      <c r="L714" s="266"/>
    </row>
    <row r="715" spans="1:12">
      <c r="A715" s="278" t="s">
        <v>200</v>
      </c>
      <c r="B715" s="262"/>
      <c r="C715" s="262"/>
      <c r="D715" s="262"/>
      <c r="E715" s="263"/>
      <c r="F715" s="279"/>
      <c r="G715" s="280"/>
      <c r="H715" s="264"/>
      <c r="I715" s="279"/>
      <c r="J715" s="264"/>
      <c r="K715" s="1581">
        <v>1.5</v>
      </c>
      <c r="L715" s="266"/>
    </row>
    <row r="716" spans="1:12">
      <c r="A716" s="25" t="s">
        <v>991</v>
      </c>
      <c r="B716" s="26" t="s">
        <v>989</v>
      </c>
      <c r="C716" s="26"/>
      <c r="D716" s="26"/>
      <c r="E716" s="27"/>
      <c r="F716" s="197"/>
      <c r="G716" s="172">
        <f>SF!G52</f>
        <v>94.821839999999995</v>
      </c>
      <c r="H716" s="34"/>
      <c r="I716" s="172">
        <f>SF!I52</f>
        <v>785.12483520000001</v>
      </c>
      <c r="J716" s="89"/>
      <c r="K716" s="511">
        <v>0.44999999999999996</v>
      </c>
      <c r="L716" s="266"/>
    </row>
    <row r="717" spans="1:12">
      <c r="A717" s="25" t="s">
        <v>994</v>
      </c>
      <c r="B717" s="26" t="s">
        <v>996</v>
      </c>
      <c r="C717" s="26"/>
      <c r="D717" s="26"/>
      <c r="E717" s="27"/>
      <c r="F717" s="197"/>
      <c r="G717" s="172">
        <f>SF!G56</f>
        <v>4.5540000000000003</v>
      </c>
      <c r="H717" s="34"/>
      <c r="I717" s="172">
        <f>SF!I56</f>
        <v>37.70712000000001</v>
      </c>
      <c r="J717" s="89"/>
      <c r="K717" s="433">
        <v>1.5</v>
      </c>
      <c r="L717" s="266"/>
    </row>
    <row r="718" spans="1:12">
      <c r="A718" s="25" t="s">
        <v>217</v>
      </c>
      <c r="B718" s="26" t="s">
        <v>211</v>
      </c>
      <c r="C718" s="26"/>
      <c r="D718" s="26"/>
      <c r="E718" s="27"/>
      <c r="F718" s="197"/>
      <c r="G718" s="196">
        <f>SF!G58</f>
        <v>26.798532263701709</v>
      </c>
      <c r="H718" s="199"/>
      <c r="I718" s="172">
        <f>SF!I58</f>
        <v>147.28381289471153</v>
      </c>
      <c r="J718" s="195"/>
      <c r="K718" s="433">
        <v>0.44999999999999996</v>
      </c>
      <c r="L718" s="266"/>
    </row>
    <row r="719" spans="1:12">
      <c r="A719" s="278" t="s">
        <v>1817</v>
      </c>
      <c r="B719" s="262"/>
      <c r="C719" s="262"/>
      <c r="D719" s="262"/>
      <c r="E719" s="263"/>
      <c r="F719" s="279"/>
      <c r="G719" s="280"/>
      <c r="H719" s="264"/>
      <c r="I719" s="279"/>
      <c r="J719" s="264"/>
      <c r="K719" s="1582">
        <v>1.5</v>
      </c>
      <c r="L719" s="266"/>
    </row>
    <row r="720" spans="1:12">
      <c r="A720" s="25" t="s">
        <v>997</v>
      </c>
      <c r="B720" s="26" t="s">
        <v>988</v>
      </c>
      <c r="C720" s="26"/>
      <c r="D720" s="26"/>
      <c r="E720" s="27"/>
      <c r="F720" s="197"/>
      <c r="G720" s="211"/>
      <c r="H720" s="172">
        <f>SF!H67</f>
        <v>47.410919999999997</v>
      </c>
      <c r="I720" s="197"/>
      <c r="J720" s="172">
        <f>SF!J67</f>
        <v>433.10062959257624</v>
      </c>
      <c r="K720" s="511">
        <v>1.5</v>
      </c>
      <c r="L720" s="266"/>
    </row>
    <row r="721" spans="1:12">
      <c r="A721" s="25" t="s">
        <v>998</v>
      </c>
      <c r="B721" s="26" t="s">
        <v>989</v>
      </c>
      <c r="C721" s="26"/>
      <c r="D721" s="26"/>
      <c r="E721" s="27"/>
      <c r="F721" s="197"/>
      <c r="G721" s="211"/>
      <c r="H721" s="172">
        <f>SF!H68</f>
        <v>47.410919999999997</v>
      </c>
      <c r="I721" s="197"/>
      <c r="J721" s="172">
        <f>SF!J68</f>
        <v>433.10062959257624</v>
      </c>
      <c r="K721" s="433">
        <v>1.5</v>
      </c>
      <c r="L721" s="266"/>
    </row>
    <row r="722" spans="1:12">
      <c r="A722" s="25" t="s">
        <v>1004</v>
      </c>
      <c r="B722" s="26" t="s">
        <v>1000</v>
      </c>
      <c r="C722" s="26"/>
      <c r="D722" s="26"/>
      <c r="E722" s="27"/>
      <c r="F722" s="197"/>
      <c r="G722" s="211"/>
      <c r="H722" s="172">
        <f>SF!H75</f>
        <v>0</v>
      </c>
      <c r="I722" s="197"/>
      <c r="J722" s="172">
        <f>SF!J75</f>
        <v>0</v>
      </c>
      <c r="K722" s="433">
        <v>0.30000000000000004</v>
      </c>
      <c r="L722" s="266"/>
    </row>
    <row r="723" spans="1:12">
      <c r="A723" s="25" t="s">
        <v>1005</v>
      </c>
      <c r="B723" s="26" t="s">
        <v>1001</v>
      </c>
      <c r="C723" s="26"/>
      <c r="D723" s="26"/>
      <c r="E723" s="27"/>
      <c r="F723" s="197"/>
      <c r="G723" s="211"/>
      <c r="H723" s="172">
        <f>SF!H76</f>
        <v>20.719716685714292</v>
      </c>
      <c r="I723" s="197"/>
      <c r="J723" s="172">
        <f>SF!J76</f>
        <v>227.1916934588572</v>
      </c>
      <c r="K723" s="433">
        <v>0.30000000000000004</v>
      </c>
      <c r="L723" s="266"/>
    </row>
    <row r="724" spans="1:12">
      <c r="A724" s="25" t="s">
        <v>1006</v>
      </c>
      <c r="B724" s="26" t="s">
        <v>211</v>
      </c>
      <c r="C724" s="26"/>
      <c r="D724" s="26"/>
      <c r="E724" s="27"/>
      <c r="F724" s="197"/>
      <c r="G724" s="195"/>
      <c r="H724" s="172">
        <f>SF!H78</f>
        <v>26.798532263701709</v>
      </c>
      <c r="I724" s="195"/>
      <c r="J724" s="172">
        <f>SF!J78</f>
        <v>147.28381289471153</v>
      </c>
      <c r="K724" s="433">
        <v>1.5</v>
      </c>
      <c r="L724" s="266"/>
    </row>
    <row r="725" spans="1:12">
      <c r="A725" s="990" t="s">
        <v>204</v>
      </c>
      <c r="B725" s="661"/>
      <c r="C725" s="661"/>
      <c r="D725" s="661"/>
      <c r="E725" s="584"/>
      <c r="F725" s="991"/>
      <c r="G725" s="992"/>
      <c r="H725" s="370"/>
      <c r="I725" s="991"/>
      <c r="J725" s="370"/>
      <c r="K725" s="1583">
        <v>0.44999999999999996</v>
      </c>
      <c r="L725" s="266"/>
    </row>
    <row r="726" spans="1:12">
      <c r="A726" s="25" t="s">
        <v>1007</v>
      </c>
      <c r="B726" s="26" t="s">
        <v>988</v>
      </c>
      <c r="C726" s="26"/>
      <c r="D726" s="26"/>
      <c r="E726" s="27"/>
      <c r="F726" s="196">
        <f>SF!F87</f>
        <v>31.607279999999999</v>
      </c>
      <c r="G726" s="211"/>
      <c r="H726" s="34"/>
      <c r="I726" s="196">
        <f>SF!I87</f>
        <v>-15.140358000000003</v>
      </c>
      <c r="J726" s="196">
        <f>SF!J87</f>
        <v>0</v>
      </c>
      <c r="K726" s="433">
        <v>0.44999999999999996</v>
      </c>
      <c r="L726" s="266"/>
    </row>
    <row r="727" spans="1:12">
      <c r="A727" s="25" t="s">
        <v>1008</v>
      </c>
      <c r="B727" s="26" t="s">
        <v>989</v>
      </c>
      <c r="C727" s="26"/>
      <c r="D727" s="26"/>
      <c r="E727" s="27"/>
      <c r="F727" s="196">
        <f>SF!F88</f>
        <v>31.607279999999999</v>
      </c>
      <c r="G727" s="211"/>
      <c r="H727" s="34"/>
      <c r="I727" s="196">
        <f>SF!I88</f>
        <v>15.140358000000003</v>
      </c>
      <c r="J727" s="196">
        <f>SF!J88</f>
        <v>0</v>
      </c>
      <c r="K727" s="511">
        <v>0.44999999999999996</v>
      </c>
      <c r="L727" s="266"/>
    </row>
    <row r="728" spans="1:12">
      <c r="A728" s="25" t="s">
        <v>1009</v>
      </c>
      <c r="B728" s="26" t="s">
        <v>1000</v>
      </c>
      <c r="C728" s="26"/>
      <c r="D728" s="26"/>
      <c r="E728" s="27"/>
      <c r="F728" s="196">
        <f>SF!F95</f>
        <v>0</v>
      </c>
      <c r="G728" s="211"/>
      <c r="H728" s="34"/>
      <c r="I728" s="196">
        <f>SF!I95</f>
        <v>0</v>
      </c>
      <c r="J728" s="196">
        <f>SF!J95</f>
        <v>0</v>
      </c>
      <c r="K728" s="511">
        <v>0.09</v>
      </c>
      <c r="L728" s="266"/>
    </row>
    <row r="729" spans="1:12">
      <c r="A729" s="25" t="s">
        <v>1010</v>
      </c>
      <c r="B729" s="26" t="s">
        <v>1001</v>
      </c>
      <c r="C729" s="26"/>
      <c r="D729" s="26"/>
      <c r="E729" s="27"/>
      <c r="F729" s="196">
        <f>SF!F96</f>
        <v>13.813144457142862</v>
      </c>
      <c r="G729" s="211"/>
      <c r="H729" s="34"/>
      <c r="I729" s="196">
        <f>SF!I96</f>
        <v>6.9065722285714308</v>
      </c>
      <c r="J729" s="196">
        <f>SF!J96</f>
        <v>-2.142281818285714</v>
      </c>
      <c r="K729" s="511">
        <v>0.09</v>
      </c>
      <c r="L729" s="266"/>
    </row>
    <row r="730" spans="1:12">
      <c r="A730" s="25" t="s">
        <v>1011</v>
      </c>
      <c r="B730" s="26" t="s">
        <v>211</v>
      </c>
      <c r="C730" s="26"/>
      <c r="D730" s="26"/>
      <c r="E730" s="27"/>
      <c r="F730" s="196">
        <f>SF!F98</f>
        <v>17.865688175801139</v>
      </c>
      <c r="G730" s="211"/>
      <c r="H730" s="197"/>
      <c r="I730" s="196">
        <f>SF!I98</f>
        <v>0</v>
      </c>
      <c r="J730" s="196">
        <f>SF!J98</f>
        <v>0</v>
      </c>
      <c r="K730" s="511">
        <v>0.44999999999999996</v>
      </c>
      <c r="L730" s="266"/>
    </row>
    <row r="731" spans="1:12">
      <c r="A731" s="253"/>
      <c r="B731" s="15"/>
      <c r="C731" s="15"/>
      <c r="D731" s="15"/>
      <c r="E731" s="22"/>
      <c r="F731" s="212"/>
      <c r="G731" s="213"/>
      <c r="H731" s="198"/>
      <c r="I731" s="198"/>
      <c r="J731" s="58"/>
      <c r="K731" s="208"/>
      <c r="L731" s="293"/>
    </row>
    <row r="732" spans="1:12">
      <c r="A732" s="46"/>
      <c r="B732" s="46"/>
      <c r="C732" s="46"/>
      <c r="D732" s="46"/>
      <c r="E732" s="46"/>
      <c r="F732" s="46"/>
      <c r="G732" s="46"/>
      <c r="H732" s="46"/>
      <c r="I732" s="46"/>
      <c r="J732" s="46"/>
      <c r="K732" s="87"/>
      <c r="L732" s="293"/>
    </row>
    <row r="733" spans="1:12">
      <c r="A733" s="220" t="s">
        <v>73</v>
      </c>
      <c r="B733" s="220" t="s">
        <v>74</v>
      </c>
      <c r="C733" s="200"/>
      <c r="D733" s="200"/>
      <c r="E733" s="217"/>
      <c r="F733" s="1636" t="s">
        <v>72</v>
      </c>
      <c r="G733" s="1637"/>
      <c r="H733" s="1637"/>
      <c r="I733" s="1637"/>
      <c r="J733" s="1638"/>
      <c r="K733" s="87"/>
      <c r="L733" s="293"/>
    </row>
    <row r="734" spans="1:12" ht="18">
      <c r="A734" s="221"/>
      <c r="B734" s="221"/>
      <c r="C734" s="201"/>
      <c r="D734" s="201"/>
      <c r="E734" s="219"/>
      <c r="F734" s="223" t="s">
        <v>23</v>
      </c>
      <c r="G734" s="223" t="s">
        <v>87</v>
      </c>
      <c r="H734" s="223" t="s">
        <v>212</v>
      </c>
      <c r="I734" s="223" t="s">
        <v>80</v>
      </c>
      <c r="J734" s="223" t="s">
        <v>81</v>
      </c>
      <c r="K734" s="87"/>
      <c r="L734" s="293"/>
    </row>
    <row r="735" spans="1:12">
      <c r="A735" s="222"/>
      <c r="B735" s="222"/>
      <c r="C735" s="203"/>
      <c r="D735" s="203"/>
      <c r="E735" s="218"/>
      <c r="F735" s="204" t="s">
        <v>34</v>
      </c>
      <c r="G735" s="204" t="s">
        <v>34</v>
      </c>
      <c r="H735" s="203" t="s">
        <v>34</v>
      </c>
      <c r="I735" s="204" t="s">
        <v>77</v>
      </c>
      <c r="J735" s="204" t="s">
        <v>77</v>
      </c>
      <c r="K735" s="87"/>
      <c r="L735" s="293"/>
    </row>
    <row r="736" spans="1:12">
      <c r="A736" s="202"/>
      <c r="B736" s="200"/>
      <c r="C736" s="200"/>
      <c r="D736" s="200"/>
      <c r="E736" s="217"/>
      <c r="F736" s="205"/>
      <c r="G736" s="205"/>
      <c r="H736" s="201"/>
      <c r="I736" s="205"/>
      <c r="J736" s="205"/>
      <c r="K736" s="87"/>
      <c r="L736" s="293"/>
    </row>
    <row r="737" spans="1:12">
      <c r="A737" s="205" t="str">
        <f>A702</f>
        <v>LC-24</v>
      </c>
      <c r="B737" s="201" t="str">
        <f>B702</f>
        <v>LC-4 + Seismic Sx=0.3,Sz=1,Sy=0.3</v>
      </c>
      <c r="C737" s="201"/>
      <c r="D737" s="201"/>
      <c r="E737" s="219"/>
      <c r="F737" s="205">
        <f>SUMPRODUCT(F705:F730,$K$705:$K$730)</f>
        <v>1412.6227299909799</v>
      </c>
      <c r="G737" s="219">
        <f>SUMPRODUCT(G705:G730,$K$705:$K$730)</f>
        <v>61.560167518665764</v>
      </c>
      <c r="H737" s="219">
        <f>SUMPRODUCT(H705:H730,$K$705:$K$730)</f>
        <v>188.64647340126686</v>
      </c>
      <c r="I737" s="219">
        <f>SUMPRODUCT(I705:I730,$K$705:$K$730)</f>
        <v>495.4995117146201</v>
      </c>
      <c r="J737" s="219">
        <f>SUMPRODUCT(J705:J730,$K$705:$K$730)</f>
        <v>1584.2251222414266</v>
      </c>
      <c r="K737" s="87"/>
      <c r="L737" s="293"/>
    </row>
    <row r="738" spans="1:12">
      <c r="A738" s="204"/>
      <c r="B738" s="203"/>
      <c r="C738" s="203"/>
      <c r="D738" s="203"/>
      <c r="E738" s="218"/>
      <c r="F738" s="204"/>
      <c r="G738" s="204"/>
      <c r="H738" s="203"/>
      <c r="I738" s="204"/>
      <c r="J738" s="204"/>
      <c r="K738" s="87"/>
      <c r="L738" s="293"/>
    </row>
    <row r="741" spans="1:12">
      <c r="A741" s="811" t="str">
        <f>K741</f>
        <v>LC-25</v>
      </c>
      <c r="B741" s="31" t="str">
        <f>VLOOKUP(A741,LC_DEF_2!A45:B92,2,FALSE)</f>
        <v>NS HFL Span dislodge case Comb-1</v>
      </c>
      <c r="C741" s="31"/>
      <c r="D741" s="31"/>
      <c r="E741" s="32"/>
      <c r="F741" s="1599" t="s">
        <v>742</v>
      </c>
      <c r="G741" s="1635"/>
      <c r="H741" s="1635"/>
      <c r="I741" s="1635"/>
      <c r="J741" s="1600"/>
      <c r="K741" s="1580" t="s">
        <v>1162</v>
      </c>
      <c r="L741" s="293"/>
    </row>
    <row r="742" spans="1:12" ht="18">
      <c r="A742" s="25" t="s">
        <v>73</v>
      </c>
      <c r="B742" s="26" t="s">
        <v>74</v>
      </c>
      <c r="C742" s="26"/>
      <c r="D742" s="26"/>
      <c r="E742" s="27"/>
      <c r="F742" s="58" t="s">
        <v>23</v>
      </c>
      <c r="G742" s="58" t="s">
        <v>87</v>
      </c>
      <c r="H742" s="58" t="s">
        <v>212</v>
      </c>
      <c r="I742" s="58" t="s">
        <v>80</v>
      </c>
      <c r="J742" s="58" t="s">
        <v>81</v>
      </c>
      <c r="K742" s="433"/>
      <c r="L742" s="293"/>
    </row>
    <row r="743" spans="1:12">
      <c r="A743" s="25"/>
      <c r="B743" s="26"/>
      <c r="C743" s="26"/>
      <c r="D743" s="26"/>
      <c r="E743" s="27"/>
      <c r="F743" s="36" t="s">
        <v>34</v>
      </c>
      <c r="G743" s="36" t="s">
        <v>34</v>
      </c>
      <c r="H743" s="36" t="s">
        <v>34</v>
      </c>
      <c r="I743" s="36" t="s">
        <v>77</v>
      </c>
      <c r="J743" s="36" t="s">
        <v>77</v>
      </c>
      <c r="K743" s="433"/>
      <c r="L743" s="293"/>
    </row>
    <row r="744" spans="1:12">
      <c r="A744" s="25" t="s">
        <v>88</v>
      </c>
      <c r="B744" s="26" t="s">
        <v>75</v>
      </c>
      <c r="C744" s="26"/>
      <c r="D744" s="26"/>
      <c r="E744" s="27"/>
      <c r="F744" s="195">
        <f>SF!F14</f>
        <v>365.08803866482532</v>
      </c>
      <c r="G744" s="210"/>
      <c r="H744" s="34"/>
      <c r="I744" s="195">
        <f>SF!I14</f>
        <v>0</v>
      </c>
      <c r="J744" s="195">
        <f>SF!J14</f>
        <v>0</v>
      </c>
      <c r="K744" s="511">
        <v>1.35</v>
      </c>
      <c r="L744" s="266"/>
    </row>
    <row r="745" spans="1:12">
      <c r="A745" s="25" t="s">
        <v>250</v>
      </c>
      <c r="B745" s="26" t="s">
        <v>970</v>
      </c>
      <c r="C745" s="26"/>
      <c r="D745" s="26"/>
      <c r="E745" s="27"/>
      <c r="F745" s="195">
        <f>SF!F23</f>
        <v>230</v>
      </c>
      <c r="G745" s="27"/>
      <c r="H745" s="34"/>
      <c r="I745" s="195">
        <f>SF!I23</f>
        <v>115</v>
      </c>
      <c r="J745" s="195">
        <f>SF!J23</f>
        <v>0</v>
      </c>
      <c r="K745" s="433">
        <v>1.35</v>
      </c>
      <c r="L745" s="11"/>
    </row>
    <row r="746" spans="1:12">
      <c r="A746" s="25" t="s">
        <v>251</v>
      </c>
      <c r="B746" s="26" t="s">
        <v>971</v>
      </c>
      <c r="C746" s="26"/>
      <c r="D746" s="26"/>
      <c r="E746" s="27"/>
      <c r="F746" s="195">
        <f>SF!F24</f>
        <v>20.660000000000004</v>
      </c>
      <c r="G746" s="27"/>
      <c r="H746" s="34"/>
      <c r="I746" s="195">
        <f>SF!I24</f>
        <v>10.330000000000002</v>
      </c>
      <c r="J746" s="195">
        <f>SF!J24</f>
        <v>0</v>
      </c>
      <c r="K746" s="433">
        <v>1.35</v>
      </c>
      <c r="L746" s="266"/>
    </row>
    <row r="747" spans="1:12">
      <c r="A747" s="25" t="s">
        <v>97</v>
      </c>
      <c r="B747" s="26" t="s">
        <v>972</v>
      </c>
      <c r="C747" s="26"/>
      <c r="D747" s="26"/>
      <c r="E747" s="27"/>
      <c r="F747" s="195">
        <f>SF!F25</f>
        <v>42</v>
      </c>
      <c r="G747" s="27"/>
      <c r="H747" s="34"/>
      <c r="I747" s="195">
        <f>SF!I25</f>
        <v>14.858499999999999</v>
      </c>
      <c r="J747" s="195">
        <f>SF!J25</f>
        <v>0</v>
      </c>
      <c r="K747" s="511">
        <v>1.75</v>
      </c>
      <c r="L747" s="11"/>
    </row>
    <row r="748" spans="1:12">
      <c r="A748" s="25" t="s">
        <v>987</v>
      </c>
      <c r="B748" s="163" t="s">
        <v>957</v>
      </c>
      <c r="C748" s="26"/>
      <c r="D748" s="26"/>
      <c r="E748" s="27"/>
      <c r="F748" s="34"/>
      <c r="G748" s="195">
        <f>SF!G41</f>
        <v>14.632999999999999</v>
      </c>
      <c r="H748" s="34"/>
      <c r="I748" s="195">
        <f>SF!I41</f>
        <v>121.16124000000001</v>
      </c>
      <c r="J748" s="34"/>
      <c r="K748" s="433">
        <v>1.5</v>
      </c>
      <c r="L748" s="266"/>
    </row>
    <row r="749" spans="1:12">
      <c r="A749" s="686" t="s">
        <v>1128</v>
      </c>
      <c r="B749" s="687"/>
      <c r="C749" s="688"/>
      <c r="D749" s="688"/>
      <c r="E749" s="689"/>
      <c r="F749" s="696">
        <f>SF!F43</f>
        <v>-103.56143333397094</v>
      </c>
      <c r="G749" s="689"/>
      <c r="H749" s="690"/>
      <c r="I749" s="690"/>
      <c r="J749" s="690"/>
      <c r="K749" s="433">
        <v>0.15</v>
      </c>
      <c r="L749" s="266"/>
    </row>
    <row r="750" spans="1:12">
      <c r="A750" s="686" t="s">
        <v>1131</v>
      </c>
      <c r="B750" s="687"/>
      <c r="C750" s="688"/>
      <c r="D750" s="688"/>
      <c r="E750" s="689"/>
      <c r="F750" s="690"/>
      <c r="G750" s="696">
        <f>SF!G47</f>
        <v>3.2856246869242693</v>
      </c>
      <c r="H750" s="696">
        <f>SF!H47</f>
        <v>3.5397182492142409</v>
      </c>
      <c r="I750" s="696">
        <f>SF!I47</f>
        <v>7.0628515103002814</v>
      </c>
      <c r="J750" s="696">
        <f>SF!J47</f>
        <v>5.3297614737052639</v>
      </c>
      <c r="K750" s="433">
        <v>1</v>
      </c>
      <c r="L750" s="266"/>
    </row>
    <row r="751" spans="1:12">
      <c r="A751" s="253"/>
      <c r="B751" s="15"/>
      <c r="C751" s="15"/>
      <c r="D751" s="15"/>
      <c r="E751" s="22"/>
      <c r="F751" s="212"/>
      <c r="G751" s="213"/>
      <c r="H751" s="198"/>
      <c r="I751" s="198"/>
      <c r="J751" s="58"/>
      <c r="K751" s="208"/>
      <c r="L751" s="293"/>
    </row>
    <row r="752" spans="1:12">
      <c r="A752" s="46"/>
      <c r="B752" s="46"/>
      <c r="C752" s="46"/>
      <c r="D752" s="46"/>
      <c r="E752" s="46"/>
      <c r="F752" s="46"/>
      <c r="G752" s="46"/>
      <c r="H752" s="46"/>
      <c r="I752" s="46"/>
      <c r="J752" s="46"/>
      <c r="K752" s="87"/>
      <c r="L752" s="293"/>
    </row>
    <row r="753" spans="1:12">
      <c r="A753" s="220" t="s">
        <v>73</v>
      </c>
      <c r="B753" s="220" t="s">
        <v>74</v>
      </c>
      <c r="C753" s="200"/>
      <c r="D753" s="200"/>
      <c r="E753" s="217"/>
      <c r="F753" s="1636" t="s">
        <v>72</v>
      </c>
      <c r="G753" s="1637"/>
      <c r="H753" s="1637"/>
      <c r="I753" s="1637"/>
      <c r="J753" s="1638"/>
      <c r="K753" s="87"/>
      <c r="L753" s="293"/>
    </row>
    <row r="754" spans="1:12" ht="18">
      <c r="A754" s="221"/>
      <c r="B754" s="221"/>
      <c r="C754" s="201"/>
      <c r="D754" s="201"/>
      <c r="E754" s="219"/>
      <c r="F754" s="223" t="s">
        <v>23</v>
      </c>
      <c r="G754" s="223" t="s">
        <v>87</v>
      </c>
      <c r="H754" s="223" t="s">
        <v>212</v>
      </c>
      <c r="I754" s="223" t="s">
        <v>80</v>
      </c>
      <c r="J754" s="223" t="s">
        <v>81</v>
      </c>
      <c r="K754" s="87"/>
      <c r="L754" s="293"/>
    </row>
    <row r="755" spans="1:12">
      <c r="A755" s="222"/>
      <c r="B755" s="222"/>
      <c r="C755" s="203"/>
      <c r="D755" s="203"/>
      <c r="E755" s="218"/>
      <c r="F755" s="204" t="s">
        <v>34</v>
      </c>
      <c r="G755" s="204" t="s">
        <v>34</v>
      </c>
      <c r="H755" s="203" t="s">
        <v>34</v>
      </c>
      <c r="I755" s="204" t="s">
        <v>77</v>
      </c>
      <c r="J755" s="204" t="s">
        <v>77</v>
      </c>
      <c r="K755" s="87"/>
      <c r="L755" s="293"/>
    </row>
    <row r="756" spans="1:12">
      <c r="A756" s="202"/>
      <c r="B756" s="200"/>
      <c r="C756" s="200"/>
      <c r="D756" s="200"/>
      <c r="E756" s="217"/>
      <c r="F756" s="205"/>
      <c r="G756" s="205"/>
      <c r="H756" s="201"/>
      <c r="I756" s="205"/>
      <c r="J756" s="205"/>
      <c r="K756" s="87"/>
      <c r="L756" s="293"/>
    </row>
    <row r="757" spans="1:12">
      <c r="A757" s="205" t="str">
        <f>A741</f>
        <v>LC-25</v>
      </c>
      <c r="B757" s="201" t="str">
        <f>B741</f>
        <v>NS HFL Span dislodge case Comb-1</v>
      </c>
      <c r="C757" s="201"/>
      <c r="D757" s="201"/>
      <c r="E757" s="219"/>
      <c r="F757" s="205">
        <f>SUMPRODUCT(F744:F750,$K$744:$K$750)</f>
        <v>889.22563719741856</v>
      </c>
      <c r="G757" s="219">
        <f>SUMPRODUCT(G744:G750,$K$744:$K$750)</f>
        <v>25.235124686924269</v>
      </c>
      <c r="H757" s="219">
        <f>SUMPRODUCT(H744:H750,$K$744:$K$750)</f>
        <v>3.5397182492142409</v>
      </c>
      <c r="I757" s="219">
        <f>SUMPRODUCT(I744:I750,$K$744:$K$750)</f>
        <v>384.00258651030032</v>
      </c>
      <c r="J757" s="219">
        <f>SUMPRODUCT(J744:J750,$K$744:$K$750)</f>
        <v>5.3297614737052639</v>
      </c>
      <c r="K757" s="87"/>
      <c r="L757" s="293"/>
    </row>
    <row r="758" spans="1:12">
      <c r="A758" s="204"/>
      <c r="B758" s="203"/>
      <c r="C758" s="203"/>
      <c r="D758" s="203"/>
      <c r="E758" s="218"/>
      <c r="F758" s="204"/>
      <c r="G758" s="204"/>
      <c r="H758" s="203"/>
      <c r="I758" s="204"/>
      <c r="J758" s="204"/>
      <c r="K758" s="87"/>
      <c r="L758" s="293"/>
    </row>
    <row r="761" spans="1:12">
      <c r="A761" s="811" t="str">
        <f>K761</f>
        <v>LC-26</v>
      </c>
      <c r="B761" s="31" t="str">
        <f>VLOOKUP(A761,LC_DEF_2!A45:B92,2,FALSE)</f>
        <v>NS HFL No Live load Comb-1</v>
      </c>
      <c r="C761" s="31"/>
      <c r="D761" s="31"/>
      <c r="E761" s="32"/>
      <c r="F761" s="1599" t="s">
        <v>742</v>
      </c>
      <c r="G761" s="1635"/>
      <c r="H761" s="1635"/>
      <c r="I761" s="1635"/>
      <c r="J761" s="1600"/>
      <c r="K761" s="1580" t="s">
        <v>1163</v>
      </c>
      <c r="L761" s="293"/>
    </row>
    <row r="762" spans="1:12" ht="18">
      <c r="A762" s="25" t="s">
        <v>73</v>
      </c>
      <c r="B762" s="26" t="s">
        <v>74</v>
      </c>
      <c r="C762" s="26"/>
      <c r="D762" s="26"/>
      <c r="E762" s="27"/>
      <c r="F762" s="58" t="s">
        <v>23</v>
      </c>
      <c r="G762" s="58" t="s">
        <v>87</v>
      </c>
      <c r="H762" s="58" t="s">
        <v>212</v>
      </c>
      <c r="I762" s="58" t="s">
        <v>80</v>
      </c>
      <c r="J762" s="58" t="s">
        <v>81</v>
      </c>
      <c r="K762" s="433"/>
      <c r="L762" s="293"/>
    </row>
    <row r="763" spans="1:12">
      <c r="A763" s="25"/>
      <c r="B763" s="26"/>
      <c r="C763" s="26"/>
      <c r="D763" s="26"/>
      <c r="E763" s="27"/>
      <c r="F763" s="36" t="s">
        <v>34</v>
      </c>
      <c r="G763" s="36" t="s">
        <v>34</v>
      </c>
      <c r="H763" s="36" t="s">
        <v>34</v>
      </c>
      <c r="I763" s="36" t="s">
        <v>77</v>
      </c>
      <c r="J763" s="36" t="s">
        <v>77</v>
      </c>
      <c r="K763" s="433"/>
      <c r="L763" s="293"/>
    </row>
    <row r="764" spans="1:12">
      <c r="A764" s="25" t="s">
        <v>88</v>
      </c>
      <c r="B764" s="26" t="s">
        <v>75</v>
      </c>
      <c r="C764" s="26"/>
      <c r="D764" s="26"/>
      <c r="E764" s="27"/>
      <c r="F764" s="195">
        <f>SF!F14</f>
        <v>365.08803866482532</v>
      </c>
      <c r="G764" s="210"/>
      <c r="H764" s="34"/>
      <c r="I764" s="195">
        <f>SF!I14</f>
        <v>0</v>
      </c>
      <c r="J764" s="195">
        <f>SF!J14</f>
        <v>0</v>
      </c>
      <c r="K764" s="511">
        <v>1.35</v>
      </c>
      <c r="L764" s="266"/>
    </row>
    <row r="765" spans="1:12">
      <c r="A765" s="25" t="s">
        <v>250</v>
      </c>
      <c r="B765" s="26" t="s">
        <v>967</v>
      </c>
      <c r="C765" s="26"/>
      <c r="D765" s="26"/>
      <c r="E765" s="27"/>
      <c r="F765" s="195">
        <f>SF!F19</f>
        <v>230</v>
      </c>
      <c r="G765" s="27"/>
      <c r="H765" s="34"/>
      <c r="I765" s="195">
        <f>SF!I19</f>
        <v>-115</v>
      </c>
      <c r="J765" s="195">
        <f>SF!J19</f>
        <v>0</v>
      </c>
      <c r="K765" s="433">
        <v>1.35</v>
      </c>
      <c r="L765" s="11"/>
    </row>
    <row r="766" spans="1:12">
      <c r="A766" s="25" t="s">
        <v>251</v>
      </c>
      <c r="B766" s="26" t="s">
        <v>968</v>
      </c>
      <c r="C766" s="26"/>
      <c r="D766" s="26"/>
      <c r="E766" s="27"/>
      <c r="F766" s="195">
        <f>SF!F20</f>
        <v>20.660000000000004</v>
      </c>
      <c r="G766" s="27"/>
      <c r="H766" s="34"/>
      <c r="I766" s="195">
        <f>SF!I20</f>
        <v>-10.330000000000002</v>
      </c>
      <c r="J766" s="195">
        <f>SF!J20</f>
        <v>0</v>
      </c>
      <c r="K766" s="433">
        <v>1.35</v>
      </c>
      <c r="L766" s="11"/>
    </row>
    <row r="767" spans="1:12">
      <c r="A767" s="25" t="s">
        <v>97</v>
      </c>
      <c r="B767" s="26" t="s">
        <v>969</v>
      </c>
      <c r="C767" s="26"/>
      <c r="D767" s="26"/>
      <c r="E767" s="27"/>
      <c r="F767" s="195">
        <f>SF!F21</f>
        <v>42</v>
      </c>
      <c r="G767" s="27"/>
      <c r="H767" s="34"/>
      <c r="I767" s="195">
        <f>SF!I21</f>
        <v>-14.858499999999999</v>
      </c>
      <c r="J767" s="195">
        <f>SF!J21</f>
        <v>0</v>
      </c>
      <c r="K767" s="433">
        <v>1.35</v>
      </c>
      <c r="L767" s="11"/>
    </row>
    <row r="768" spans="1:12">
      <c r="A768" s="25" t="s">
        <v>250</v>
      </c>
      <c r="B768" s="26" t="s">
        <v>970</v>
      </c>
      <c r="C768" s="26"/>
      <c r="D768" s="26"/>
      <c r="E768" s="27"/>
      <c r="F768" s="195">
        <f>SF!F23</f>
        <v>230</v>
      </c>
      <c r="G768" s="27"/>
      <c r="H768" s="34"/>
      <c r="I768" s="195">
        <f>SF!I23</f>
        <v>115</v>
      </c>
      <c r="J768" s="195">
        <f>SF!J23</f>
        <v>0</v>
      </c>
      <c r="K768" s="433">
        <v>1.35</v>
      </c>
      <c r="L768" s="11"/>
    </row>
    <row r="769" spans="1:12">
      <c r="A769" s="25" t="s">
        <v>251</v>
      </c>
      <c r="B769" s="26" t="s">
        <v>971</v>
      </c>
      <c r="C769" s="26"/>
      <c r="D769" s="26"/>
      <c r="E769" s="27"/>
      <c r="F769" s="195">
        <f>SF!F24</f>
        <v>20.660000000000004</v>
      </c>
      <c r="G769" s="27"/>
      <c r="H769" s="34"/>
      <c r="I769" s="195">
        <f>SF!I24</f>
        <v>10.330000000000002</v>
      </c>
      <c r="J769" s="195">
        <f>SF!J24</f>
        <v>0</v>
      </c>
      <c r="K769" s="433">
        <v>1.35</v>
      </c>
      <c r="L769" s="266"/>
    </row>
    <row r="770" spans="1:12">
      <c r="A770" s="25" t="s">
        <v>97</v>
      </c>
      <c r="B770" s="26" t="s">
        <v>972</v>
      </c>
      <c r="C770" s="26"/>
      <c r="D770" s="26"/>
      <c r="E770" s="27"/>
      <c r="F770" s="195">
        <f>SF!F25</f>
        <v>42</v>
      </c>
      <c r="G770" s="27"/>
      <c r="H770" s="34"/>
      <c r="I770" s="195">
        <f>SF!I25</f>
        <v>14.858499999999999</v>
      </c>
      <c r="J770" s="195">
        <f>SF!J25</f>
        <v>0</v>
      </c>
      <c r="K770" s="511">
        <v>1.75</v>
      </c>
      <c r="L770" s="11"/>
    </row>
    <row r="771" spans="1:12">
      <c r="A771" s="25" t="s">
        <v>986</v>
      </c>
      <c r="B771" s="163" t="s">
        <v>955</v>
      </c>
      <c r="C771" s="26"/>
      <c r="D771" s="26"/>
      <c r="E771" s="27"/>
      <c r="F771" s="34"/>
      <c r="G771" s="195">
        <f>SF!G40</f>
        <v>5.8532000000000011</v>
      </c>
      <c r="H771" s="34"/>
      <c r="I771" s="195">
        <f>SF!I40</f>
        <v>48.464496000000018</v>
      </c>
      <c r="J771" s="34"/>
      <c r="K771" s="433">
        <v>1.5</v>
      </c>
      <c r="L771" s="266"/>
    </row>
    <row r="772" spans="1:12">
      <c r="A772" s="686" t="s">
        <v>1128</v>
      </c>
      <c r="B772" s="687"/>
      <c r="C772" s="688"/>
      <c r="D772" s="688"/>
      <c r="E772" s="689"/>
      <c r="F772" s="696">
        <f>SF!F43</f>
        <v>-103.56143333397094</v>
      </c>
      <c r="G772" s="689"/>
      <c r="H772" s="690"/>
      <c r="I772" s="690"/>
      <c r="J772" s="690"/>
      <c r="K772" s="433">
        <v>0.15</v>
      </c>
      <c r="L772" s="266"/>
    </row>
    <row r="773" spans="1:12">
      <c r="A773" s="686" t="s">
        <v>1131</v>
      </c>
      <c r="B773" s="687"/>
      <c r="C773" s="688"/>
      <c r="D773" s="688"/>
      <c r="E773" s="689"/>
      <c r="F773" s="690"/>
      <c r="G773" s="696">
        <f>SF!G47</f>
        <v>3.2856246869242693</v>
      </c>
      <c r="H773" s="696">
        <f>SF!H47</f>
        <v>3.5397182492142409</v>
      </c>
      <c r="I773" s="696">
        <f>SF!I47</f>
        <v>7.0628515103002814</v>
      </c>
      <c r="J773" s="696">
        <f>SF!J47</f>
        <v>5.3297614737052639</v>
      </c>
      <c r="K773" s="433">
        <v>1</v>
      </c>
      <c r="L773" s="266"/>
    </row>
    <row r="774" spans="1:12">
      <c r="A774" s="253"/>
      <c r="B774" s="15"/>
      <c r="C774" s="15"/>
      <c r="D774" s="15"/>
      <c r="E774" s="22"/>
      <c r="F774" s="212"/>
      <c r="G774" s="213"/>
      <c r="H774" s="198"/>
      <c r="I774" s="198"/>
      <c r="J774" s="58"/>
      <c r="K774" s="208"/>
      <c r="L774" s="293"/>
    </row>
    <row r="775" spans="1:12">
      <c r="A775" s="46"/>
      <c r="B775" s="46"/>
      <c r="C775" s="46"/>
      <c r="D775" s="46"/>
      <c r="E775" s="46"/>
      <c r="F775" s="46"/>
      <c r="G775" s="46"/>
      <c r="H775" s="46"/>
      <c r="I775" s="46"/>
      <c r="J775" s="46"/>
      <c r="K775" s="87"/>
      <c r="L775" s="293"/>
    </row>
    <row r="776" spans="1:12">
      <c r="A776" s="220" t="s">
        <v>73</v>
      </c>
      <c r="B776" s="220" t="s">
        <v>74</v>
      </c>
      <c r="C776" s="200"/>
      <c r="D776" s="200"/>
      <c r="E776" s="217"/>
      <c r="F776" s="1636" t="s">
        <v>72</v>
      </c>
      <c r="G776" s="1637"/>
      <c r="H776" s="1637"/>
      <c r="I776" s="1637"/>
      <c r="J776" s="1638"/>
      <c r="K776" s="87"/>
      <c r="L776" s="293"/>
    </row>
    <row r="777" spans="1:12" ht="18">
      <c r="A777" s="221"/>
      <c r="B777" s="221"/>
      <c r="C777" s="201"/>
      <c r="D777" s="201"/>
      <c r="E777" s="219"/>
      <c r="F777" s="223" t="s">
        <v>23</v>
      </c>
      <c r="G777" s="223" t="s">
        <v>87</v>
      </c>
      <c r="H777" s="223" t="s">
        <v>212</v>
      </c>
      <c r="I777" s="223" t="s">
        <v>80</v>
      </c>
      <c r="J777" s="223" t="s">
        <v>81</v>
      </c>
      <c r="K777" s="87"/>
      <c r="L777" s="293"/>
    </row>
    <row r="778" spans="1:12">
      <c r="A778" s="222"/>
      <c r="B778" s="222"/>
      <c r="C778" s="203"/>
      <c r="D778" s="203"/>
      <c r="E778" s="218"/>
      <c r="F778" s="204" t="s">
        <v>34</v>
      </c>
      <c r="G778" s="204" t="s">
        <v>34</v>
      </c>
      <c r="H778" s="203" t="s">
        <v>34</v>
      </c>
      <c r="I778" s="204" t="s">
        <v>77</v>
      </c>
      <c r="J778" s="204" t="s">
        <v>77</v>
      </c>
      <c r="K778" s="87"/>
      <c r="L778" s="293"/>
    </row>
    <row r="779" spans="1:12">
      <c r="A779" s="202"/>
      <c r="B779" s="200"/>
      <c r="C779" s="200"/>
      <c r="D779" s="200"/>
      <c r="E779" s="217"/>
      <c r="F779" s="205"/>
      <c r="G779" s="205"/>
      <c r="H779" s="201"/>
      <c r="I779" s="205"/>
      <c r="J779" s="205"/>
      <c r="K779" s="87"/>
      <c r="L779" s="293"/>
    </row>
    <row r="780" spans="1:12">
      <c r="A780" s="205" t="str">
        <f>A761</f>
        <v>LC-26</v>
      </c>
      <c r="B780" s="201" t="str">
        <f>B761</f>
        <v>NS HFL No Live load Comb-1</v>
      </c>
      <c r="C780" s="201"/>
      <c r="D780" s="201"/>
      <c r="E780" s="219"/>
      <c r="F780" s="205">
        <f>SUMPRODUCT(F764:F773,$K$764:$K$773)</f>
        <v>1284.3166371974187</v>
      </c>
      <c r="G780" s="219">
        <f>SUMPRODUCT(G764:G773,$K$764:$K$773)</f>
        <v>12.065424686924271</v>
      </c>
      <c r="H780" s="219">
        <f>SUMPRODUCT(H764:H773,$K$764:$K$773)</f>
        <v>3.5397182492142409</v>
      </c>
      <c r="I780" s="219">
        <f>SUMPRODUCT(I764:I773,$K$764:$K$773)</f>
        <v>85.702995510300298</v>
      </c>
      <c r="J780" s="219">
        <f>SUMPRODUCT(J764:J773,$K$764:$K$773)</f>
        <v>5.3297614737052639</v>
      </c>
      <c r="K780" s="87"/>
      <c r="L780" s="293"/>
    </row>
    <row r="781" spans="1:12">
      <c r="A781" s="204"/>
      <c r="B781" s="203"/>
      <c r="C781" s="203"/>
      <c r="D781" s="203"/>
      <c r="E781" s="218"/>
      <c r="F781" s="204"/>
      <c r="G781" s="204"/>
      <c r="H781" s="203"/>
      <c r="I781" s="204"/>
      <c r="J781" s="204"/>
      <c r="K781" s="87"/>
      <c r="L781" s="293"/>
    </row>
    <row r="784" spans="1:12">
      <c r="A784" s="811" t="str">
        <f>K784</f>
        <v>LC-27</v>
      </c>
      <c r="B784" s="31" t="str">
        <f>VLOOKUP(A784,LC_DEF_2!A45:B92,2,FALSE)</f>
        <v>NS HFL With LL max reaction case Comb-1</v>
      </c>
      <c r="C784" s="31"/>
      <c r="D784" s="31"/>
      <c r="E784" s="32"/>
      <c r="F784" s="1599" t="s">
        <v>742</v>
      </c>
      <c r="G784" s="1635"/>
      <c r="H784" s="1635"/>
      <c r="I784" s="1635"/>
      <c r="J784" s="1600"/>
      <c r="K784" s="1580" t="s">
        <v>1164</v>
      </c>
      <c r="L784" s="293"/>
    </row>
    <row r="785" spans="1:12" ht="18">
      <c r="A785" s="25" t="s">
        <v>73</v>
      </c>
      <c r="B785" s="26" t="s">
        <v>74</v>
      </c>
      <c r="C785" s="26"/>
      <c r="D785" s="26"/>
      <c r="E785" s="27"/>
      <c r="F785" s="58" t="s">
        <v>23</v>
      </c>
      <c r="G785" s="58" t="s">
        <v>87</v>
      </c>
      <c r="H785" s="58" t="s">
        <v>212</v>
      </c>
      <c r="I785" s="58" t="s">
        <v>80</v>
      </c>
      <c r="J785" s="58" t="s">
        <v>81</v>
      </c>
      <c r="K785" s="433"/>
      <c r="L785" s="293"/>
    </row>
    <row r="786" spans="1:12">
      <c r="A786" s="25"/>
      <c r="B786" s="26"/>
      <c r="C786" s="26"/>
      <c r="D786" s="26"/>
      <c r="E786" s="27"/>
      <c r="F786" s="36" t="s">
        <v>34</v>
      </c>
      <c r="G786" s="36" t="s">
        <v>34</v>
      </c>
      <c r="H786" s="36" t="s">
        <v>34</v>
      </c>
      <c r="I786" s="36" t="s">
        <v>77</v>
      </c>
      <c r="J786" s="36" t="s">
        <v>77</v>
      </c>
      <c r="K786" s="433"/>
      <c r="L786" s="293"/>
    </row>
    <row r="787" spans="1:12">
      <c r="A787" s="25" t="s">
        <v>88</v>
      </c>
      <c r="B787" s="26" t="s">
        <v>75</v>
      </c>
      <c r="C787" s="26"/>
      <c r="D787" s="26"/>
      <c r="E787" s="27"/>
      <c r="F787" s="195">
        <f>SF!F14</f>
        <v>365.08803866482532</v>
      </c>
      <c r="G787" s="210"/>
      <c r="H787" s="34"/>
      <c r="I787" s="195">
        <f>SF!I14</f>
        <v>0</v>
      </c>
      <c r="J787" s="195">
        <f>SF!J14</f>
        <v>0</v>
      </c>
      <c r="K787" s="511">
        <v>1.35</v>
      </c>
      <c r="L787" s="266"/>
    </row>
    <row r="788" spans="1:12">
      <c r="A788" s="25" t="s">
        <v>250</v>
      </c>
      <c r="B788" s="26" t="s">
        <v>967</v>
      </c>
      <c r="C788" s="26"/>
      <c r="D788" s="26"/>
      <c r="E788" s="27"/>
      <c r="F788" s="195">
        <f>SF!F19</f>
        <v>230</v>
      </c>
      <c r="G788" s="27"/>
      <c r="H788" s="34"/>
      <c r="I788" s="195">
        <f>SF!I19</f>
        <v>-115</v>
      </c>
      <c r="J788" s="195">
        <f>SF!J19</f>
        <v>0</v>
      </c>
      <c r="K788" s="433">
        <v>1.35</v>
      </c>
      <c r="L788" s="11"/>
    </row>
    <row r="789" spans="1:12">
      <c r="A789" s="25" t="s">
        <v>251</v>
      </c>
      <c r="B789" s="26" t="s">
        <v>968</v>
      </c>
      <c r="C789" s="26"/>
      <c r="D789" s="26"/>
      <c r="E789" s="27"/>
      <c r="F789" s="195">
        <f>SF!F20</f>
        <v>20.660000000000004</v>
      </c>
      <c r="G789" s="27"/>
      <c r="H789" s="34"/>
      <c r="I789" s="195">
        <f>SF!I20</f>
        <v>-10.330000000000002</v>
      </c>
      <c r="J789" s="195">
        <f>SF!J20</f>
        <v>0</v>
      </c>
      <c r="K789" s="433">
        <v>1.35</v>
      </c>
      <c r="L789" s="11"/>
    </row>
    <row r="790" spans="1:12">
      <c r="A790" s="25" t="s">
        <v>97</v>
      </c>
      <c r="B790" s="26" t="s">
        <v>969</v>
      </c>
      <c r="C790" s="26"/>
      <c r="D790" s="26"/>
      <c r="E790" s="27"/>
      <c r="F790" s="195">
        <f>SF!F21</f>
        <v>42</v>
      </c>
      <c r="G790" s="27"/>
      <c r="H790" s="34"/>
      <c r="I790" s="195">
        <f>SF!I21</f>
        <v>-14.858499999999999</v>
      </c>
      <c r="J790" s="195">
        <f>SF!J21</f>
        <v>0</v>
      </c>
      <c r="K790" s="433">
        <v>1.35</v>
      </c>
      <c r="L790" s="11"/>
    </row>
    <row r="791" spans="1:12">
      <c r="A791" s="25" t="s">
        <v>250</v>
      </c>
      <c r="B791" s="26" t="s">
        <v>970</v>
      </c>
      <c r="C791" s="26"/>
      <c r="D791" s="26"/>
      <c r="E791" s="27"/>
      <c r="F791" s="195">
        <f>SF!F23</f>
        <v>230</v>
      </c>
      <c r="G791" s="27"/>
      <c r="H791" s="34"/>
      <c r="I791" s="195">
        <f>SF!I23</f>
        <v>115</v>
      </c>
      <c r="J791" s="195">
        <f>SF!J23</f>
        <v>0</v>
      </c>
      <c r="K791" s="433">
        <v>1.35</v>
      </c>
      <c r="L791" s="11"/>
    </row>
    <row r="792" spans="1:12">
      <c r="A792" s="25" t="s">
        <v>251</v>
      </c>
      <c r="B792" s="26" t="s">
        <v>971</v>
      </c>
      <c r="C792" s="26"/>
      <c r="D792" s="26"/>
      <c r="E792" s="27"/>
      <c r="F792" s="195">
        <f>SF!F24</f>
        <v>20.660000000000004</v>
      </c>
      <c r="G792" s="27"/>
      <c r="H792" s="34"/>
      <c r="I792" s="195">
        <f>SF!I24</f>
        <v>10.330000000000002</v>
      </c>
      <c r="J792" s="195">
        <f>SF!J24</f>
        <v>0</v>
      </c>
      <c r="K792" s="433">
        <v>1.35</v>
      </c>
      <c r="L792" s="266"/>
    </row>
    <row r="793" spans="1:12">
      <c r="A793" s="25" t="s">
        <v>97</v>
      </c>
      <c r="B793" s="26" t="s">
        <v>972</v>
      </c>
      <c r="C793" s="26"/>
      <c r="D793" s="26"/>
      <c r="E793" s="27"/>
      <c r="F793" s="195">
        <f>SF!F25</f>
        <v>42</v>
      </c>
      <c r="G793" s="27"/>
      <c r="H793" s="34"/>
      <c r="I793" s="195">
        <f>SF!I25</f>
        <v>14.858499999999999</v>
      </c>
      <c r="J793" s="195">
        <f>SF!J25</f>
        <v>0</v>
      </c>
      <c r="K793" s="511">
        <v>1.75</v>
      </c>
      <c r="L793" s="11"/>
    </row>
    <row r="794" spans="1:12">
      <c r="A794" s="25" t="s">
        <v>976</v>
      </c>
      <c r="B794" s="26" t="s">
        <v>978</v>
      </c>
      <c r="C794" s="26"/>
      <c r="D794" s="26"/>
      <c r="E794" s="27"/>
      <c r="F794" s="195">
        <f>SF!F29</f>
        <v>65.160399999999996</v>
      </c>
      <c r="G794" s="27"/>
      <c r="H794" s="34"/>
      <c r="I794" s="195">
        <f>SF!I29</f>
        <v>-32.580199999999998</v>
      </c>
      <c r="J794" s="195">
        <f>SF!J29</f>
        <v>-10.105732306306301</v>
      </c>
      <c r="K794" s="511">
        <v>1.5</v>
      </c>
      <c r="L794" s="11"/>
    </row>
    <row r="795" spans="1:12">
      <c r="A795" s="25" t="s">
        <v>977</v>
      </c>
      <c r="B795" s="26" t="s">
        <v>979</v>
      </c>
      <c r="C795" s="26"/>
      <c r="D795" s="26"/>
      <c r="E795" s="27"/>
      <c r="F795" s="195">
        <f>SF!F30</f>
        <v>75.185314285714313</v>
      </c>
      <c r="G795" s="27"/>
      <c r="H795" s="34"/>
      <c r="I795" s="195">
        <f>SF!I30</f>
        <v>37.592657142857156</v>
      </c>
      <c r="J795" s="195">
        <f>SF!J30</f>
        <v>-11.660497166023164</v>
      </c>
      <c r="K795" s="511">
        <v>1.5</v>
      </c>
      <c r="L795" s="266"/>
    </row>
    <row r="796" spans="1:12">
      <c r="A796" s="25" t="s">
        <v>984</v>
      </c>
      <c r="B796" s="163" t="s">
        <v>951</v>
      </c>
      <c r="C796" s="26"/>
      <c r="D796" s="26"/>
      <c r="E796" s="27"/>
      <c r="F796" s="34"/>
      <c r="G796" s="195">
        <f>SF!G38</f>
        <v>32.051277714285717</v>
      </c>
      <c r="H796" s="34"/>
      <c r="I796" s="195">
        <f>SF!I38</f>
        <v>265.38457947428577</v>
      </c>
      <c r="J796" s="34"/>
      <c r="K796" s="433">
        <v>1.5</v>
      </c>
      <c r="L796" s="266"/>
    </row>
    <row r="797" spans="1:12">
      <c r="A797" s="686" t="s">
        <v>1128</v>
      </c>
      <c r="B797" s="687"/>
      <c r="C797" s="688"/>
      <c r="D797" s="688"/>
      <c r="E797" s="689"/>
      <c r="F797" s="696">
        <f>SF!F43</f>
        <v>-103.56143333397094</v>
      </c>
      <c r="G797" s="689"/>
      <c r="H797" s="690"/>
      <c r="I797" s="690"/>
      <c r="J797" s="690"/>
      <c r="K797" s="433">
        <v>0.15</v>
      </c>
      <c r="L797" s="266"/>
    </row>
    <row r="798" spans="1:12">
      <c r="A798" s="686" t="s">
        <v>1131</v>
      </c>
      <c r="B798" s="687"/>
      <c r="C798" s="688"/>
      <c r="D798" s="688"/>
      <c r="E798" s="689"/>
      <c r="F798" s="690"/>
      <c r="G798" s="696">
        <f>SF!G47</f>
        <v>3.2856246869242693</v>
      </c>
      <c r="H798" s="696">
        <f>SF!H47</f>
        <v>3.5397182492142409</v>
      </c>
      <c r="I798" s="696">
        <f>SF!I47</f>
        <v>7.0628515103002814</v>
      </c>
      <c r="J798" s="696">
        <f>SF!J47</f>
        <v>5.3297614737052639</v>
      </c>
      <c r="K798" s="433">
        <v>1</v>
      </c>
      <c r="L798" s="266"/>
    </row>
    <row r="799" spans="1:12">
      <c r="A799" s="253"/>
      <c r="B799" s="15"/>
      <c r="C799" s="15"/>
      <c r="D799" s="15"/>
      <c r="E799" s="22"/>
      <c r="F799" s="212"/>
      <c r="G799" s="213"/>
      <c r="H799" s="198"/>
      <c r="I799" s="198"/>
      <c r="J799" s="58"/>
      <c r="K799" s="208"/>
      <c r="L799" s="293"/>
    </row>
    <row r="800" spans="1:12">
      <c r="A800" s="46"/>
      <c r="B800" s="46"/>
      <c r="C800" s="46"/>
      <c r="D800" s="46"/>
      <c r="E800" s="46"/>
      <c r="F800" s="46"/>
      <c r="G800" s="46"/>
      <c r="H800" s="46"/>
      <c r="I800" s="46"/>
      <c r="J800" s="46"/>
      <c r="K800" s="87"/>
      <c r="L800" s="293"/>
    </row>
    <row r="801" spans="1:12">
      <c r="A801" s="220" t="s">
        <v>73</v>
      </c>
      <c r="B801" s="220" t="s">
        <v>74</v>
      </c>
      <c r="C801" s="200"/>
      <c r="D801" s="200"/>
      <c r="E801" s="217"/>
      <c r="F801" s="1636" t="s">
        <v>72</v>
      </c>
      <c r="G801" s="1637"/>
      <c r="H801" s="1637"/>
      <c r="I801" s="1637"/>
      <c r="J801" s="1638"/>
      <c r="K801" s="87"/>
      <c r="L801" s="293"/>
    </row>
    <row r="802" spans="1:12" ht="18">
      <c r="A802" s="221"/>
      <c r="B802" s="221"/>
      <c r="C802" s="201"/>
      <c r="D802" s="201"/>
      <c r="E802" s="219"/>
      <c r="F802" s="223" t="s">
        <v>23</v>
      </c>
      <c r="G802" s="223" t="s">
        <v>87</v>
      </c>
      <c r="H802" s="223" t="s">
        <v>212</v>
      </c>
      <c r="I802" s="223" t="s">
        <v>80</v>
      </c>
      <c r="J802" s="223" t="s">
        <v>81</v>
      </c>
      <c r="K802" s="87"/>
      <c r="L802" s="293"/>
    </row>
    <row r="803" spans="1:12">
      <c r="A803" s="222"/>
      <c r="B803" s="222"/>
      <c r="C803" s="203"/>
      <c r="D803" s="203"/>
      <c r="E803" s="218"/>
      <c r="F803" s="204" t="s">
        <v>34</v>
      </c>
      <c r="G803" s="204" t="s">
        <v>34</v>
      </c>
      <c r="H803" s="203" t="s">
        <v>34</v>
      </c>
      <c r="I803" s="204" t="s">
        <v>77</v>
      </c>
      <c r="J803" s="204" t="s">
        <v>77</v>
      </c>
      <c r="K803" s="87"/>
      <c r="L803" s="293"/>
    </row>
    <row r="804" spans="1:12">
      <c r="A804" s="202"/>
      <c r="B804" s="200"/>
      <c r="C804" s="200"/>
      <c r="D804" s="200"/>
      <c r="E804" s="217"/>
      <c r="F804" s="205"/>
      <c r="G804" s="205"/>
      <c r="H804" s="201"/>
      <c r="I804" s="205"/>
      <c r="J804" s="205"/>
      <c r="K804" s="87"/>
      <c r="L804" s="293"/>
    </row>
    <row r="805" spans="1:12">
      <c r="A805" s="205" t="str">
        <f>A784</f>
        <v>LC-27</v>
      </c>
      <c r="B805" s="201" t="str">
        <f>B784</f>
        <v>NS HFL With LL max reaction case Comb-1</v>
      </c>
      <c r="C805" s="201"/>
      <c r="D805" s="201"/>
      <c r="E805" s="219"/>
      <c r="F805" s="205">
        <f>SUMPRODUCT(F787:F798,$K$787:$K$798)</f>
        <v>1494.8352086259902</v>
      </c>
      <c r="G805" s="219">
        <f>SUMPRODUCT(G787:G798,$K$787:$K$798)</f>
        <v>51.362541258352849</v>
      </c>
      <c r="H805" s="219">
        <f>SUMPRODUCT(H787:H798,$K$787:$K$798)</f>
        <v>3.5397182492142409</v>
      </c>
      <c r="I805" s="219">
        <f>SUMPRODUCT(I787:I798,$K$787:$K$798)</f>
        <v>418.60180643601461</v>
      </c>
      <c r="J805" s="219">
        <f>SUMPRODUCT(J787:J798,$K$787:$K$798)</f>
        <v>-27.319582734788934</v>
      </c>
      <c r="K805" s="87"/>
      <c r="L805" s="293"/>
    </row>
    <row r="806" spans="1:12">
      <c r="A806" s="204"/>
      <c r="B806" s="203"/>
      <c r="C806" s="203"/>
      <c r="D806" s="203"/>
      <c r="E806" s="218"/>
      <c r="F806" s="204"/>
      <c r="G806" s="204"/>
      <c r="H806" s="203"/>
      <c r="I806" s="204"/>
      <c r="J806" s="204"/>
      <c r="K806" s="87"/>
      <c r="L806" s="293"/>
    </row>
    <row r="809" spans="1:12">
      <c r="A809" s="811" t="str">
        <f>K809</f>
        <v>LC-28</v>
      </c>
      <c r="B809" s="31" t="str">
        <f>VLOOKUP(A809,LC_DEF_2!A45:B92,2,FALSE)</f>
        <v>NS HFL With LL max moment case Comb-1</v>
      </c>
      <c r="C809" s="31"/>
      <c r="D809" s="31"/>
      <c r="E809" s="32"/>
      <c r="F809" s="1599" t="s">
        <v>742</v>
      </c>
      <c r="G809" s="1635"/>
      <c r="H809" s="1635"/>
      <c r="I809" s="1635"/>
      <c r="J809" s="1600"/>
      <c r="K809" s="1580" t="s">
        <v>1165</v>
      </c>
      <c r="L809" s="293"/>
    </row>
    <row r="810" spans="1:12" ht="18">
      <c r="A810" s="25" t="s">
        <v>73</v>
      </c>
      <c r="B810" s="26" t="s">
        <v>74</v>
      </c>
      <c r="C810" s="26"/>
      <c r="D810" s="26"/>
      <c r="E810" s="27"/>
      <c r="F810" s="58" t="s">
        <v>23</v>
      </c>
      <c r="G810" s="58" t="s">
        <v>87</v>
      </c>
      <c r="H810" s="58" t="s">
        <v>212</v>
      </c>
      <c r="I810" s="58" t="s">
        <v>80</v>
      </c>
      <c r="J810" s="58" t="s">
        <v>81</v>
      </c>
      <c r="K810" s="433"/>
      <c r="L810" s="293"/>
    </row>
    <row r="811" spans="1:12">
      <c r="A811" s="25"/>
      <c r="B811" s="26"/>
      <c r="C811" s="26"/>
      <c r="D811" s="26"/>
      <c r="E811" s="27"/>
      <c r="F811" s="36" t="s">
        <v>34</v>
      </c>
      <c r="G811" s="36" t="s">
        <v>34</v>
      </c>
      <c r="H811" s="36" t="s">
        <v>34</v>
      </c>
      <c r="I811" s="36" t="s">
        <v>77</v>
      </c>
      <c r="J811" s="36" t="s">
        <v>77</v>
      </c>
      <c r="K811" s="433"/>
      <c r="L811" s="293"/>
    </row>
    <row r="812" spans="1:12">
      <c r="A812" s="25" t="s">
        <v>88</v>
      </c>
      <c r="B812" s="26" t="s">
        <v>75</v>
      </c>
      <c r="C812" s="26"/>
      <c r="D812" s="26"/>
      <c r="E812" s="27"/>
      <c r="F812" s="195">
        <f>SF!F14</f>
        <v>365.08803866482532</v>
      </c>
      <c r="G812" s="210"/>
      <c r="H812" s="34"/>
      <c r="I812" s="195">
        <f>SF!I14</f>
        <v>0</v>
      </c>
      <c r="J812" s="195">
        <f>SF!J14</f>
        <v>0</v>
      </c>
      <c r="K812" s="511">
        <v>1.35</v>
      </c>
      <c r="L812" s="266"/>
    </row>
    <row r="813" spans="1:12">
      <c r="A813" s="25" t="s">
        <v>250</v>
      </c>
      <c r="B813" s="26" t="s">
        <v>967</v>
      </c>
      <c r="C813" s="26"/>
      <c r="D813" s="26"/>
      <c r="E813" s="27"/>
      <c r="F813" s="195">
        <f>SF!F19</f>
        <v>230</v>
      </c>
      <c r="G813" s="27"/>
      <c r="H813" s="34"/>
      <c r="I813" s="195">
        <f>SF!I19</f>
        <v>-115</v>
      </c>
      <c r="J813" s="195">
        <f>SF!J19</f>
        <v>0</v>
      </c>
      <c r="K813" s="433">
        <v>1.35</v>
      </c>
      <c r="L813" s="11"/>
    </row>
    <row r="814" spans="1:12">
      <c r="A814" s="25" t="s">
        <v>251</v>
      </c>
      <c r="B814" s="26" t="s">
        <v>968</v>
      </c>
      <c r="C814" s="26"/>
      <c r="D814" s="26"/>
      <c r="E814" s="27"/>
      <c r="F814" s="195">
        <f>SF!F20</f>
        <v>20.660000000000004</v>
      </c>
      <c r="G814" s="27"/>
      <c r="H814" s="34"/>
      <c r="I814" s="195">
        <f>SF!I20</f>
        <v>-10.330000000000002</v>
      </c>
      <c r="J814" s="195">
        <f>SF!J20</f>
        <v>0</v>
      </c>
      <c r="K814" s="433">
        <v>1.35</v>
      </c>
      <c r="L814" s="11"/>
    </row>
    <row r="815" spans="1:12">
      <c r="A815" s="25" t="s">
        <v>97</v>
      </c>
      <c r="B815" s="26" t="s">
        <v>969</v>
      </c>
      <c r="C815" s="26"/>
      <c r="D815" s="26"/>
      <c r="E815" s="27"/>
      <c r="F815" s="195">
        <f>SF!F21</f>
        <v>42</v>
      </c>
      <c r="G815" s="27"/>
      <c r="H815" s="34"/>
      <c r="I815" s="195">
        <f>SF!I21</f>
        <v>-14.858499999999999</v>
      </c>
      <c r="J815" s="195">
        <f>SF!J21</f>
        <v>0</v>
      </c>
      <c r="K815" s="433">
        <v>1.35</v>
      </c>
      <c r="L815" s="11"/>
    </row>
    <row r="816" spans="1:12">
      <c r="A816" s="25" t="s">
        <v>250</v>
      </c>
      <c r="B816" s="26" t="s">
        <v>970</v>
      </c>
      <c r="C816" s="26"/>
      <c r="D816" s="26"/>
      <c r="E816" s="27"/>
      <c r="F816" s="195">
        <f>SF!F23</f>
        <v>230</v>
      </c>
      <c r="G816" s="27"/>
      <c r="H816" s="34"/>
      <c r="I816" s="195">
        <f>SF!I23</f>
        <v>115</v>
      </c>
      <c r="J816" s="195">
        <f>SF!J23</f>
        <v>0</v>
      </c>
      <c r="K816" s="433">
        <v>1.35</v>
      </c>
      <c r="L816" s="11"/>
    </row>
    <row r="817" spans="1:12">
      <c r="A817" s="25" t="s">
        <v>251</v>
      </c>
      <c r="B817" s="26" t="s">
        <v>971</v>
      </c>
      <c r="C817" s="26"/>
      <c r="D817" s="26"/>
      <c r="E817" s="27"/>
      <c r="F817" s="195">
        <f>SF!F24</f>
        <v>20.660000000000004</v>
      </c>
      <c r="G817" s="27"/>
      <c r="H817" s="34"/>
      <c r="I817" s="195">
        <f>SF!I24</f>
        <v>10.330000000000002</v>
      </c>
      <c r="J817" s="195">
        <f>SF!J24</f>
        <v>0</v>
      </c>
      <c r="K817" s="433">
        <v>1.35</v>
      </c>
      <c r="L817" s="266"/>
    </row>
    <row r="818" spans="1:12">
      <c r="A818" s="25" t="s">
        <v>97</v>
      </c>
      <c r="B818" s="26" t="s">
        <v>972</v>
      </c>
      <c r="C818" s="26"/>
      <c r="D818" s="26"/>
      <c r="E818" s="27"/>
      <c r="F818" s="195">
        <f>SF!F25</f>
        <v>42</v>
      </c>
      <c r="G818" s="27"/>
      <c r="H818" s="34"/>
      <c r="I818" s="195">
        <f>SF!I25</f>
        <v>14.858499999999999</v>
      </c>
      <c r="J818" s="195">
        <f>SF!J25</f>
        <v>0</v>
      </c>
      <c r="K818" s="511">
        <v>1.75</v>
      </c>
      <c r="L818" s="11"/>
    </row>
    <row r="819" spans="1:12">
      <c r="A819" s="25" t="s">
        <v>976</v>
      </c>
      <c r="B819" s="26" t="s">
        <v>981</v>
      </c>
      <c r="C819" s="26"/>
      <c r="D819" s="26"/>
      <c r="E819" s="27"/>
      <c r="F819" s="195">
        <f>SF!F33</f>
        <v>0</v>
      </c>
      <c r="G819" s="27"/>
      <c r="H819" s="34"/>
      <c r="I819" s="195">
        <f>SF!I33</f>
        <v>0</v>
      </c>
      <c r="J819" s="195">
        <f>SF!J33</f>
        <v>0</v>
      </c>
      <c r="K819" s="433">
        <v>1.5</v>
      </c>
      <c r="L819" s="266"/>
    </row>
    <row r="820" spans="1:12">
      <c r="A820" s="25" t="s">
        <v>977</v>
      </c>
      <c r="B820" s="26" t="s">
        <v>982</v>
      </c>
      <c r="C820" s="26"/>
      <c r="D820" s="26"/>
      <c r="E820" s="27"/>
      <c r="F820" s="195">
        <f>SF!F34</f>
        <v>127.89948571428575</v>
      </c>
      <c r="G820" s="27"/>
      <c r="H820" s="34"/>
      <c r="I820" s="195">
        <f>SF!I34</f>
        <v>63.949742857142873</v>
      </c>
      <c r="J820" s="195">
        <f>SF!J34</f>
        <v>-19.835942761904757</v>
      </c>
      <c r="K820" s="433">
        <v>1.5</v>
      </c>
      <c r="L820" s="266"/>
    </row>
    <row r="821" spans="1:12">
      <c r="A821" s="25" t="s">
        <v>985</v>
      </c>
      <c r="B821" s="163" t="s">
        <v>953</v>
      </c>
      <c r="C821" s="26"/>
      <c r="D821" s="26"/>
      <c r="E821" s="27"/>
      <c r="F821" s="34"/>
      <c r="G821" s="195">
        <f>SF!G39</f>
        <v>29.998225714285713</v>
      </c>
      <c r="H821" s="34"/>
      <c r="I821" s="195">
        <f>SF!I39</f>
        <v>248.38530891428573</v>
      </c>
      <c r="J821" s="34"/>
      <c r="K821" s="433">
        <v>1.5</v>
      </c>
      <c r="L821" s="266"/>
    </row>
    <row r="822" spans="1:12">
      <c r="A822" s="686" t="s">
        <v>1128</v>
      </c>
      <c r="B822" s="687"/>
      <c r="C822" s="688"/>
      <c r="D822" s="688"/>
      <c r="E822" s="689"/>
      <c r="F822" s="696">
        <f>SF!F43</f>
        <v>-103.56143333397094</v>
      </c>
      <c r="G822" s="689"/>
      <c r="H822" s="690"/>
      <c r="I822" s="690"/>
      <c r="J822" s="690"/>
      <c r="K822" s="433">
        <v>0.15</v>
      </c>
      <c r="L822" s="266"/>
    </row>
    <row r="823" spans="1:12">
      <c r="A823" s="686" t="s">
        <v>1131</v>
      </c>
      <c r="B823" s="687"/>
      <c r="C823" s="688"/>
      <c r="D823" s="688"/>
      <c r="E823" s="689"/>
      <c r="F823" s="690"/>
      <c r="G823" s="696">
        <f>SF!G47</f>
        <v>3.2856246869242693</v>
      </c>
      <c r="H823" s="696">
        <f>SF!H47</f>
        <v>3.5397182492142409</v>
      </c>
      <c r="I823" s="696">
        <f>SF!I47</f>
        <v>7.0628515103002814</v>
      </c>
      <c r="J823" s="696">
        <f>SF!J47</f>
        <v>5.3297614737052639</v>
      </c>
      <c r="K823" s="433">
        <v>1</v>
      </c>
      <c r="L823" s="266"/>
    </row>
    <row r="824" spans="1:12">
      <c r="A824" s="253"/>
      <c r="B824" s="15"/>
      <c r="C824" s="15"/>
      <c r="D824" s="15"/>
      <c r="E824" s="22"/>
      <c r="F824" s="212"/>
      <c r="G824" s="213"/>
      <c r="H824" s="198"/>
      <c r="I824" s="198"/>
      <c r="J824" s="58"/>
      <c r="K824" s="208"/>
      <c r="L824" s="293"/>
    </row>
    <row r="825" spans="1:12">
      <c r="A825" s="46"/>
      <c r="B825" s="46"/>
      <c r="C825" s="46"/>
      <c r="D825" s="46"/>
      <c r="E825" s="46"/>
      <c r="F825" s="46"/>
      <c r="G825" s="46"/>
      <c r="H825" s="46"/>
      <c r="I825" s="46"/>
      <c r="J825" s="46"/>
      <c r="K825" s="87"/>
      <c r="L825" s="293"/>
    </row>
    <row r="826" spans="1:12">
      <c r="A826" s="220" t="s">
        <v>73</v>
      </c>
      <c r="B826" s="220" t="s">
        <v>74</v>
      </c>
      <c r="C826" s="200"/>
      <c r="D826" s="200"/>
      <c r="E826" s="217"/>
      <c r="F826" s="1636" t="s">
        <v>72</v>
      </c>
      <c r="G826" s="1637"/>
      <c r="H826" s="1637"/>
      <c r="I826" s="1637"/>
      <c r="J826" s="1638"/>
      <c r="K826" s="87"/>
      <c r="L826" s="293"/>
    </row>
    <row r="827" spans="1:12" ht="18">
      <c r="A827" s="221"/>
      <c r="B827" s="221"/>
      <c r="C827" s="201"/>
      <c r="D827" s="201"/>
      <c r="E827" s="219"/>
      <c r="F827" s="223" t="s">
        <v>23</v>
      </c>
      <c r="G827" s="223" t="s">
        <v>87</v>
      </c>
      <c r="H827" s="223" t="s">
        <v>212</v>
      </c>
      <c r="I827" s="223" t="s">
        <v>80</v>
      </c>
      <c r="J827" s="223" t="s">
        <v>81</v>
      </c>
      <c r="K827" s="87"/>
      <c r="L827" s="293"/>
    </row>
    <row r="828" spans="1:12">
      <c r="A828" s="222"/>
      <c r="B828" s="222"/>
      <c r="C828" s="203"/>
      <c r="D828" s="203"/>
      <c r="E828" s="218"/>
      <c r="F828" s="204" t="s">
        <v>34</v>
      </c>
      <c r="G828" s="204" t="s">
        <v>34</v>
      </c>
      <c r="H828" s="203" t="s">
        <v>34</v>
      </c>
      <c r="I828" s="204" t="s">
        <v>77</v>
      </c>
      <c r="J828" s="204" t="s">
        <v>77</v>
      </c>
      <c r="K828" s="87"/>
      <c r="L828" s="293"/>
    </row>
    <row r="829" spans="1:12">
      <c r="A829" s="202"/>
      <c r="B829" s="200"/>
      <c r="C829" s="200"/>
      <c r="D829" s="200"/>
      <c r="E829" s="217"/>
      <c r="F829" s="205"/>
      <c r="G829" s="205"/>
      <c r="H829" s="201"/>
      <c r="I829" s="205"/>
      <c r="J829" s="205"/>
      <c r="K829" s="87"/>
      <c r="L829" s="293"/>
    </row>
    <row r="830" spans="1:12">
      <c r="A830" s="205" t="str">
        <f>A809</f>
        <v>LC-28</v>
      </c>
      <c r="B830" s="201" t="str">
        <f>B809</f>
        <v>NS HFL With LL max moment case Comb-1</v>
      </c>
      <c r="C830" s="201"/>
      <c r="D830" s="201"/>
      <c r="E830" s="219"/>
      <c r="F830" s="205">
        <f>SUMPRODUCT(F812:F823,$K$812:$K$823)</f>
        <v>1476.1658657688472</v>
      </c>
      <c r="G830" s="219">
        <f>SUMPRODUCT(G812:G823,$K$812:$K$823)</f>
        <v>48.282963258352844</v>
      </c>
      <c r="H830" s="219">
        <f>SUMPRODUCT(H812:H823,$K$812:$K$823)</f>
        <v>3.5397182492142409</v>
      </c>
      <c r="I830" s="219">
        <f>SUMPRODUCT(I812:I823,$K$812:$K$823)</f>
        <v>481.5088291674432</v>
      </c>
      <c r="J830" s="219">
        <f>SUMPRODUCT(J812:J823,$K$812:$K$823)</f>
        <v>-24.424152669151869</v>
      </c>
      <c r="K830" s="87"/>
      <c r="L830" s="293"/>
    </row>
    <row r="831" spans="1:12">
      <c r="A831" s="204"/>
      <c r="B831" s="203"/>
      <c r="C831" s="203"/>
      <c r="D831" s="203"/>
      <c r="E831" s="218"/>
      <c r="F831" s="204"/>
      <c r="G831" s="204"/>
      <c r="H831" s="203"/>
      <c r="I831" s="204"/>
      <c r="J831" s="204"/>
      <c r="K831" s="87"/>
      <c r="L831" s="293"/>
    </row>
    <row r="834" spans="1:12">
      <c r="A834" s="811" t="str">
        <f>K834</f>
        <v>LC-29</v>
      </c>
      <c r="B834" s="31" t="str">
        <f>VLOOKUP(A834,LC_DEF_2!A45:B92,2,FALSE)</f>
        <v>NS HFL Span dislodge case Comb-2</v>
      </c>
      <c r="C834" s="31"/>
      <c r="D834" s="31"/>
      <c r="E834" s="32"/>
      <c r="F834" s="1599" t="s">
        <v>742</v>
      </c>
      <c r="G834" s="1635"/>
      <c r="H834" s="1635"/>
      <c r="I834" s="1635"/>
      <c r="J834" s="1600"/>
      <c r="K834" s="1580" t="s">
        <v>1166</v>
      </c>
      <c r="L834" s="293"/>
    </row>
    <row r="835" spans="1:12" ht="18">
      <c r="A835" s="25" t="s">
        <v>73</v>
      </c>
      <c r="B835" s="26" t="s">
        <v>74</v>
      </c>
      <c r="C835" s="26"/>
      <c r="D835" s="26"/>
      <c r="E835" s="27"/>
      <c r="F835" s="58" t="s">
        <v>23</v>
      </c>
      <c r="G835" s="58" t="s">
        <v>87</v>
      </c>
      <c r="H835" s="58" t="s">
        <v>212</v>
      </c>
      <c r="I835" s="58" t="s">
        <v>80</v>
      </c>
      <c r="J835" s="58" t="s">
        <v>81</v>
      </c>
      <c r="K835" s="433"/>
      <c r="L835" s="293"/>
    </row>
    <row r="836" spans="1:12">
      <c r="A836" s="25"/>
      <c r="B836" s="26"/>
      <c r="C836" s="26"/>
      <c r="D836" s="26"/>
      <c r="E836" s="27"/>
      <c r="F836" s="36" t="s">
        <v>34</v>
      </c>
      <c r="G836" s="36" t="s">
        <v>34</v>
      </c>
      <c r="H836" s="36" t="s">
        <v>34</v>
      </c>
      <c r="I836" s="36" t="s">
        <v>77</v>
      </c>
      <c r="J836" s="36" t="s">
        <v>77</v>
      </c>
      <c r="K836" s="433"/>
      <c r="L836" s="293"/>
    </row>
    <row r="837" spans="1:12">
      <c r="A837" s="25" t="s">
        <v>88</v>
      </c>
      <c r="B837" s="26" t="s">
        <v>75</v>
      </c>
      <c r="C837" s="26"/>
      <c r="D837" s="26"/>
      <c r="E837" s="27"/>
      <c r="F837" s="195">
        <f>SF!F14</f>
        <v>365.08803866482532</v>
      </c>
      <c r="G837" s="210"/>
      <c r="H837" s="34"/>
      <c r="I837" s="195">
        <f>SF!I14</f>
        <v>0</v>
      </c>
      <c r="J837" s="195">
        <f>SF!J14</f>
        <v>0</v>
      </c>
      <c r="K837" s="511">
        <v>1</v>
      </c>
      <c r="L837" s="266"/>
    </row>
    <row r="838" spans="1:12">
      <c r="A838" s="25" t="s">
        <v>250</v>
      </c>
      <c r="B838" s="26" t="s">
        <v>970</v>
      </c>
      <c r="C838" s="26"/>
      <c r="D838" s="26"/>
      <c r="E838" s="27"/>
      <c r="F838" s="195">
        <f>SF!F23</f>
        <v>230</v>
      </c>
      <c r="G838" s="27"/>
      <c r="H838" s="34"/>
      <c r="I838" s="195">
        <f>SF!I23</f>
        <v>115</v>
      </c>
      <c r="J838" s="195">
        <f>SF!J23</f>
        <v>0</v>
      </c>
      <c r="K838" s="433">
        <v>1</v>
      </c>
      <c r="L838" s="11"/>
    </row>
    <row r="839" spans="1:12">
      <c r="A839" s="25" t="s">
        <v>251</v>
      </c>
      <c r="B839" s="26" t="s">
        <v>971</v>
      </c>
      <c r="C839" s="26"/>
      <c r="D839" s="26"/>
      <c r="E839" s="27"/>
      <c r="F839" s="195">
        <f>SF!F24</f>
        <v>20.660000000000004</v>
      </c>
      <c r="G839" s="27"/>
      <c r="H839" s="34"/>
      <c r="I839" s="195">
        <f>SF!I24</f>
        <v>10.330000000000002</v>
      </c>
      <c r="J839" s="195">
        <f>SF!J24</f>
        <v>0</v>
      </c>
      <c r="K839" s="433">
        <v>1</v>
      </c>
      <c r="L839" s="266"/>
    </row>
    <row r="840" spans="1:12">
      <c r="A840" s="25" t="s">
        <v>97</v>
      </c>
      <c r="B840" s="26" t="s">
        <v>972</v>
      </c>
      <c r="C840" s="26"/>
      <c r="D840" s="26"/>
      <c r="E840" s="27"/>
      <c r="F840" s="195">
        <f>SF!F25</f>
        <v>42</v>
      </c>
      <c r="G840" s="27"/>
      <c r="H840" s="34"/>
      <c r="I840" s="195">
        <f>SF!I25</f>
        <v>14.858499999999999</v>
      </c>
      <c r="J840" s="195">
        <f>SF!J25</f>
        <v>0</v>
      </c>
      <c r="K840" s="511">
        <v>1</v>
      </c>
      <c r="L840" s="11"/>
    </row>
    <row r="841" spans="1:12">
      <c r="A841" s="25" t="s">
        <v>987</v>
      </c>
      <c r="B841" s="163" t="s">
        <v>957</v>
      </c>
      <c r="C841" s="26"/>
      <c r="D841" s="26"/>
      <c r="E841" s="27"/>
      <c r="F841" s="34"/>
      <c r="G841" s="195">
        <f>SF!G41</f>
        <v>14.632999999999999</v>
      </c>
      <c r="H841" s="34"/>
      <c r="I841" s="195">
        <f>SF!I41</f>
        <v>121.16124000000001</v>
      </c>
      <c r="J841" s="34"/>
      <c r="K841" s="433">
        <v>1.3</v>
      </c>
      <c r="L841" s="266"/>
    </row>
    <row r="842" spans="1:12">
      <c r="A842" s="686" t="s">
        <v>1128</v>
      </c>
      <c r="B842" s="687"/>
      <c r="C842" s="688"/>
      <c r="D842" s="688"/>
      <c r="E842" s="689"/>
      <c r="F842" s="696">
        <f>SF!F43</f>
        <v>-103.56143333397094</v>
      </c>
      <c r="G842" s="689"/>
      <c r="H842" s="690"/>
      <c r="I842" s="690"/>
      <c r="J842" s="690"/>
      <c r="K842" s="433">
        <v>0.15</v>
      </c>
      <c r="L842" s="266"/>
    </row>
    <row r="843" spans="1:12">
      <c r="A843" s="686" t="s">
        <v>1131</v>
      </c>
      <c r="B843" s="687"/>
      <c r="C843" s="688"/>
      <c r="D843" s="688"/>
      <c r="E843" s="689"/>
      <c r="F843" s="690"/>
      <c r="G843" s="696">
        <f>SF!G47</f>
        <v>3.2856246869242693</v>
      </c>
      <c r="H843" s="696">
        <f>SF!H47</f>
        <v>3.5397182492142409</v>
      </c>
      <c r="I843" s="696">
        <f>SF!I47</f>
        <v>7.0628515103002814</v>
      </c>
      <c r="J843" s="696">
        <f>SF!J47</f>
        <v>5.3297614737052639</v>
      </c>
      <c r="K843" s="433">
        <v>1</v>
      </c>
      <c r="L843" s="266"/>
    </row>
    <row r="844" spans="1:12">
      <c r="A844" s="253"/>
      <c r="B844" s="15"/>
      <c r="C844" s="15"/>
      <c r="D844" s="15"/>
      <c r="E844" s="22"/>
      <c r="F844" s="212"/>
      <c r="G844" s="213"/>
      <c r="H844" s="198"/>
      <c r="I844" s="198"/>
      <c r="J844" s="58"/>
      <c r="K844" s="208"/>
      <c r="L844" s="293"/>
    </row>
    <row r="845" spans="1:12">
      <c r="A845" s="46"/>
      <c r="B845" s="46"/>
      <c r="C845" s="46"/>
      <c r="D845" s="46"/>
      <c r="E845" s="46"/>
      <c r="F845" s="46"/>
      <c r="G845" s="46"/>
      <c r="H845" s="46"/>
      <c r="I845" s="46"/>
      <c r="J845" s="46"/>
      <c r="K845" s="87"/>
      <c r="L845" s="293"/>
    </row>
    <row r="846" spans="1:12">
      <c r="A846" s="220" t="s">
        <v>73</v>
      </c>
      <c r="B846" s="220" t="s">
        <v>74</v>
      </c>
      <c r="C846" s="200"/>
      <c r="D846" s="200"/>
      <c r="E846" s="217"/>
      <c r="F846" s="1636" t="s">
        <v>72</v>
      </c>
      <c r="G846" s="1637"/>
      <c r="H846" s="1637"/>
      <c r="I846" s="1637"/>
      <c r="J846" s="1638"/>
      <c r="K846" s="87"/>
      <c r="L846" s="293"/>
    </row>
    <row r="847" spans="1:12" ht="18">
      <c r="A847" s="221"/>
      <c r="B847" s="221"/>
      <c r="C847" s="201"/>
      <c r="D847" s="201"/>
      <c r="E847" s="219"/>
      <c r="F847" s="223" t="s">
        <v>23</v>
      </c>
      <c r="G847" s="223" t="s">
        <v>87</v>
      </c>
      <c r="H847" s="223" t="s">
        <v>212</v>
      </c>
      <c r="I847" s="223" t="s">
        <v>80</v>
      </c>
      <c r="J847" s="223" t="s">
        <v>81</v>
      </c>
      <c r="K847" s="87"/>
      <c r="L847" s="293"/>
    </row>
    <row r="848" spans="1:12">
      <c r="A848" s="222"/>
      <c r="B848" s="222"/>
      <c r="C848" s="203"/>
      <c r="D848" s="203"/>
      <c r="E848" s="218"/>
      <c r="F848" s="204" t="s">
        <v>34</v>
      </c>
      <c r="G848" s="204" t="s">
        <v>34</v>
      </c>
      <c r="H848" s="203" t="s">
        <v>34</v>
      </c>
      <c r="I848" s="204" t="s">
        <v>77</v>
      </c>
      <c r="J848" s="204" t="s">
        <v>77</v>
      </c>
      <c r="K848" s="87"/>
      <c r="L848" s="293"/>
    </row>
    <row r="849" spans="1:12">
      <c r="A849" s="202"/>
      <c r="B849" s="200"/>
      <c r="C849" s="200"/>
      <c r="D849" s="200"/>
      <c r="E849" s="217"/>
      <c r="F849" s="205"/>
      <c r="G849" s="205"/>
      <c r="H849" s="201"/>
      <c r="I849" s="205"/>
      <c r="J849" s="205"/>
      <c r="K849" s="87"/>
      <c r="L849" s="293"/>
    </row>
    <row r="850" spans="1:12">
      <c r="A850" s="205" t="str">
        <f>A834</f>
        <v>LC-29</v>
      </c>
      <c r="B850" s="201" t="str">
        <f>B834</f>
        <v>NS HFL Span dislodge case Comb-2</v>
      </c>
      <c r="C850" s="201"/>
      <c r="D850" s="201"/>
      <c r="E850" s="219"/>
      <c r="F850" s="205">
        <f>SUMPRODUCT(F837:F843,$K$837:$K$843)</f>
        <v>642.2138236647296</v>
      </c>
      <c r="G850" s="219">
        <f>SUMPRODUCT(G837:G843,$K$837:$K$843)</f>
        <v>22.308524686924269</v>
      </c>
      <c r="H850" s="219">
        <f>SUMPRODUCT(H837:H843,$K$837:$K$843)</f>
        <v>3.5397182492142409</v>
      </c>
      <c r="I850" s="219">
        <f>SUMPRODUCT(I837:I843,$K$837:$K$843)</f>
        <v>304.76096351030031</v>
      </c>
      <c r="J850" s="219">
        <f>SUMPRODUCT(J837:J843,$K$837:$K$843)</f>
        <v>5.3297614737052639</v>
      </c>
      <c r="K850" s="87"/>
      <c r="L850" s="293"/>
    </row>
    <row r="851" spans="1:12">
      <c r="A851" s="204"/>
      <c r="B851" s="203"/>
      <c r="C851" s="203"/>
      <c r="D851" s="203"/>
      <c r="E851" s="218"/>
      <c r="F851" s="204"/>
      <c r="G851" s="204"/>
      <c r="H851" s="203"/>
      <c r="I851" s="204"/>
      <c r="J851" s="204"/>
      <c r="K851" s="87"/>
      <c r="L851" s="293"/>
    </row>
    <row r="854" spans="1:12">
      <c r="A854" s="811" t="str">
        <f>K854</f>
        <v>LC-30</v>
      </c>
      <c r="B854" s="31" t="str">
        <f>VLOOKUP(A854,LC_DEF_2!A45:B92,2,FALSE)</f>
        <v>NS HFL No Live load Comb-2</v>
      </c>
      <c r="C854" s="31"/>
      <c r="D854" s="31"/>
      <c r="E854" s="32"/>
      <c r="F854" s="1599" t="s">
        <v>742</v>
      </c>
      <c r="G854" s="1635"/>
      <c r="H854" s="1635"/>
      <c r="I854" s="1635"/>
      <c r="J854" s="1600"/>
      <c r="K854" s="1580" t="s">
        <v>1167</v>
      </c>
      <c r="L854" s="293"/>
    </row>
    <row r="855" spans="1:12" ht="18">
      <c r="A855" s="25" t="s">
        <v>73</v>
      </c>
      <c r="B855" s="26" t="s">
        <v>74</v>
      </c>
      <c r="C855" s="26"/>
      <c r="D855" s="26"/>
      <c r="E855" s="27"/>
      <c r="F855" s="58" t="s">
        <v>23</v>
      </c>
      <c r="G855" s="58" t="s">
        <v>87</v>
      </c>
      <c r="H855" s="58" t="s">
        <v>212</v>
      </c>
      <c r="I855" s="58" t="s">
        <v>80</v>
      </c>
      <c r="J855" s="58" t="s">
        <v>81</v>
      </c>
      <c r="K855" s="433"/>
      <c r="L855" s="293"/>
    </row>
    <row r="856" spans="1:12">
      <c r="A856" s="25"/>
      <c r="B856" s="26"/>
      <c r="C856" s="26"/>
      <c r="D856" s="26"/>
      <c r="E856" s="27"/>
      <c r="F856" s="36" t="s">
        <v>34</v>
      </c>
      <c r="G856" s="36" t="s">
        <v>34</v>
      </c>
      <c r="H856" s="36" t="s">
        <v>34</v>
      </c>
      <c r="I856" s="36" t="s">
        <v>77</v>
      </c>
      <c r="J856" s="36" t="s">
        <v>77</v>
      </c>
      <c r="K856" s="433"/>
      <c r="L856" s="293"/>
    </row>
    <row r="857" spans="1:12">
      <c r="A857" s="25" t="s">
        <v>88</v>
      </c>
      <c r="B857" s="26" t="s">
        <v>75</v>
      </c>
      <c r="C857" s="26"/>
      <c r="D857" s="26"/>
      <c r="E857" s="27"/>
      <c r="F857" s="195">
        <f>SF!F14</f>
        <v>365.08803866482532</v>
      </c>
      <c r="G857" s="210"/>
      <c r="H857" s="34"/>
      <c r="I857" s="195">
        <f>SF!I14</f>
        <v>0</v>
      </c>
      <c r="J857" s="195">
        <f>SF!J14</f>
        <v>0</v>
      </c>
      <c r="K857" s="511">
        <v>1</v>
      </c>
      <c r="L857" s="266"/>
    </row>
    <row r="858" spans="1:12">
      <c r="A858" s="25" t="s">
        <v>250</v>
      </c>
      <c r="B858" s="26" t="s">
        <v>967</v>
      </c>
      <c r="C858" s="26"/>
      <c r="D858" s="26"/>
      <c r="E858" s="27"/>
      <c r="F858" s="195">
        <f>SF!F19</f>
        <v>230</v>
      </c>
      <c r="G858" s="27"/>
      <c r="H858" s="34"/>
      <c r="I858" s="195">
        <f>SF!I19</f>
        <v>-115</v>
      </c>
      <c r="J858" s="195">
        <f>SF!J19</f>
        <v>0</v>
      </c>
      <c r="K858" s="433">
        <v>1</v>
      </c>
      <c r="L858" s="11"/>
    </row>
    <row r="859" spans="1:12">
      <c r="A859" s="25" t="s">
        <v>251</v>
      </c>
      <c r="B859" s="26" t="s">
        <v>968</v>
      </c>
      <c r="C859" s="26"/>
      <c r="D859" s="26"/>
      <c r="E859" s="27"/>
      <c r="F859" s="195">
        <f>SF!F20</f>
        <v>20.660000000000004</v>
      </c>
      <c r="G859" s="27"/>
      <c r="H859" s="34"/>
      <c r="I859" s="195">
        <f>SF!I20</f>
        <v>-10.330000000000002</v>
      </c>
      <c r="J859" s="195">
        <f>SF!J20</f>
        <v>0</v>
      </c>
      <c r="K859" s="433">
        <v>1</v>
      </c>
      <c r="L859" s="11"/>
    </row>
    <row r="860" spans="1:12">
      <c r="A860" s="25" t="s">
        <v>97</v>
      </c>
      <c r="B860" s="26" t="s">
        <v>969</v>
      </c>
      <c r="C860" s="26"/>
      <c r="D860" s="26"/>
      <c r="E860" s="27"/>
      <c r="F860" s="195">
        <f>SF!F21</f>
        <v>42</v>
      </c>
      <c r="G860" s="27"/>
      <c r="H860" s="34"/>
      <c r="I860" s="195">
        <f>SF!I21</f>
        <v>-14.858499999999999</v>
      </c>
      <c r="J860" s="195">
        <f>SF!J21</f>
        <v>0</v>
      </c>
      <c r="K860" s="433">
        <v>1</v>
      </c>
      <c r="L860" s="11"/>
    </row>
    <row r="861" spans="1:12">
      <c r="A861" s="25" t="s">
        <v>250</v>
      </c>
      <c r="B861" s="26" t="s">
        <v>970</v>
      </c>
      <c r="C861" s="26"/>
      <c r="D861" s="26"/>
      <c r="E861" s="27"/>
      <c r="F861" s="195">
        <f>SF!F23</f>
        <v>230</v>
      </c>
      <c r="G861" s="27"/>
      <c r="H861" s="34"/>
      <c r="I861" s="195">
        <f>SF!I23</f>
        <v>115</v>
      </c>
      <c r="J861" s="195">
        <f>SF!J23</f>
        <v>0</v>
      </c>
      <c r="K861" s="433">
        <v>1</v>
      </c>
      <c r="L861" s="11"/>
    </row>
    <row r="862" spans="1:12">
      <c r="A862" s="25" t="s">
        <v>251</v>
      </c>
      <c r="B862" s="26" t="s">
        <v>971</v>
      </c>
      <c r="C862" s="26"/>
      <c r="D862" s="26"/>
      <c r="E862" s="27"/>
      <c r="F862" s="195">
        <f>SF!F24</f>
        <v>20.660000000000004</v>
      </c>
      <c r="G862" s="27"/>
      <c r="H862" s="34"/>
      <c r="I862" s="195">
        <f>SF!I24</f>
        <v>10.330000000000002</v>
      </c>
      <c r="J862" s="195">
        <f>SF!J24</f>
        <v>0</v>
      </c>
      <c r="K862" s="433">
        <v>1</v>
      </c>
      <c r="L862" s="266"/>
    </row>
    <row r="863" spans="1:12">
      <c r="A863" s="25" t="s">
        <v>97</v>
      </c>
      <c r="B863" s="26" t="s">
        <v>972</v>
      </c>
      <c r="C863" s="26"/>
      <c r="D863" s="26"/>
      <c r="E863" s="27"/>
      <c r="F863" s="195">
        <f>SF!F25</f>
        <v>42</v>
      </c>
      <c r="G863" s="27"/>
      <c r="H863" s="34"/>
      <c r="I863" s="195">
        <f>SF!I25</f>
        <v>14.858499999999999</v>
      </c>
      <c r="J863" s="195">
        <f>SF!J25</f>
        <v>0</v>
      </c>
      <c r="K863" s="511">
        <v>1</v>
      </c>
      <c r="L863" s="11"/>
    </row>
    <row r="864" spans="1:12">
      <c r="A864" s="25" t="s">
        <v>986</v>
      </c>
      <c r="B864" s="163" t="s">
        <v>955</v>
      </c>
      <c r="C864" s="26"/>
      <c r="D864" s="26"/>
      <c r="E864" s="27"/>
      <c r="F864" s="34"/>
      <c r="G864" s="195">
        <f>SF!G40</f>
        <v>5.8532000000000011</v>
      </c>
      <c r="H864" s="34"/>
      <c r="I864" s="195">
        <f>SF!I40</f>
        <v>48.464496000000018</v>
      </c>
      <c r="J864" s="34"/>
      <c r="K864" s="433">
        <v>1.3</v>
      </c>
      <c r="L864" s="266"/>
    </row>
    <row r="865" spans="1:12">
      <c r="A865" s="686" t="s">
        <v>1128</v>
      </c>
      <c r="B865" s="687"/>
      <c r="C865" s="688"/>
      <c r="D865" s="688"/>
      <c r="E865" s="689"/>
      <c r="F865" s="696">
        <f>SF!F43</f>
        <v>-103.56143333397094</v>
      </c>
      <c r="G865" s="689"/>
      <c r="H865" s="690"/>
      <c r="I865" s="690"/>
      <c r="J865" s="690"/>
      <c r="K865" s="433">
        <v>0.15</v>
      </c>
      <c r="L865" s="266"/>
    </row>
    <row r="866" spans="1:12">
      <c r="A866" s="686" t="s">
        <v>1131</v>
      </c>
      <c r="B866" s="687"/>
      <c r="C866" s="688"/>
      <c r="D866" s="688"/>
      <c r="E866" s="689"/>
      <c r="F866" s="690"/>
      <c r="G866" s="696">
        <f>SF!G47</f>
        <v>3.2856246869242693</v>
      </c>
      <c r="H866" s="696">
        <f>SF!H47</f>
        <v>3.5397182492142409</v>
      </c>
      <c r="I866" s="696">
        <f>SF!I47</f>
        <v>7.0628515103002814</v>
      </c>
      <c r="J866" s="696">
        <f>SF!J47</f>
        <v>5.3297614737052639</v>
      </c>
      <c r="K866" s="433">
        <v>1</v>
      </c>
      <c r="L866" s="266"/>
    </row>
    <row r="867" spans="1:12">
      <c r="A867" s="253"/>
      <c r="B867" s="15"/>
      <c r="C867" s="15"/>
      <c r="D867" s="15"/>
      <c r="E867" s="22"/>
      <c r="F867" s="212"/>
      <c r="G867" s="213"/>
      <c r="H867" s="198"/>
      <c r="I867" s="198"/>
      <c r="J867" s="58"/>
      <c r="K867" s="208"/>
      <c r="L867" s="293"/>
    </row>
    <row r="868" spans="1:12">
      <c r="A868" s="46"/>
      <c r="B868" s="46"/>
      <c r="C868" s="46"/>
      <c r="D868" s="46"/>
      <c r="E868" s="46"/>
      <c r="F868" s="46"/>
      <c r="G868" s="46"/>
      <c r="H868" s="46"/>
      <c r="I868" s="46"/>
      <c r="J868" s="46"/>
      <c r="K868" s="87"/>
      <c r="L868" s="293"/>
    </row>
    <row r="869" spans="1:12">
      <c r="A869" s="220" t="s">
        <v>73</v>
      </c>
      <c r="B869" s="220" t="s">
        <v>74</v>
      </c>
      <c r="C869" s="200"/>
      <c r="D869" s="200"/>
      <c r="E869" s="217"/>
      <c r="F869" s="1636" t="s">
        <v>72</v>
      </c>
      <c r="G869" s="1637"/>
      <c r="H869" s="1637"/>
      <c r="I869" s="1637"/>
      <c r="J869" s="1638"/>
      <c r="K869" s="87"/>
      <c r="L869" s="293"/>
    </row>
    <row r="870" spans="1:12" ht="18">
      <c r="A870" s="221"/>
      <c r="B870" s="221"/>
      <c r="C870" s="201"/>
      <c r="D870" s="201"/>
      <c r="E870" s="219"/>
      <c r="F870" s="223" t="s">
        <v>23</v>
      </c>
      <c r="G870" s="223" t="s">
        <v>87</v>
      </c>
      <c r="H870" s="223" t="s">
        <v>212</v>
      </c>
      <c r="I870" s="223" t="s">
        <v>80</v>
      </c>
      <c r="J870" s="223" t="s">
        <v>81</v>
      </c>
      <c r="K870" s="87"/>
      <c r="L870" s="293"/>
    </row>
    <row r="871" spans="1:12">
      <c r="A871" s="222"/>
      <c r="B871" s="222"/>
      <c r="C871" s="203"/>
      <c r="D871" s="203"/>
      <c r="E871" s="218"/>
      <c r="F871" s="204" t="s">
        <v>34</v>
      </c>
      <c r="G871" s="204" t="s">
        <v>34</v>
      </c>
      <c r="H871" s="203" t="s">
        <v>34</v>
      </c>
      <c r="I871" s="204" t="s">
        <v>77</v>
      </c>
      <c r="J871" s="204" t="s">
        <v>77</v>
      </c>
      <c r="K871" s="87"/>
      <c r="L871" s="293"/>
    </row>
    <row r="872" spans="1:12">
      <c r="A872" s="202"/>
      <c r="B872" s="200"/>
      <c r="C872" s="200"/>
      <c r="D872" s="200"/>
      <c r="E872" s="217"/>
      <c r="F872" s="205"/>
      <c r="G872" s="205"/>
      <c r="H872" s="201"/>
      <c r="I872" s="205"/>
      <c r="J872" s="205"/>
      <c r="K872" s="87"/>
      <c r="L872" s="293"/>
    </row>
    <row r="873" spans="1:12">
      <c r="A873" s="205" t="str">
        <f>A854</f>
        <v>LC-30</v>
      </c>
      <c r="B873" s="201" t="str">
        <f>B854</f>
        <v>NS HFL No Live load Comb-2</v>
      </c>
      <c r="C873" s="201"/>
      <c r="D873" s="201"/>
      <c r="E873" s="219"/>
      <c r="F873" s="205">
        <f>SUMPRODUCT(F857:F866,$K$857:$K$866)</f>
        <v>934.87382366472957</v>
      </c>
      <c r="G873" s="219">
        <f>SUMPRODUCT(G857:G866,$K$857:$K$866)</f>
        <v>10.894784686924272</v>
      </c>
      <c r="H873" s="219">
        <f>SUMPRODUCT(H857:H866,$K$857:$K$866)</f>
        <v>3.5397182492142409</v>
      </c>
      <c r="I873" s="219">
        <f>SUMPRODUCT(I857:I866,$K$857:$K$866)</f>
        <v>70.066696310300301</v>
      </c>
      <c r="J873" s="219">
        <f>SUMPRODUCT(J857:J866,$K$857:$K$866)</f>
        <v>5.3297614737052639</v>
      </c>
      <c r="K873" s="87"/>
      <c r="L873" s="293"/>
    </row>
    <row r="874" spans="1:12">
      <c r="A874" s="204"/>
      <c r="B874" s="203"/>
      <c r="C874" s="203"/>
      <c r="D874" s="203"/>
      <c r="E874" s="218"/>
      <c r="F874" s="204"/>
      <c r="G874" s="204"/>
      <c r="H874" s="203"/>
      <c r="I874" s="204"/>
      <c r="J874" s="204"/>
      <c r="K874" s="87"/>
      <c r="L874" s="293"/>
    </row>
    <row r="877" spans="1:12">
      <c r="A877" s="811" t="str">
        <f>K877</f>
        <v>LC-31</v>
      </c>
      <c r="B877" s="31" t="str">
        <f>VLOOKUP(A877,LC_DEF_2!A45:B92,2,FALSE)</f>
        <v>NS HFL With LL max reaction case Comb-2</v>
      </c>
      <c r="C877" s="31"/>
      <c r="D877" s="31"/>
      <c r="E877" s="32"/>
      <c r="F877" s="1599" t="s">
        <v>742</v>
      </c>
      <c r="G877" s="1635"/>
      <c r="H877" s="1635"/>
      <c r="I877" s="1635"/>
      <c r="J877" s="1600"/>
      <c r="K877" s="1580" t="s">
        <v>1168</v>
      </c>
      <c r="L877" s="293"/>
    </row>
    <row r="878" spans="1:12" ht="18">
      <c r="A878" s="25" t="s">
        <v>73</v>
      </c>
      <c r="B878" s="26" t="s">
        <v>74</v>
      </c>
      <c r="C878" s="26"/>
      <c r="D878" s="26"/>
      <c r="E878" s="27"/>
      <c r="F878" s="58" t="s">
        <v>23</v>
      </c>
      <c r="G878" s="58" t="s">
        <v>87</v>
      </c>
      <c r="H878" s="58" t="s">
        <v>212</v>
      </c>
      <c r="I878" s="58" t="s">
        <v>80</v>
      </c>
      <c r="J878" s="58" t="s">
        <v>81</v>
      </c>
      <c r="K878" s="433"/>
      <c r="L878" s="293"/>
    </row>
    <row r="879" spans="1:12">
      <c r="A879" s="25"/>
      <c r="B879" s="26"/>
      <c r="C879" s="26"/>
      <c r="D879" s="26"/>
      <c r="E879" s="27"/>
      <c r="F879" s="36" t="s">
        <v>34</v>
      </c>
      <c r="G879" s="36" t="s">
        <v>34</v>
      </c>
      <c r="H879" s="36" t="s">
        <v>34</v>
      </c>
      <c r="I879" s="36" t="s">
        <v>77</v>
      </c>
      <c r="J879" s="36" t="s">
        <v>77</v>
      </c>
      <c r="K879" s="433"/>
      <c r="L879" s="293"/>
    </row>
    <row r="880" spans="1:12">
      <c r="A880" s="25" t="s">
        <v>88</v>
      </c>
      <c r="B880" s="26" t="s">
        <v>75</v>
      </c>
      <c r="C880" s="26"/>
      <c r="D880" s="26"/>
      <c r="E880" s="27"/>
      <c r="F880" s="195">
        <f>SF!F14</f>
        <v>365.08803866482532</v>
      </c>
      <c r="G880" s="210"/>
      <c r="H880" s="34"/>
      <c r="I880" s="195">
        <f>SF!I14</f>
        <v>0</v>
      </c>
      <c r="J880" s="195">
        <f>SF!J14</f>
        <v>0</v>
      </c>
      <c r="K880" s="511">
        <v>1</v>
      </c>
      <c r="L880" s="266"/>
    </row>
    <row r="881" spans="1:12">
      <c r="A881" s="25" t="s">
        <v>250</v>
      </c>
      <c r="B881" s="26" t="s">
        <v>967</v>
      </c>
      <c r="C881" s="26"/>
      <c r="D881" s="26"/>
      <c r="E881" s="27"/>
      <c r="F881" s="195">
        <f>SF!F19</f>
        <v>230</v>
      </c>
      <c r="G881" s="27"/>
      <c r="H881" s="34"/>
      <c r="I881" s="195">
        <f>SF!I19</f>
        <v>-115</v>
      </c>
      <c r="J881" s="195">
        <f>SF!J19</f>
        <v>0</v>
      </c>
      <c r="K881" s="433">
        <v>1</v>
      </c>
      <c r="L881" s="11"/>
    </row>
    <row r="882" spans="1:12">
      <c r="A882" s="25" t="s">
        <v>251</v>
      </c>
      <c r="B882" s="26" t="s">
        <v>968</v>
      </c>
      <c r="C882" s="26"/>
      <c r="D882" s="26"/>
      <c r="E882" s="27"/>
      <c r="F882" s="195">
        <f>SF!F20</f>
        <v>20.660000000000004</v>
      </c>
      <c r="G882" s="27"/>
      <c r="H882" s="34"/>
      <c r="I882" s="195">
        <f>SF!I20</f>
        <v>-10.330000000000002</v>
      </c>
      <c r="J882" s="195">
        <f>SF!J20</f>
        <v>0</v>
      </c>
      <c r="K882" s="433">
        <v>1</v>
      </c>
      <c r="L882" s="11"/>
    </row>
    <row r="883" spans="1:12">
      <c r="A883" s="25" t="s">
        <v>97</v>
      </c>
      <c r="B883" s="26" t="s">
        <v>969</v>
      </c>
      <c r="C883" s="26"/>
      <c r="D883" s="26"/>
      <c r="E883" s="27"/>
      <c r="F883" s="195">
        <f>SF!F21</f>
        <v>42</v>
      </c>
      <c r="G883" s="27"/>
      <c r="H883" s="34"/>
      <c r="I883" s="195">
        <f>SF!I21</f>
        <v>-14.858499999999999</v>
      </c>
      <c r="J883" s="195">
        <f>SF!J21</f>
        <v>0</v>
      </c>
      <c r="K883" s="433">
        <v>1</v>
      </c>
      <c r="L883" s="11"/>
    </row>
    <row r="884" spans="1:12">
      <c r="A884" s="25" t="s">
        <v>250</v>
      </c>
      <c r="B884" s="26" t="s">
        <v>970</v>
      </c>
      <c r="C884" s="26"/>
      <c r="D884" s="26"/>
      <c r="E884" s="27"/>
      <c r="F884" s="195">
        <f>SF!F23</f>
        <v>230</v>
      </c>
      <c r="G884" s="27"/>
      <c r="H884" s="34"/>
      <c r="I884" s="195">
        <f>SF!I23</f>
        <v>115</v>
      </c>
      <c r="J884" s="195">
        <f>SF!J23</f>
        <v>0</v>
      </c>
      <c r="K884" s="433">
        <v>1</v>
      </c>
      <c r="L884" s="11"/>
    </row>
    <row r="885" spans="1:12">
      <c r="A885" s="25" t="s">
        <v>251</v>
      </c>
      <c r="B885" s="26" t="s">
        <v>971</v>
      </c>
      <c r="C885" s="26"/>
      <c r="D885" s="26"/>
      <c r="E885" s="27"/>
      <c r="F885" s="195">
        <f>SF!F24</f>
        <v>20.660000000000004</v>
      </c>
      <c r="G885" s="27"/>
      <c r="H885" s="34"/>
      <c r="I885" s="195">
        <f>SF!I24</f>
        <v>10.330000000000002</v>
      </c>
      <c r="J885" s="195">
        <f>SF!J24</f>
        <v>0</v>
      </c>
      <c r="K885" s="433">
        <v>1</v>
      </c>
      <c r="L885" s="266"/>
    </row>
    <row r="886" spans="1:12">
      <c r="A886" s="25" t="s">
        <v>97</v>
      </c>
      <c r="B886" s="26" t="s">
        <v>972</v>
      </c>
      <c r="C886" s="26"/>
      <c r="D886" s="26"/>
      <c r="E886" s="27"/>
      <c r="F886" s="195">
        <f>SF!F25</f>
        <v>42</v>
      </c>
      <c r="G886" s="27"/>
      <c r="H886" s="34"/>
      <c r="I886" s="195">
        <f>SF!I25</f>
        <v>14.858499999999999</v>
      </c>
      <c r="J886" s="195">
        <f>SF!J25</f>
        <v>0</v>
      </c>
      <c r="K886" s="511">
        <v>1</v>
      </c>
      <c r="L886" s="11"/>
    </row>
    <row r="887" spans="1:12">
      <c r="A887" s="25" t="s">
        <v>976</v>
      </c>
      <c r="B887" s="26" t="s">
        <v>978</v>
      </c>
      <c r="C887" s="26"/>
      <c r="D887" s="26"/>
      <c r="E887" s="27"/>
      <c r="F887" s="195">
        <f>SF!F29</f>
        <v>65.160399999999996</v>
      </c>
      <c r="G887" s="27"/>
      <c r="H887" s="34"/>
      <c r="I887" s="195">
        <f>SF!I29</f>
        <v>-32.580199999999998</v>
      </c>
      <c r="J887" s="195">
        <f>SF!J29</f>
        <v>-10.105732306306301</v>
      </c>
      <c r="K887" s="511">
        <v>1.3</v>
      </c>
      <c r="L887" s="11"/>
    </row>
    <row r="888" spans="1:12">
      <c r="A888" s="25" t="s">
        <v>977</v>
      </c>
      <c r="B888" s="26" t="s">
        <v>979</v>
      </c>
      <c r="C888" s="26"/>
      <c r="D888" s="26"/>
      <c r="E888" s="27"/>
      <c r="F888" s="195">
        <f>SF!F30</f>
        <v>75.185314285714313</v>
      </c>
      <c r="G888" s="27"/>
      <c r="H888" s="34"/>
      <c r="I888" s="195">
        <f>SF!I30</f>
        <v>37.592657142857156</v>
      </c>
      <c r="J888" s="195">
        <f>SF!J30</f>
        <v>-11.660497166023164</v>
      </c>
      <c r="K888" s="511">
        <v>1.3</v>
      </c>
      <c r="L888" s="266"/>
    </row>
    <row r="889" spans="1:12">
      <c r="A889" s="25" t="s">
        <v>984</v>
      </c>
      <c r="B889" s="163" t="s">
        <v>951</v>
      </c>
      <c r="C889" s="26"/>
      <c r="D889" s="26"/>
      <c r="E889" s="27"/>
      <c r="F889" s="34"/>
      <c r="G889" s="195">
        <f>SF!G38</f>
        <v>32.051277714285717</v>
      </c>
      <c r="H889" s="34"/>
      <c r="I889" s="195">
        <f>SF!I38</f>
        <v>265.38457947428577</v>
      </c>
      <c r="J889" s="34"/>
      <c r="K889" s="433">
        <v>1.3</v>
      </c>
      <c r="L889" s="266"/>
    </row>
    <row r="890" spans="1:12">
      <c r="A890" s="686" t="s">
        <v>1128</v>
      </c>
      <c r="B890" s="687"/>
      <c r="C890" s="688"/>
      <c r="D890" s="688"/>
      <c r="E890" s="689"/>
      <c r="F890" s="696">
        <f>SF!F43</f>
        <v>-103.56143333397094</v>
      </c>
      <c r="G890" s="689"/>
      <c r="H890" s="690"/>
      <c r="I890" s="690"/>
      <c r="J890" s="690"/>
      <c r="K890" s="433">
        <v>0.15</v>
      </c>
      <c r="L890" s="266"/>
    </row>
    <row r="891" spans="1:12">
      <c r="A891" s="686" t="s">
        <v>1131</v>
      </c>
      <c r="B891" s="687"/>
      <c r="C891" s="688"/>
      <c r="D891" s="688"/>
      <c r="E891" s="689"/>
      <c r="F891" s="690"/>
      <c r="G891" s="696">
        <f>SF!G47</f>
        <v>3.2856246869242693</v>
      </c>
      <c r="H891" s="696">
        <f>SF!H47</f>
        <v>3.5397182492142409</v>
      </c>
      <c r="I891" s="696">
        <f>SF!I47</f>
        <v>7.0628515103002814</v>
      </c>
      <c r="J891" s="696">
        <f>SF!J47</f>
        <v>5.3297614737052639</v>
      </c>
      <c r="K891" s="433">
        <v>1</v>
      </c>
      <c r="L891" s="266"/>
    </row>
    <row r="892" spans="1:12">
      <c r="A892" s="253"/>
      <c r="B892" s="15"/>
      <c r="C892" s="15"/>
      <c r="D892" s="15"/>
      <c r="E892" s="22"/>
      <c r="F892" s="212"/>
      <c r="G892" s="213"/>
      <c r="H892" s="198"/>
      <c r="I892" s="198"/>
      <c r="J892" s="58"/>
      <c r="K892" s="208"/>
      <c r="L892" s="293"/>
    </row>
    <row r="893" spans="1:12">
      <c r="A893" s="46"/>
      <c r="B893" s="46"/>
      <c r="C893" s="46"/>
      <c r="D893" s="46"/>
      <c r="E893" s="46"/>
      <c r="F893" s="46"/>
      <c r="G893" s="46"/>
      <c r="H893" s="46"/>
      <c r="I893" s="46"/>
      <c r="J893" s="46"/>
      <c r="K893" s="87"/>
      <c r="L893" s="293"/>
    </row>
    <row r="894" spans="1:12">
      <c r="A894" s="220" t="s">
        <v>73</v>
      </c>
      <c r="B894" s="220" t="s">
        <v>74</v>
      </c>
      <c r="C894" s="200"/>
      <c r="D894" s="200"/>
      <c r="E894" s="217"/>
      <c r="F894" s="1636" t="s">
        <v>72</v>
      </c>
      <c r="G894" s="1637"/>
      <c r="H894" s="1637"/>
      <c r="I894" s="1637"/>
      <c r="J894" s="1638"/>
      <c r="K894" s="87"/>
      <c r="L894" s="293"/>
    </row>
    <row r="895" spans="1:12" ht="18">
      <c r="A895" s="221"/>
      <c r="B895" s="221"/>
      <c r="C895" s="201"/>
      <c r="D895" s="201"/>
      <c r="E895" s="219"/>
      <c r="F895" s="223" t="s">
        <v>23</v>
      </c>
      <c r="G895" s="223" t="s">
        <v>87</v>
      </c>
      <c r="H895" s="223" t="s">
        <v>212</v>
      </c>
      <c r="I895" s="223" t="s">
        <v>80</v>
      </c>
      <c r="J895" s="223" t="s">
        <v>81</v>
      </c>
      <c r="K895" s="87"/>
      <c r="L895" s="293"/>
    </row>
    <row r="896" spans="1:12">
      <c r="A896" s="222"/>
      <c r="B896" s="222"/>
      <c r="C896" s="203"/>
      <c r="D896" s="203"/>
      <c r="E896" s="218"/>
      <c r="F896" s="204" t="s">
        <v>34</v>
      </c>
      <c r="G896" s="204" t="s">
        <v>34</v>
      </c>
      <c r="H896" s="203" t="s">
        <v>34</v>
      </c>
      <c r="I896" s="204" t="s">
        <v>77</v>
      </c>
      <c r="J896" s="204" t="s">
        <v>77</v>
      </c>
      <c r="K896" s="87"/>
      <c r="L896" s="293"/>
    </row>
    <row r="897" spans="1:12">
      <c r="A897" s="202"/>
      <c r="B897" s="200"/>
      <c r="C897" s="200"/>
      <c r="D897" s="200"/>
      <c r="E897" s="217"/>
      <c r="F897" s="205"/>
      <c r="G897" s="205"/>
      <c r="H897" s="201"/>
      <c r="I897" s="205"/>
      <c r="J897" s="205"/>
      <c r="K897" s="87"/>
      <c r="L897" s="293"/>
    </row>
    <row r="898" spans="1:12">
      <c r="A898" s="205" t="str">
        <f>A877</f>
        <v>LC-31</v>
      </c>
      <c r="B898" s="201" t="str">
        <f>B877</f>
        <v>NS HFL With LL max reaction case Comb-2</v>
      </c>
      <c r="C898" s="201"/>
      <c r="D898" s="201"/>
      <c r="E898" s="219"/>
      <c r="F898" s="205">
        <f>SUMPRODUCT(F880:F891,$K$880:$K$891)</f>
        <v>1117.3232522361582</v>
      </c>
      <c r="G898" s="219">
        <f>SUMPRODUCT(G880:G891,$K$880:$K$891)</f>
        <v>44.952285715495705</v>
      </c>
      <c r="H898" s="219">
        <f>SUMPRODUCT(H880:H891,$K$880:$K$891)</f>
        <v>3.5397182492142409</v>
      </c>
      <c r="I898" s="219">
        <f>SUMPRODUCT(I880:I891,$K$880:$K$891)</f>
        <v>358.57899911258613</v>
      </c>
      <c r="J898" s="219">
        <f>SUMPRODUCT(J880:J891,$K$880:$K$891)</f>
        <v>-22.966336840323041</v>
      </c>
      <c r="K898" s="87"/>
      <c r="L898" s="293"/>
    </row>
    <row r="899" spans="1:12">
      <c r="A899" s="204"/>
      <c r="B899" s="203"/>
      <c r="C899" s="203"/>
      <c r="D899" s="203"/>
      <c r="E899" s="218"/>
      <c r="F899" s="204"/>
      <c r="G899" s="204"/>
      <c r="H899" s="203"/>
      <c r="I899" s="204"/>
      <c r="J899" s="204"/>
      <c r="K899" s="87"/>
      <c r="L899" s="293"/>
    </row>
    <row r="902" spans="1:12">
      <c r="A902" s="811" t="str">
        <f>K902</f>
        <v>LC-32</v>
      </c>
      <c r="B902" s="31" t="str">
        <f>VLOOKUP(A902,LC_DEF_2!A45:B92,2,FALSE)</f>
        <v>NS HFL With LL max moment case Comb-2</v>
      </c>
      <c r="C902" s="31"/>
      <c r="D902" s="31"/>
      <c r="E902" s="32"/>
      <c r="F902" s="1599" t="s">
        <v>742</v>
      </c>
      <c r="G902" s="1635"/>
      <c r="H902" s="1635"/>
      <c r="I902" s="1635"/>
      <c r="J902" s="1600"/>
      <c r="K902" s="1580" t="s">
        <v>1169</v>
      </c>
      <c r="L902" s="293"/>
    </row>
    <row r="903" spans="1:12" ht="18">
      <c r="A903" s="25" t="s">
        <v>73</v>
      </c>
      <c r="B903" s="26" t="s">
        <v>74</v>
      </c>
      <c r="C903" s="26"/>
      <c r="D903" s="26"/>
      <c r="E903" s="27"/>
      <c r="F903" s="58" t="s">
        <v>23</v>
      </c>
      <c r="G903" s="58" t="s">
        <v>87</v>
      </c>
      <c r="H903" s="58" t="s">
        <v>212</v>
      </c>
      <c r="I903" s="58" t="s">
        <v>80</v>
      </c>
      <c r="J903" s="58" t="s">
        <v>81</v>
      </c>
      <c r="K903" s="433"/>
      <c r="L903" s="293"/>
    </row>
    <row r="904" spans="1:12">
      <c r="A904" s="25"/>
      <c r="B904" s="26"/>
      <c r="C904" s="26"/>
      <c r="D904" s="26"/>
      <c r="E904" s="27"/>
      <c r="F904" s="36" t="s">
        <v>34</v>
      </c>
      <c r="G904" s="36" t="s">
        <v>34</v>
      </c>
      <c r="H904" s="36" t="s">
        <v>34</v>
      </c>
      <c r="I904" s="36" t="s">
        <v>77</v>
      </c>
      <c r="J904" s="36" t="s">
        <v>77</v>
      </c>
      <c r="K904" s="433"/>
      <c r="L904" s="293"/>
    </row>
    <row r="905" spans="1:12">
      <c r="A905" s="25" t="s">
        <v>88</v>
      </c>
      <c r="B905" s="26" t="s">
        <v>75</v>
      </c>
      <c r="C905" s="26"/>
      <c r="D905" s="26"/>
      <c r="E905" s="27"/>
      <c r="F905" s="195">
        <f>SF!F14</f>
        <v>365.08803866482532</v>
      </c>
      <c r="G905" s="210"/>
      <c r="H905" s="34"/>
      <c r="I905" s="195">
        <f>SF!I14</f>
        <v>0</v>
      </c>
      <c r="J905" s="195">
        <f>SF!J14</f>
        <v>0</v>
      </c>
      <c r="K905" s="511">
        <v>1</v>
      </c>
      <c r="L905" s="266"/>
    </row>
    <row r="906" spans="1:12">
      <c r="A906" s="25" t="s">
        <v>250</v>
      </c>
      <c r="B906" s="26" t="s">
        <v>967</v>
      </c>
      <c r="C906" s="26"/>
      <c r="D906" s="26"/>
      <c r="E906" s="27"/>
      <c r="F906" s="195">
        <f>SF!F19</f>
        <v>230</v>
      </c>
      <c r="G906" s="27"/>
      <c r="H906" s="34"/>
      <c r="I906" s="195">
        <f>SF!I19</f>
        <v>-115</v>
      </c>
      <c r="J906" s="195">
        <f>SF!J19</f>
        <v>0</v>
      </c>
      <c r="K906" s="433">
        <v>1</v>
      </c>
      <c r="L906" s="11"/>
    </row>
    <row r="907" spans="1:12">
      <c r="A907" s="25" t="s">
        <v>251</v>
      </c>
      <c r="B907" s="26" t="s">
        <v>968</v>
      </c>
      <c r="C907" s="26"/>
      <c r="D907" s="26"/>
      <c r="E907" s="27"/>
      <c r="F907" s="195">
        <f>SF!F20</f>
        <v>20.660000000000004</v>
      </c>
      <c r="G907" s="27"/>
      <c r="H907" s="34"/>
      <c r="I907" s="195">
        <f>SF!I20</f>
        <v>-10.330000000000002</v>
      </c>
      <c r="J907" s="195">
        <f>SF!J20</f>
        <v>0</v>
      </c>
      <c r="K907" s="433">
        <v>1</v>
      </c>
      <c r="L907" s="11"/>
    </row>
    <row r="908" spans="1:12">
      <c r="A908" s="25" t="s">
        <v>97</v>
      </c>
      <c r="B908" s="26" t="s">
        <v>969</v>
      </c>
      <c r="C908" s="26"/>
      <c r="D908" s="26"/>
      <c r="E908" s="27"/>
      <c r="F908" s="195">
        <f>SF!F21</f>
        <v>42</v>
      </c>
      <c r="G908" s="27"/>
      <c r="H908" s="34"/>
      <c r="I908" s="195">
        <f>SF!I21</f>
        <v>-14.858499999999999</v>
      </c>
      <c r="J908" s="195">
        <f>SF!J21</f>
        <v>0</v>
      </c>
      <c r="K908" s="433">
        <v>1</v>
      </c>
      <c r="L908" s="11"/>
    </row>
    <row r="909" spans="1:12">
      <c r="A909" s="25" t="s">
        <v>250</v>
      </c>
      <c r="B909" s="26" t="s">
        <v>970</v>
      </c>
      <c r="C909" s="26"/>
      <c r="D909" s="26"/>
      <c r="E909" s="27"/>
      <c r="F909" s="195">
        <f>SF!F23</f>
        <v>230</v>
      </c>
      <c r="G909" s="27"/>
      <c r="H909" s="34"/>
      <c r="I909" s="195">
        <f>SF!I23</f>
        <v>115</v>
      </c>
      <c r="J909" s="195">
        <f>SF!J23</f>
        <v>0</v>
      </c>
      <c r="K909" s="433">
        <v>1</v>
      </c>
      <c r="L909" s="11"/>
    </row>
    <row r="910" spans="1:12">
      <c r="A910" s="25" t="s">
        <v>251</v>
      </c>
      <c r="B910" s="26" t="s">
        <v>971</v>
      </c>
      <c r="C910" s="26"/>
      <c r="D910" s="26"/>
      <c r="E910" s="27"/>
      <c r="F910" s="195">
        <f>SF!F24</f>
        <v>20.660000000000004</v>
      </c>
      <c r="G910" s="27"/>
      <c r="H910" s="34"/>
      <c r="I910" s="195">
        <f>SF!I24</f>
        <v>10.330000000000002</v>
      </c>
      <c r="J910" s="195">
        <f>SF!J24</f>
        <v>0</v>
      </c>
      <c r="K910" s="433">
        <v>1</v>
      </c>
      <c r="L910" s="266"/>
    </row>
    <row r="911" spans="1:12">
      <c r="A911" s="25" t="s">
        <v>97</v>
      </c>
      <c r="B911" s="26" t="s">
        <v>972</v>
      </c>
      <c r="C911" s="26"/>
      <c r="D911" s="26"/>
      <c r="E911" s="27"/>
      <c r="F911" s="195">
        <f>SF!F25</f>
        <v>42</v>
      </c>
      <c r="G911" s="27"/>
      <c r="H911" s="34"/>
      <c r="I911" s="195">
        <f>SF!I25</f>
        <v>14.858499999999999</v>
      </c>
      <c r="J911" s="195">
        <f>SF!J25</f>
        <v>0</v>
      </c>
      <c r="K911" s="511">
        <v>1</v>
      </c>
      <c r="L911" s="11"/>
    </row>
    <row r="912" spans="1:12">
      <c r="A912" s="25" t="s">
        <v>976</v>
      </c>
      <c r="B912" s="26" t="s">
        <v>981</v>
      </c>
      <c r="C912" s="26"/>
      <c r="D912" s="26"/>
      <c r="E912" s="27"/>
      <c r="F912" s="195">
        <f>SF!F33</f>
        <v>0</v>
      </c>
      <c r="G912" s="27"/>
      <c r="H912" s="34"/>
      <c r="I912" s="195">
        <f>SF!I33</f>
        <v>0</v>
      </c>
      <c r="J912" s="195">
        <f>SF!J33</f>
        <v>0</v>
      </c>
      <c r="K912" s="433">
        <v>1.3</v>
      </c>
      <c r="L912" s="266"/>
    </row>
    <row r="913" spans="1:12">
      <c r="A913" s="25" t="s">
        <v>977</v>
      </c>
      <c r="B913" s="26" t="s">
        <v>982</v>
      </c>
      <c r="C913" s="26"/>
      <c r="D913" s="26"/>
      <c r="E913" s="27"/>
      <c r="F913" s="195">
        <f>SF!F34</f>
        <v>127.89948571428575</v>
      </c>
      <c r="G913" s="27"/>
      <c r="H913" s="34"/>
      <c r="I913" s="195">
        <f>SF!I34</f>
        <v>63.949742857142873</v>
      </c>
      <c r="J913" s="195">
        <f>SF!J34</f>
        <v>-19.835942761904757</v>
      </c>
      <c r="K913" s="433">
        <v>1.3</v>
      </c>
      <c r="L913" s="266"/>
    </row>
    <row r="914" spans="1:12">
      <c r="A914" s="25" t="s">
        <v>985</v>
      </c>
      <c r="B914" s="163" t="s">
        <v>953</v>
      </c>
      <c r="C914" s="26"/>
      <c r="D914" s="26"/>
      <c r="E914" s="27"/>
      <c r="F914" s="34"/>
      <c r="G914" s="195">
        <f>SF!G39</f>
        <v>29.998225714285713</v>
      </c>
      <c r="H914" s="34"/>
      <c r="I914" s="195">
        <f>SF!I39</f>
        <v>248.38530891428573</v>
      </c>
      <c r="J914" s="34"/>
      <c r="K914" s="433">
        <v>1.3</v>
      </c>
      <c r="L914" s="266"/>
    </row>
    <row r="915" spans="1:12">
      <c r="A915" s="686" t="s">
        <v>1128</v>
      </c>
      <c r="B915" s="687"/>
      <c r="C915" s="688"/>
      <c r="D915" s="688"/>
      <c r="E915" s="689"/>
      <c r="F915" s="696">
        <f>SF!F43</f>
        <v>-103.56143333397094</v>
      </c>
      <c r="G915" s="689"/>
      <c r="H915" s="690"/>
      <c r="I915" s="690"/>
      <c r="J915" s="690"/>
      <c r="K915" s="433">
        <v>0.15</v>
      </c>
      <c r="L915" s="266"/>
    </row>
    <row r="916" spans="1:12">
      <c r="A916" s="686" t="s">
        <v>1131</v>
      </c>
      <c r="B916" s="687"/>
      <c r="C916" s="688"/>
      <c r="D916" s="688"/>
      <c r="E916" s="689"/>
      <c r="F916" s="690"/>
      <c r="G916" s="696">
        <f>SF!G47</f>
        <v>3.2856246869242693</v>
      </c>
      <c r="H916" s="696">
        <f>SF!H47</f>
        <v>3.5397182492142409</v>
      </c>
      <c r="I916" s="696">
        <f>SF!I47</f>
        <v>7.0628515103002814</v>
      </c>
      <c r="J916" s="696">
        <f>SF!J47</f>
        <v>5.3297614737052639</v>
      </c>
      <c r="K916" s="433">
        <v>1</v>
      </c>
      <c r="L916" s="266"/>
    </row>
    <row r="917" spans="1:12">
      <c r="A917" s="253"/>
      <c r="B917" s="15"/>
      <c r="C917" s="15"/>
      <c r="D917" s="15"/>
      <c r="E917" s="22"/>
      <c r="F917" s="212"/>
      <c r="G917" s="213"/>
      <c r="H917" s="198"/>
      <c r="I917" s="198"/>
      <c r="J917" s="58"/>
      <c r="K917" s="208"/>
      <c r="L917" s="293"/>
    </row>
    <row r="918" spans="1:12">
      <c r="A918" s="46"/>
      <c r="B918" s="46"/>
      <c r="C918" s="46"/>
      <c r="D918" s="46"/>
      <c r="E918" s="46"/>
      <c r="F918" s="46"/>
      <c r="G918" s="46"/>
      <c r="H918" s="46"/>
      <c r="I918" s="46"/>
      <c r="J918" s="46"/>
      <c r="K918" s="87"/>
      <c r="L918" s="293"/>
    </row>
    <row r="919" spans="1:12">
      <c r="A919" s="220" t="s">
        <v>73</v>
      </c>
      <c r="B919" s="220" t="s">
        <v>74</v>
      </c>
      <c r="C919" s="200"/>
      <c r="D919" s="200"/>
      <c r="E919" s="217"/>
      <c r="F919" s="1636" t="s">
        <v>72</v>
      </c>
      <c r="G919" s="1637"/>
      <c r="H919" s="1637"/>
      <c r="I919" s="1637"/>
      <c r="J919" s="1638"/>
      <c r="K919" s="87"/>
      <c r="L919" s="293"/>
    </row>
    <row r="920" spans="1:12" ht="18">
      <c r="A920" s="221"/>
      <c r="B920" s="221"/>
      <c r="C920" s="201"/>
      <c r="D920" s="201"/>
      <c r="E920" s="219"/>
      <c r="F920" s="223" t="s">
        <v>23</v>
      </c>
      <c r="G920" s="223" t="s">
        <v>87</v>
      </c>
      <c r="H920" s="223" t="s">
        <v>212</v>
      </c>
      <c r="I920" s="223" t="s">
        <v>80</v>
      </c>
      <c r="J920" s="223" t="s">
        <v>81</v>
      </c>
      <c r="K920" s="87"/>
      <c r="L920" s="293"/>
    </row>
    <row r="921" spans="1:12">
      <c r="A921" s="222"/>
      <c r="B921" s="222"/>
      <c r="C921" s="203"/>
      <c r="D921" s="203"/>
      <c r="E921" s="218"/>
      <c r="F921" s="204" t="s">
        <v>34</v>
      </c>
      <c r="G921" s="204" t="s">
        <v>34</v>
      </c>
      <c r="H921" s="203" t="s">
        <v>34</v>
      </c>
      <c r="I921" s="204" t="s">
        <v>77</v>
      </c>
      <c r="J921" s="204" t="s">
        <v>77</v>
      </c>
      <c r="K921" s="87"/>
      <c r="L921" s="293"/>
    </row>
    <row r="922" spans="1:12">
      <c r="A922" s="202"/>
      <c r="B922" s="200"/>
      <c r="C922" s="200"/>
      <c r="D922" s="200"/>
      <c r="E922" s="217"/>
      <c r="F922" s="205"/>
      <c r="G922" s="205"/>
      <c r="H922" s="201"/>
      <c r="I922" s="205"/>
      <c r="J922" s="205"/>
      <c r="K922" s="87"/>
      <c r="L922" s="293"/>
    </row>
    <row r="923" spans="1:12">
      <c r="A923" s="205" t="str">
        <f>A902</f>
        <v>LC-32</v>
      </c>
      <c r="B923" s="201" t="str">
        <f>B902</f>
        <v>NS HFL With LL max moment case Comb-2</v>
      </c>
      <c r="C923" s="201"/>
      <c r="D923" s="201"/>
      <c r="E923" s="219"/>
      <c r="F923" s="205">
        <f>SUMPRODUCT(F905:F916,$K$905:$K$916)</f>
        <v>1101.1431550933009</v>
      </c>
      <c r="G923" s="219">
        <f>SUMPRODUCT(G905:G916,$K$905:$K$916)</f>
        <v>42.283318115495703</v>
      </c>
      <c r="H923" s="219">
        <f>SUMPRODUCT(H905:H916,$K$905:$K$916)</f>
        <v>3.5397182492142409</v>
      </c>
      <c r="I923" s="219">
        <f>SUMPRODUCT(I905:I916,$K$905:$K$916)</f>
        <v>413.09841881315748</v>
      </c>
      <c r="J923" s="219">
        <f>SUMPRODUCT(J905:J916,$K$905:$K$916)</f>
        <v>-20.456964116770919</v>
      </c>
      <c r="K923" s="87"/>
      <c r="L923" s="293"/>
    </row>
    <row r="924" spans="1:12">
      <c r="A924" s="204"/>
      <c r="B924" s="203"/>
      <c r="C924" s="203"/>
      <c r="D924" s="203"/>
      <c r="E924" s="218"/>
      <c r="F924" s="204"/>
      <c r="G924" s="204"/>
      <c r="H924" s="203"/>
      <c r="I924" s="204"/>
      <c r="J924" s="204"/>
      <c r="K924" s="87"/>
      <c r="L924" s="293"/>
    </row>
    <row r="927" spans="1:12">
      <c r="A927" s="811" t="str">
        <f>K927</f>
        <v>LC-33</v>
      </c>
      <c r="B927" s="31" t="str">
        <f>VLOOKUP(A927,LC_DEF_2!A45:B92,2,FALSE)</f>
        <v>LC-21 + Seismic Sx=1,Sz=0.3,Sy=-0.3 (50% seismic)</v>
      </c>
      <c r="C927" s="31"/>
      <c r="D927" s="31"/>
      <c r="E927" s="32"/>
      <c r="F927" s="1599" t="s">
        <v>742</v>
      </c>
      <c r="G927" s="1635"/>
      <c r="H927" s="1635"/>
      <c r="I927" s="1635"/>
      <c r="J927" s="1600"/>
      <c r="K927" s="1580" t="s">
        <v>1170</v>
      </c>
      <c r="L927" s="293"/>
    </row>
    <row r="928" spans="1:12" ht="18">
      <c r="A928" s="25" t="s">
        <v>73</v>
      </c>
      <c r="B928" s="26" t="s">
        <v>74</v>
      </c>
      <c r="C928" s="26"/>
      <c r="D928" s="26"/>
      <c r="E928" s="27"/>
      <c r="F928" s="58" t="s">
        <v>23</v>
      </c>
      <c r="G928" s="58" t="s">
        <v>87</v>
      </c>
      <c r="H928" s="58" t="s">
        <v>212</v>
      </c>
      <c r="I928" s="58" t="s">
        <v>80</v>
      </c>
      <c r="J928" s="58" t="s">
        <v>81</v>
      </c>
      <c r="K928" s="433"/>
      <c r="L928" s="293"/>
    </row>
    <row r="929" spans="1:12">
      <c r="A929" s="25"/>
      <c r="B929" s="26"/>
      <c r="C929" s="26"/>
      <c r="D929" s="26"/>
      <c r="E929" s="27"/>
      <c r="F929" s="36" t="s">
        <v>34</v>
      </c>
      <c r="G929" s="36" t="s">
        <v>34</v>
      </c>
      <c r="H929" s="36" t="s">
        <v>34</v>
      </c>
      <c r="I929" s="36" t="s">
        <v>77</v>
      </c>
      <c r="J929" s="36" t="s">
        <v>77</v>
      </c>
      <c r="K929" s="433"/>
      <c r="L929" s="293"/>
    </row>
    <row r="930" spans="1:12">
      <c r="A930" s="25" t="s">
        <v>88</v>
      </c>
      <c r="B930" s="26" t="s">
        <v>75</v>
      </c>
      <c r="C930" s="26"/>
      <c r="D930" s="26"/>
      <c r="E930" s="27"/>
      <c r="F930" s="195">
        <f>SF!F14</f>
        <v>365.08803866482532</v>
      </c>
      <c r="G930" s="210"/>
      <c r="H930" s="34"/>
      <c r="I930" s="195">
        <f>SF!I14</f>
        <v>0</v>
      </c>
      <c r="J930" s="195">
        <f>SF!J14</f>
        <v>0</v>
      </c>
      <c r="K930" s="511">
        <v>1.35</v>
      </c>
      <c r="L930" s="266"/>
    </row>
    <row r="931" spans="1:12">
      <c r="A931" s="25" t="s">
        <v>90</v>
      </c>
      <c r="B931" s="26" t="s">
        <v>249</v>
      </c>
      <c r="C931" s="26"/>
      <c r="D931" s="26"/>
      <c r="E931" s="27"/>
      <c r="F931" s="195">
        <f>SF!F16</f>
        <v>36.639026644707663</v>
      </c>
      <c r="G931" s="210"/>
      <c r="H931" s="34"/>
      <c r="I931" s="195">
        <f>SF!I16</f>
        <v>0</v>
      </c>
      <c r="J931" s="195">
        <f>SF!J16</f>
        <v>0</v>
      </c>
      <c r="K931" s="511">
        <v>1.35</v>
      </c>
      <c r="L931" s="266"/>
    </row>
    <row r="932" spans="1:12">
      <c r="A932" s="25" t="s">
        <v>250</v>
      </c>
      <c r="B932" s="26" t="s">
        <v>970</v>
      </c>
      <c r="C932" s="26"/>
      <c r="D932" s="26"/>
      <c r="E932" s="27"/>
      <c r="F932" s="195">
        <f>SF!F23</f>
        <v>230</v>
      </c>
      <c r="G932" s="27"/>
      <c r="H932" s="34"/>
      <c r="I932" s="195">
        <f>SF!I23</f>
        <v>115</v>
      </c>
      <c r="J932" s="195">
        <f>SF!J23</f>
        <v>0</v>
      </c>
      <c r="K932" s="433">
        <v>1.35</v>
      </c>
      <c r="L932" s="11"/>
    </row>
    <row r="933" spans="1:12">
      <c r="A933" s="25" t="s">
        <v>251</v>
      </c>
      <c r="B933" s="26" t="s">
        <v>971</v>
      </c>
      <c r="C933" s="26"/>
      <c r="D933" s="26"/>
      <c r="E933" s="27"/>
      <c r="F933" s="195">
        <f>SF!F24</f>
        <v>20.660000000000004</v>
      </c>
      <c r="G933" s="27"/>
      <c r="H933" s="34"/>
      <c r="I933" s="195">
        <f>SF!I24</f>
        <v>10.330000000000002</v>
      </c>
      <c r="J933" s="195">
        <f>SF!J24</f>
        <v>0</v>
      </c>
      <c r="K933" s="433">
        <v>1.35</v>
      </c>
      <c r="L933" s="266"/>
    </row>
    <row r="934" spans="1:12">
      <c r="A934" s="25" t="s">
        <v>97</v>
      </c>
      <c r="B934" s="26" t="s">
        <v>972</v>
      </c>
      <c r="C934" s="26"/>
      <c r="D934" s="26"/>
      <c r="E934" s="27"/>
      <c r="F934" s="195">
        <f>SF!F25</f>
        <v>42</v>
      </c>
      <c r="G934" s="27"/>
      <c r="H934" s="34"/>
      <c r="I934" s="195">
        <f>SF!I25</f>
        <v>14.858499999999999</v>
      </c>
      <c r="J934" s="195">
        <f>SF!J25</f>
        <v>0</v>
      </c>
      <c r="K934" s="511">
        <v>1.75</v>
      </c>
      <c r="L934" s="11"/>
    </row>
    <row r="935" spans="1:12">
      <c r="A935" s="25" t="s">
        <v>987</v>
      </c>
      <c r="B935" s="163" t="s">
        <v>957</v>
      </c>
      <c r="C935" s="26"/>
      <c r="D935" s="26"/>
      <c r="E935" s="27"/>
      <c r="F935" s="34"/>
      <c r="G935" s="195">
        <f>SF!G41</f>
        <v>14.632999999999999</v>
      </c>
      <c r="H935" s="34"/>
      <c r="I935" s="195">
        <f>SF!I41</f>
        <v>121.16124000000001</v>
      </c>
      <c r="J935" s="34"/>
      <c r="K935" s="433">
        <v>1.5</v>
      </c>
      <c r="L935" s="266"/>
    </row>
    <row r="936" spans="1:12">
      <c r="A936" s="686" t="s">
        <v>1128</v>
      </c>
      <c r="B936" s="687"/>
      <c r="C936" s="688"/>
      <c r="D936" s="688"/>
      <c r="E936" s="689"/>
      <c r="F936" s="696">
        <f>SF!F43</f>
        <v>-103.56143333397094</v>
      </c>
      <c r="G936" s="689"/>
      <c r="H936" s="690"/>
      <c r="I936" s="690"/>
      <c r="J936" s="690"/>
      <c r="K936" s="433">
        <v>0.15</v>
      </c>
      <c r="L936" s="266"/>
    </row>
    <row r="937" spans="1:12">
      <c r="A937" s="686" t="s">
        <v>1131</v>
      </c>
      <c r="B937" s="687"/>
      <c r="C937" s="688"/>
      <c r="D937" s="688"/>
      <c r="E937" s="689"/>
      <c r="F937" s="690"/>
      <c r="G937" s="696">
        <f>SF!G47</f>
        <v>3.2856246869242693</v>
      </c>
      <c r="H937" s="696">
        <f>SF!H47</f>
        <v>3.5397182492142409</v>
      </c>
      <c r="I937" s="696">
        <f>SF!I47</f>
        <v>7.0628515103002814</v>
      </c>
      <c r="J937" s="696">
        <f>SF!J47</f>
        <v>5.3297614737052639</v>
      </c>
      <c r="K937" s="433">
        <v>1</v>
      </c>
      <c r="L937" s="266"/>
    </row>
    <row r="938" spans="1:12">
      <c r="A938" s="278" t="s">
        <v>200</v>
      </c>
      <c r="B938" s="262"/>
      <c r="C938" s="262"/>
      <c r="D938" s="262"/>
      <c r="E938" s="263"/>
      <c r="F938" s="279"/>
      <c r="G938" s="280"/>
      <c r="H938" s="264"/>
      <c r="I938" s="279"/>
      <c r="J938" s="264"/>
      <c r="K938" s="1581">
        <v>0.75</v>
      </c>
      <c r="L938" s="266"/>
    </row>
    <row r="939" spans="1:12">
      <c r="A939" s="25" t="s">
        <v>991</v>
      </c>
      <c r="B939" s="26" t="s">
        <v>989</v>
      </c>
      <c r="C939" s="26"/>
      <c r="D939" s="26"/>
      <c r="E939" s="27"/>
      <c r="F939" s="197"/>
      <c r="G939" s="172">
        <f>SF!G52</f>
        <v>94.821839999999995</v>
      </c>
      <c r="H939" s="34"/>
      <c r="I939" s="172">
        <f>SF!I52</f>
        <v>785.12483520000001</v>
      </c>
      <c r="J939" s="89"/>
      <c r="K939" s="511">
        <v>0.75</v>
      </c>
      <c r="L939" s="266"/>
    </row>
    <row r="940" spans="1:12">
      <c r="A940" s="25" t="s">
        <v>217</v>
      </c>
      <c r="B940" s="26" t="s">
        <v>211</v>
      </c>
      <c r="C940" s="26"/>
      <c r="D940" s="26"/>
      <c r="E940" s="27"/>
      <c r="F940" s="197"/>
      <c r="G940" s="196">
        <f>SF!G58</f>
        <v>26.798532263701709</v>
      </c>
      <c r="H940" s="199"/>
      <c r="I940" s="172">
        <f>SF!I58</f>
        <v>147.28381289471153</v>
      </c>
      <c r="J940" s="195"/>
      <c r="K940" s="433">
        <v>0.75</v>
      </c>
      <c r="L940" s="266"/>
    </row>
    <row r="941" spans="1:12">
      <c r="A941" s="686" t="s">
        <v>1472</v>
      </c>
      <c r="B941" s="688" t="s">
        <v>1045</v>
      </c>
      <c r="C941" s="688"/>
      <c r="D941" s="688"/>
      <c r="E941" s="689"/>
      <c r="F941" s="620"/>
      <c r="G941" s="695">
        <f>SF!G61</f>
        <v>32.345729999999996</v>
      </c>
      <c r="H941" s="690"/>
      <c r="I941" s="695">
        <f>SF!I61</f>
        <v>29.111156999999999</v>
      </c>
      <c r="J941" s="269"/>
      <c r="K941" s="433">
        <v>0.75</v>
      </c>
      <c r="L941" s="266"/>
    </row>
    <row r="942" spans="1:12">
      <c r="A942" s="686" t="s">
        <v>1139</v>
      </c>
      <c r="B942" s="688" t="s">
        <v>1140</v>
      </c>
      <c r="C942" s="688"/>
      <c r="D942" s="688"/>
      <c r="E942" s="689"/>
      <c r="F942" s="620"/>
      <c r="G942" s="695">
        <f>SF!G63</f>
        <v>19.373390077688924</v>
      </c>
      <c r="H942" s="690"/>
      <c r="I942" s="695">
        <f>SF!I63</f>
        <v>37.512792074379419</v>
      </c>
      <c r="J942" s="269"/>
      <c r="K942" s="433">
        <v>0.5</v>
      </c>
      <c r="L942" s="266"/>
    </row>
    <row r="943" spans="1:12">
      <c r="A943" s="278" t="s">
        <v>1817</v>
      </c>
      <c r="B943" s="262"/>
      <c r="C943" s="262"/>
      <c r="D943" s="262"/>
      <c r="E943" s="263"/>
      <c r="F943" s="279"/>
      <c r="G943" s="280"/>
      <c r="H943" s="264"/>
      <c r="I943" s="279"/>
      <c r="J943" s="264"/>
      <c r="K943" s="1582">
        <v>0.22499999999999998</v>
      </c>
      <c r="L943" s="266"/>
    </row>
    <row r="944" spans="1:12">
      <c r="A944" s="25" t="s">
        <v>998</v>
      </c>
      <c r="B944" s="26" t="s">
        <v>989</v>
      </c>
      <c r="C944" s="26"/>
      <c r="D944" s="26"/>
      <c r="E944" s="27"/>
      <c r="F944" s="197"/>
      <c r="G944" s="211"/>
      <c r="H944" s="172">
        <f>SF!H68</f>
        <v>47.410919999999997</v>
      </c>
      <c r="I944" s="197"/>
      <c r="J944" s="172">
        <f>SF!J68</f>
        <v>433.10062959257624</v>
      </c>
      <c r="K944" s="433">
        <v>0.22499999999999998</v>
      </c>
      <c r="L944" s="266"/>
    </row>
    <row r="945" spans="1:12">
      <c r="A945" s="25" t="s">
        <v>1006</v>
      </c>
      <c r="B945" s="26" t="s">
        <v>211</v>
      </c>
      <c r="C945" s="26"/>
      <c r="D945" s="26"/>
      <c r="E945" s="27"/>
      <c r="F945" s="197"/>
      <c r="G945" s="195"/>
      <c r="H945" s="172">
        <f>SF!H78</f>
        <v>26.798532263701709</v>
      </c>
      <c r="I945" s="195"/>
      <c r="J945" s="172">
        <f>SF!J78</f>
        <v>147.28381289471153</v>
      </c>
      <c r="K945" s="433">
        <v>0.22499999999999998</v>
      </c>
      <c r="L945" s="266"/>
    </row>
    <row r="946" spans="1:12">
      <c r="A946" s="686" t="s">
        <v>1138</v>
      </c>
      <c r="B946" s="688" t="s">
        <v>1045</v>
      </c>
      <c r="C946" s="688"/>
      <c r="D946" s="688"/>
      <c r="E946" s="689"/>
      <c r="F946" s="620"/>
      <c r="G946" s="711"/>
      <c r="H946" s="989">
        <f>SF!H81</f>
        <v>32.345729999999996</v>
      </c>
      <c r="I946" s="696"/>
      <c r="J946" s="989">
        <f>SF!J81</f>
        <v>29.111156999999999</v>
      </c>
      <c r="K946" s="433">
        <v>0.22499999999999998</v>
      </c>
      <c r="L946" s="266"/>
    </row>
    <row r="947" spans="1:12">
      <c r="A947" s="686" t="s">
        <v>1138</v>
      </c>
      <c r="B947" s="688" t="s">
        <v>1141</v>
      </c>
      <c r="C947" s="26"/>
      <c r="D947" s="26"/>
      <c r="E947" s="27"/>
      <c r="F947" s="34"/>
      <c r="G947" s="27"/>
      <c r="H947" s="989">
        <f>SF!H83</f>
        <v>19.373390077688924</v>
      </c>
      <c r="I947" s="696"/>
      <c r="J947" s="989">
        <f>SF!J83</f>
        <v>37.512792074379419</v>
      </c>
      <c r="K947" s="433">
        <v>0.22499999999999998</v>
      </c>
      <c r="L947" s="266"/>
    </row>
    <row r="948" spans="1:12">
      <c r="A948" s="990" t="s">
        <v>204</v>
      </c>
      <c r="B948" s="661"/>
      <c r="C948" s="661"/>
      <c r="D948" s="661"/>
      <c r="E948" s="584"/>
      <c r="F948" s="991"/>
      <c r="G948" s="992"/>
      <c r="H948" s="370"/>
      <c r="I948" s="991"/>
      <c r="J948" s="370"/>
      <c r="K948" s="1583">
        <v>0.22499999999999998</v>
      </c>
      <c r="L948" s="266"/>
    </row>
    <row r="949" spans="1:12">
      <c r="A949" s="25" t="s">
        <v>1008</v>
      </c>
      <c r="B949" s="26" t="s">
        <v>989</v>
      </c>
      <c r="C949" s="26"/>
      <c r="D949" s="26"/>
      <c r="E949" s="27"/>
      <c r="F949" s="196">
        <f>SF!F88</f>
        <v>31.607279999999999</v>
      </c>
      <c r="G949" s="211"/>
      <c r="H949" s="34"/>
      <c r="I949" s="196">
        <f>SF!I88</f>
        <v>15.140358000000003</v>
      </c>
      <c r="J949" s="196">
        <f>SF!J88</f>
        <v>0</v>
      </c>
      <c r="K949" s="511">
        <v>-0.22499999999999998</v>
      </c>
      <c r="L949" s="266"/>
    </row>
    <row r="950" spans="1:12">
      <c r="A950" s="25" t="s">
        <v>1011</v>
      </c>
      <c r="B950" s="26" t="s">
        <v>211</v>
      </c>
      <c r="C950" s="26"/>
      <c r="D950" s="26"/>
      <c r="E950" s="27"/>
      <c r="F950" s="196">
        <f>SF!F98</f>
        <v>17.865688175801139</v>
      </c>
      <c r="G950" s="211"/>
      <c r="H950" s="197"/>
      <c r="I950" s="196">
        <f>SF!I98</f>
        <v>0</v>
      </c>
      <c r="J950" s="196">
        <f>SF!J98</f>
        <v>0</v>
      </c>
      <c r="K950" s="511">
        <v>-0.22499999999999998</v>
      </c>
      <c r="L950" s="266"/>
    </row>
    <row r="951" spans="1:12">
      <c r="A951" s="686" t="s">
        <v>1473</v>
      </c>
      <c r="B951" s="688" t="s">
        <v>1045</v>
      </c>
      <c r="C951" s="688"/>
      <c r="D951" s="688"/>
      <c r="E951" s="689"/>
      <c r="F951" s="695">
        <f>SF!F101</f>
        <v>21.56382</v>
      </c>
      <c r="G951" s="621"/>
      <c r="H951" s="620"/>
      <c r="I951" s="695">
        <f>SF!I101</f>
        <v>0</v>
      </c>
      <c r="J951" s="695">
        <f>SF!J101</f>
        <v>0</v>
      </c>
      <c r="K951" s="511">
        <v>-0.22499999999999998</v>
      </c>
      <c r="L951" s="266"/>
    </row>
    <row r="952" spans="1:12">
      <c r="A952" s="253"/>
      <c r="B952" s="15"/>
      <c r="C952" s="15"/>
      <c r="D952" s="15"/>
      <c r="E952" s="22"/>
      <c r="F952" s="212"/>
      <c r="G952" s="213"/>
      <c r="H952" s="198"/>
      <c r="I952" s="198"/>
      <c r="J952" s="58"/>
      <c r="K952" s="208"/>
      <c r="L952" s="293"/>
    </row>
    <row r="953" spans="1:12">
      <c r="A953" s="46"/>
      <c r="B953" s="46"/>
      <c r="C953" s="46"/>
      <c r="D953" s="46"/>
      <c r="E953" s="46"/>
      <c r="F953" s="46"/>
      <c r="G953" s="46"/>
      <c r="H953" s="46"/>
      <c r="I953" s="46"/>
      <c r="J953" s="46"/>
      <c r="K953" s="87"/>
      <c r="L953" s="293"/>
    </row>
    <row r="954" spans="1:12">
      <c r="A954" s="220" t="s">
        <v>73</v>
      </c>
      <c r="B954" s="220" t="s">
        <v>74</v>
      </c>
      <c r="C954" s="200"/>
      <c r="D954" s="200"/>
      <c r="E954" s="217"/>
      <c r="F954" s="1636" t="s">
        <v>72</v>
      </c>
      <c r="G954" s="1637"/>
      <c r="H954" s="1637"/>
      <c r="I954" s="1637"/>
      <c r="J954" s="1638"/>
      <c r="K954" s="87"/>
      <c r="L954" s="293"/>
    </row>
    <row r="955" spans="1:12" ht="18">
      <c r="A955" s="221"/>
      <c r="B955" s="221"/>
      <c r="C955" s="201"/>
      <c r="D955" s="201"/>
      <c r="E955" s="219"/>
      <c r="F955" s="223" t="s">
        <v>23</v>
      </c>
      <c r="G955" s="223" t="s">
        <v>87</v>
      </c>
      <c r="H955" s="223" t="s">
        <v>212</v>
      </c>
      <c r="I955" s="223" t="s">
        <v>80</v>
      </c>
      <c r="J955" s="223" t="s">
        <v>81</v>
      </c>
      <c r="K955" s="87"/>
      <c r="L955" s="293"/>
    </row>
    <row r="956" spans="1:12">
      <c r="A956" s="222"/>
      <c r="B956" s="222"/>
      <c r="C956" s="203"/>
      <c r="D956" s="203"/>
      <c r="E956" s="218"/>
      <c r="F956" s="204" t="s">
        <v>34</v>
      </c>
      <c r="G956" s="204" t="s">
        <v>34</v>
      </c>
      <c r="H956" s="203" t="s">
        <v>34</v>
      </c>
      <c r="I956" s="204" t="s">
        <v>77</v>
      </c>
      <c r="J956" s="204" t="s">
        <v>77</v>
      </c>
      <c r="K956" s="87"/>
      <c r="L956" s="293"/>
    </row>
    <row r="957" spans="1:12">
      <c r="A957" s="202"/>
      <c r="B957" s="200"/>
      <c r="C957" s="200"/>
      <c r="D957" s="200"/>
      <c r="E957" s="217"/>
      <c r="F957" s="205"/>
      <c r="G957" s="205"/>
      <c r="H957" s="201"/>
      <c r="I957" s="205"/>
      <c r="J957" s="205"/>
      <c r="K957" s="87"/>
      <c r="L957" s="293"/>
    </row>
    <row r="958" spans="1:12">
      <c r="A958" s="205" t="str">
        <f>A927</f>
        <v>LC-33</v>
      </c>
      <c r="B958" s="201" t="str">
        <f>B927</f>
        <v>LC-21 + Seismic Sx=1,Sz=0.3,Sy=-0.3 (50% seismic)</v>
      </c>
      <c r="C958" s="201"/>
      <c r="D958" s="201"/>
      <c r="E958" s="219"/>
      <c r="F958" s="205">
        <f>SUMPRODUCT(F930:F951,$K$930:$K$951)</f>
        <v>922.70504582821866</v>
      </c>
      <c r="G958" s="219">
        <f>SUMPRODUCT(G930:G951,$K$930:$K$951)</f>
        <v>150.39639642354501</v>
      </c>
      <c r="H958" s="219">
        <f>SUMPRODUCT(H930:H951,$K$930:$K$951)</f>
        <v>31.873647026027129</v>
      </c>
      <c r="I958" s="219">
        <f>SUMPRODUCT(I930:I951,$K$930:$K$951)</f>
        <v>1120.4922558185235</v>
      </c>
      <c r="J958" s="219">
        <f>SUMPRODUCT(J930:J951,$K$930:$K$951)</f>
        <v>150.90664957508034</v>
      </c>
      <c r="K958" s="87"/>
      <c r="L958" s="293"/>
    </row>
    <row r="959" spans="1:12">
      <c r="A959" s="204"/>
      <c r="B959" s="203"/>
      <c r="C959" s="203"/>
      <c r="D959" s="203"/>
      <c r="E959" s="218"/>
      <c r="F959" s="204"/>
      <c r="G959" s="204"/>
      <c r="H959" s="203"/>
      <c r="I959" s="204"/>
      <c r="J959" s="204"/>
      <c r="K959" s="87"/>
      <c r="L959" s="293"/>
    </row>
    <row r="962" spans="1:12">
      <c r="A962" s="811" t="str">
        <f>K962</f>
        <v>LC-34</v>
      </c>
      <c r="B962" s="31" t="str">
        <f>VLOOKUP(A962,LC_DEF_2!A45:B92,2,FALSE)</f>
        <v>LC-21 + Seismic Sx=0.3,Sz=1,Sy=-0.3 (50% seismic)</v>
      </c>
      <c r="C962" s="31"/>
      <c r="D962" s="31"/>
      <c r="E962" s="32"/>
      <c r="F962" s="1599" t="s">
        <v>742</v>
      </c>
      <c r="G962" s="1635"/>
      <c r="H962" s="1635"/>
      <c r="I962" s="1635"/>
      <c r="J962" s="1600"/>
      <c r="K962" s="1580" t="s">
        <v>1171</v>
      </c>
      <c r="L962" s="293"/>
    </row>
    <row r="963" spans="1:12" ht="18">
      <c r="A963" s="25" t="s">
        <v>73</v>
      </c>
      <c r="B963" s="26" t="s">
        <v>74</v>
      </c>
      <c r="C963" s="26"/>
      <c r="D963" s="26"/>
      <c r="E963" s="27"/>
      <c r="F963" s="58" t="s">
        <v>23</v>
      </c>
      <c r="G963" s="58" t="s">
        <v>87</v>
      </c>
      <c r="H963" s="58" t="s">
        <v>212</v>
      </c>
      <c r="I963" s="58" t="s">
        <v>80</v>
      </c>
      <c r="J963" s="58" t="s">
        <v>81</v>
      </c>
      <c r="K963" s="433"/>
      <c r="L963" s="293"/>
    </row>
    <row r="964" spans="1:12">
      <c r="A964" s="25"/>
      <c r="B964" s="26"/>
      <c r="C964" s="26"/>
      <c r="D964" s="26"/>
      <c r="E964" s="27"/>
      <c r="F964" s="36" t="s">
        <v>34</v>
      </c>
      <c r="G964" s="36" t="s">
        <v>34</v>
      </c>
      <c r="H964" s="36" t="s">
        <v>34</v>
      </c>
      <c r="I964" s="36" t="s">
        <v>77</v>
      </c>
      <c r="J964" s="36" t="s">
        <v>77</v>
      </c>
      <c r="K964" s="433"/>
      <c r="L964" s="293"/>
    </row>
    <row r="965" spans="1:12">
      <c r="A965" s="25" t="s">
        <v>88</v>
      </c>
      <c r="B965" s="26" t="s">
        <v>75</v>
      </c>
      <c r="C965" s="26"/>
      <c r="D965" s="26"/>
      <c r="E965" s="27"/>
      <c r="F965" s="195">
        <f>SF!F14</f>
        <v>365.08803866482532</v>
      </c>
      <c r="G965" s="210"/>
      <c r="H965" s="34"/>
      <c r="I965" s="195">
        <f>SF!I14</f>
        <v>0</v>
      </c>
      <c r="J965" s="195">
        <f>SF!J14</f>
        <v>0</v>
      </c>
      <c r="K965" s="511">
        <v>1.35</v>
      </c>
      <c r="L965" s="266"/>
    </row>
    <row r="966" spans="1:12">
      <c r="A966" s="25" t="s">
        <v>90</v>
      </c>
      <c r="B966" s="26" t="s">
        <v>249</v>
      </c>
      <c r="C966" s="26"/>
      <c r="D966" s="26"/>
      <c r="E966" s="27"/>
      <c r="F966" s="195">
        <f>SF!F16</f>
        <v>36.639026644707663</v>
      </c>
      <c r="G966" s="210"/>
      <c r="H966" s="34"/>
      <c r="I966" s="195">
        <f>SF!I16</f>
        <v>0</v>
      </c>
      <c r="J966" s="195">
        <f>SF!J16</f>
        <v>0</v>
      </c>
      <c r="K966" s="511">
        <v>1.35</v>
      </c>
      <c r="L966" s="266"/>
    </row>
    <row r="967" spans="1:12">
      <c r="A967" s="25" t="s">
        <v>250</v>
      </c>
      <c r="B967" s="26" t="s">
        <v>970</v>
      </c>
      <c r="C967" s="26"/>
      <c r="D967" s="26"/>
      <c r="E967" s="27"/>
      <c r="F967" s="195">
        <f>SF!F23</f>
        <v>230</v>
      </c>
      <c r="G967" s="27"/>
      <c r="H967" s="34"/>
      <c r="I967" s="195">
        <f>SF!I23</f>
        <v>115</v>
      </c>
      <c r="J967" s="195">
        <f>SF!J23</f>
        <v>0</v>
      </c>
      <c r="K967" s="433">
        <v>1.35</v>
      </c>
      <c r="L967" s="11"/>
    </row>
    <row r="968" spans="1:12">
      <c r="A968" s="25" t="s">
        <v>251</v>
      </c>
      <c r="B968" s="26" t="s">
        <v>971</v>
      </c>
      <c r="C968" s="26"/>
      <c r="D968" s="26"/>
      <c r="E968" s="27"/>
      <c r="F968" s="195">
        <f>SF!F24</f>
        <v>20.660000000000004</v>
      </c>
      <c r="G968" s="27"/>
      <c r="H968" s="34"/>
      <c r="I968" s="195">
        <f>SF!I24</f>
        <v>10.330000000000002</v>
      </c>
      <c r="J968" s="195">
        <f>SF!J24</f>
        <v>0</v>
      </c>
      <c r="K968" s="433">
        <v>1.35</v>
      </c>
      <c r="L968" s="266"/>
    </row>
    <row r="969" spans="1:12">
      <c r="A969" s="25" t="s">
        <v>97</v>
      </c>
      <c r="B969" s="26" t="s">
        <v>972</v>
      </c>
      <c r="C969" s="26"/>
      <c r="D969" s="26"/>
      <c r="E969" s="27"/>
      <c r="F969" s="195">
        <f>SF!F25</f>
        <v>42</v>
      </c>
      <c r="G969" s="27"/>
      <c r="H969" s="34"/>
      <c r="I969" s="195">
        <f>SF!I25</f>
        <v>14.858499999999999</v>
      </c>
      <c r="J969" s="195">
        <f>SF!J25</f>
        <v>0</v>
      </c>
      <c r="K969" s="511">
        <v>1.75</v>
      </c>
      <c r="L969" s="11"/>
    </row>
    <row r="970" spans="1:12">
      <c r="A970" s="25" t="s">
        <v>987</v>
      </c>
      <c r="B970" s="163" t="s">
        <v>957</v>
      </c>
      <c r="C970" s="26"/>
      <c r="D970" s="26"/>
      <c r="E970" s="27"/>
      <c r="F970" s="34"/>
      <c r="G970" s="195">
        <f>SF!G41</f>
        <v>14.632999999999999</v>
      </c>
      <c r="H970" s="34"/>
      <c r="I970" s="195">
        <f>SF!I41</f>
        <v>121.16124000000001</v>
      </c>
      <c r="J970" s="34"/>
      <c r="K970" s="433">
        <v>1.5</v>
      </c>
      <c r="L970" s="266"/>
    </row>
    <row r="971" spans="1:12">
      <c r="A971" s="686" t="s">
        <v>1128</v>
      </c>
      <c r="B971" s="687"/>
      <c r="C971" s="688"/>
      <c r="D971" s="688"/>
      <c r="E971" s="689"/>
      <c r="F971" s="696">
        <f>SF!F43</f>
        <v>-103.56143333397094</v>
      </c>
      <c r="G971" s="689"/>
      <c r="H971" s="690"/>
      <c r="I971" s="690"/>
      <c r="J971" s="690"/>
      <c r="K971" s="433">
        <v>0.15</v>
      </c>
      <c r="L971" s="266"/>
    </row>
    <row r="972" spans="1:12">
      <c r="A972" s="686" t="s">
        <v>1131</v>
      </c>
      <c r="B972" s="687"/>
      <c r="C972" s="688"/>
      <c r="D972" s="688"/>
      <c r="E972" s="689"/>
      <c r="F972" s="690"/>
      <c r="G972" s="696">
        <f>SF!G47</f>
        <v>3.2856246869242693</v>
      </c>
      <c r="H972" s="696">
        <f>SF!H47</f>
        <v>3.5397182492142409</v>
      </c>
      <c r="I972" s="696">
        <f>SF!I47</f>
        <v>7.0628515103002814</v>
      </c>
      <c r="J972" s="696">
        <f>SF!J47</f>
        <v>5.3297614737052639</v>
      </c>
      <c r="K972" s="433">
        <v>1</v>
      </c>
      <c r="L972" s="266"/>
    </row>
    <row r="973" spans="1:12">
      <c r="A973" s="278" t="s">
        <v>200</v>
      </c>
      <c r="B973" s="262"/>
      <c r="C973" s="262"/>
      <c r="D973" s="262"/>
      <c r="E973" s="263"/>
      <c r="F973" s="279"/>
      <c r="G973" s="280"/>
      <c r="H973" s="264"/>
      <c r="I973" s="279"/>
      <c r="J973" s="264"/>
      <c r="K973" s="1581">
        <v>0.22499999999999998</v>
      </c>
      <c r="L973" s="266"/>
    </row>
    <row r="974" spans="1:12">
      <c r="A974" s="25" t="s">
        <v>991</v>
      </c>
      <c r="B974" s="26" t="s">
        <v>989</v>
      </c>
      <c r="C974" s="26"/>
      <c r="D974" s="26"/>
      <c r="E974" s="27"/>
      <c r="F974" s="197"/>
      <c r="G974" s="172">
        <f>SF!G52</f>
        <v>94.821839999999995</v>
      </c>
      <c r="H974" s="34"/>
      <c r="I974" s="172">
        <f>SF!I52</f>
        <v>785.12483520000001</v>
      </c>
      <c r="J974" s="89"/>
      <c r="K974" s="511">
        <v>0.22499999999999998</v>
      </c>
      <c r="L974" s="266"/>
    </row>
    <row r="975" spans="1:12">
      <c r="A975" s="25" t="s">
        <v>217</v>
      </c>
      <c r="B975" s="26" t="s">
        <v>211</v>
      </c>
      <c r="C975" s="26"/>
      <c r="D975" s="26"/>
      <c r="E975" s="27"/>
      <c r="F975" s="197"/>
      <c r="G975" s="196">
        <f>SF!G58</f>
        <v>26.798532263701709</v>
      </c>
      <c r="H975" s="199"/>
      <c r="I975" s="172">
        <f>SF!I58</f>
        <v>147.28381289471153</v>
      </c>
      <c r="J975" s="195"/>
      <c r="K975" s="433">
        <v>0.22499999999999998</v>
      </c>
      <c r="L975" s="266"/>
    </row>
    <row r="976" spans="1:12">
      <c r="A976" s="686" t="s">
        <v>1472</v>
      </c>
      <c r="B976" s="688" t="s">
        <v>1045</v>
      </c>
      <c r="C976" s="688"/>
      <c r="D976" s="688"/>
      <c r="E976" s="689"/>
      <c r="F976" s="620"/>
      <c r="G976" s="695">
        <f>SF!G61</f>
        <v>32.345729999999996</v>
      </c>
      <c r="H976" s="690"/>
      <c r="I976" s="695">
        <f>SF!I61</f>
        <v>29.111156999999999</v>
      </c>
      <c r="J976" s="269"/>
      <c r="K976" s="433">
        <v>0.22499999999999998</v>
      </c>
      <c r="L976" s="266"/>
    </row>
    <row r="977" spans="1:12">
      <c r="A977" s="686" t="s">
        <v>1139</v>
      </c>
      <c r="B977" s="688" t="s">
        <v>1140</v>
      </c>
      <c r="C977" s="688"/>
      <c r="D977" s="688"/>
      <c r="E977" s="689"/>
      <c r="F977" s="620"/>
      <c r="G977" s="695">
        <f>SF!G63</f>
        <v>19.373390077688924</v>
      </c>
      <c r="H977" s="690"/>
      <c r="I977" s="695">
        <f>SF!I63</f>
        <v>37.512792074379419</v>
      </c>
      <c r="J977" s="269"/>
      <c r="K977" s="433">
        <v>0.15</v>
      </c>
      <c r="L977" s="266"/>
    </row>
    <row r="978" spans="1:12">
      <c r="A978" s="278" t="s">
        <v>1817</v>
      </c>
      <c r="B978" s="262"/>
      <c r="C978" s="262"/>
      <c r="D978" s="262"/>
      <c r="E978" s="263"/>
      <c r="F978" s="279"/>
      <c r="G978" s="280"/>
      <c r="H978" s="264"/>
      <c r="I978" s="279"/>
      <c r="J978" s="264"/>
      <c r="K978" s="1582">
        <v>0.75</v>
      </c>
      <c r="L978" s="266"/>
    </row>
    <row r="979" spans="1:12">
      <c r="A979" s="25" t="s">
        <v>998</v>
      </c>
      <c r="B979" s="26" t="s">
        <v>989</v>
      </c>
      <c r="C979" s="26"/>
      <c r="D979" s="26"/>
      <c r="E979" s="27"/>
      <c r="F979" s="197"/>
      <c r="G979" s="211"/>
      <c r="H979" s="172">
        <f>SF!H68</f>
        <v>47.410919999999997</v>
      </c>
      <c r="I979" s="197"/>
      <c r="J979" s="172">
        <f>SF!J68</f>
        <v>433.10062959257624</v>
      </c>
      <c r="K979" s="433">
        <v>0.75</v>
      </c>
      <c r="L979" s="266"/>
    </row>
    <row r="980" spans="1:12">
      <c r="A980" s="25" t="s">
        <v>1006</v>
      </c>
      <c r="B980" s="26" t="s">
        <v>211</v>
      </c>
      <c r="C980" s="26"/>
      <c r="D980" s="26"/>
      <c r="E980" s="27"/>
      <c r="F980" s="197"/>
      <c r="G980" s="195"/>
      <c r="H980" s="172">
        <f>SF!H78</f>
        <v>26.798532263701709</v>
      </c>
      <c r="I980" s="195"/>
      <c r="J980" s="172">
        <f>SF!J78</f>
        <v>147.28381289471153</v>
      </c>
      <c r="K980" s="433">
        <v>0.75</v>
      </c>
      <c r="L980" s="266"/>
    </row>
    <row r="981" spans="1:12">
      <c r="A981" s="686" t="s">
        <v>1138</v>
      </c>
      <c r="B981" s="688" t="s">
        <v>1045</v>
      </c>
      <c r="C981" s="688"/>
      <c r="D981" s="688"/>
      <c r="E981" s="689"/>
      <c r="F981" s="620"/>
      <c r="G981" s="711"/>
      <c r="H981" s="989">
        <f>SF!H81</f>
        <v>32.345729999999996</v>
      </c>
      <c r="I981" s="696"/>
      <c r="J981" s="989">
        <f>SF!J81</f>
        <v>29.111156999999999</v>
      </c>
      <c r="K981" s="433">
        <v>0.75</v>
      </c>
      <c r="L981" s="266"/>
    </row>
    <row r="982" spans="1:12">
      <c r="A982" s="686" t="s">
        <v>1138</v>
      </c>
      <c r="B982" s="688" t="s">
        <v>1141</v>
      </c>
      <c r="C982" s="26"/>
      <c r="D982" s="26"/>
      <c r="E982" s="27"/>
      <c r="F982" s="34"/>
      <c r="G982" s="27"/>
      <c r="H982" s="989">
        <f>SF!H83</f>
        <v>19.373390077688924</v>
      </c>
      <c r="I982" s="696"/>
      <c r="J982" s="989">
        <f>SF!J83</f>
        <v>37.512792074379419</v>
      </c>
      <c r="K982" s="433">
        <v>0.75</v>
      </c>
      <c r="L982" s="266"/>
    </row>
    <row r="983" spans="1:12">
      <c r="A983" s="990" t="s">
        <v>204</v>
      </c>
      <c r="B983" s="661"/>
      <c r="C983" s="661"/>
      <c r="D983" s="661"/>
      <c r="E983" s="584"/>
      <c r="F983" s="991"/>
      <c r="G983" s="992"/>
      <c r="H983" s="370"/>
      <c r="I983" s="991"/>
      <c r="J983" s="370"/>
      <c r="K983" s="1583">
        <v>0.22499999999999998</v>
      </c>
      <c r="L983" s="266"/>
    </row>
    <row r="984" spans="1:12">
      <c r="A984" s="25" t="s">
        <v>1008</v>
      </c>
      <c r="B984" s="26" t="s">
        <v>989</v>
      </c>
      <c r="C984" s="26"/>
      <c r="D984" s="26"/>
      <c r="E984" s="27"/>
      <c r="F984" s="196">
        <f>SF!F88</f>
        <v>31.607279999999999</v>
      </c>
      <c r="G984" s="211"/>
      <c r="H984" s="34"/>
      <c r="I984" s="196">
        <f>SF!I88</f>
        <v>15.140358000000003</v>
      </c>
      <c r="J984" s="196">
        <f>SF!J88</f>
        <v>0</v>
      </c>
      <c r="K984" s="511">
        <v>-0.22499999999999998</v>
      </c>
      <c r="L984" s="266"/>
    </row>
    <row r="985" spans="1:12">
      <c r="A985" s="25" t="s">
        <v>1011</v>
      </c>
      <c r="B985" s="26" t="s">
        <v>211</v>
      </c>
      <c r="C985" s="26"/>
      <c r="D985" s="26"/>
      <c r="E985" s="27"/>
      <c r="F985" s="196">
        <f>SF!F98</f>
        <v>17.865688175801139</v>
      </c>
      <c r="G985" s="211"/>
      <c r="H985" s="197"/>
      <c r="I985" s="196">
        <f>SF!I98</f>
        <v>0</v>
      </c>
      <c r="J985" s="196">
        <f>SF!J98</f>
        <v>0</v>
      </c>
      <c r="K985" s="511">
        <v>-0.22499999999999998</v>
      </c>
      <c r="L985" s="266"/>
    </row>
    <row r="986" spans="1:12">
      <c r="A986" s="686" t="s">
        <v>1473</v>
      </c>
      <c r="B986" s="688" t="s">
        <v>1045</v>
      </c>
      <c r="C986" s="688"/>
      <c r="D986" s="688"/>
      <c r="E986" s="689"/>
      <c r="F986" s="695">
        <f>SF!F101</f>
        <v>21.56382</v>
      </c>
      <c r="G986" s="621"/>
      <c r="H986" s="620"/>
      <c r="I986" s="695">
        <f>SF!I101</f>
        <v>0</v>
      </c>
      <c r="J986" s="695">
        <f>SF!J101</f>
        <v>0</v>
      </c>
      <c r="K986" s="511">
        <v>-0.22499999999999998</v>
      </c>
      <c r="L986" s="266"/>
    </row>
    <row r="987" spans="1:12">
      <c r="A987" s="253"/>
      <c r="B987" s="15"/>
      <c r="C987" s="15"/>
      <c r="D987" s="15"/>
      <c r="E987" s="22"/>
      <c r="F987" s="212"/>
      <c r="G987" s="213"/>
      <c r="H987" s="198"/>
      <c r="I987" s="198"/>
      <c r="J987" s="58"/>
      <c r="K987" s="208"/>
      <c r="L987" s="293"/>
    </row>
    <row r="988" spans="1:12">
      <c r="A988" s="46"/>
      <c r="B988" s="46"/>
      <c r="C988" s="46"/>
      <c r="D988" s="46"/>
      <c r="E988" s="46"/>
      <c r="F988" s="46"/>
      <c r="G988" s="46"/>
      <c r="H988" s="46"/>
      <c r="I988" s="46"/>
      <c r="J988" s="46"/>
      <c r="K988" s="87"/>
      <c r="L988" s="293"/>
    </row>
    <row r="989" spans="1:12">
      <c r="A989" s="220" t="s">
        <v>73</v>
      </c>
      <c r="B989" s="220" t="s">
        <v>74</v>
      </c>
      <c r="C989" s="200"/>
      <c r="D989" s="200"/>
      <c r="E989" s="217"/>
      <c r="F989" s="1636" t="s">
        <v>72</v>
      </c>
      <c r="G989" s="1637"/>
      <c r="H989" s="1637"/>
      <c r="I989" s="1637"/>
      <c r="J989" s="1638"/>
      <c r="K989" s="87"/>
      <c r="L989" s="293"/>
    </row>
    <row r="990" spans="1:12" ht="18">
      <c r="A990" s="221"/>
      <c r="B990" s="221"/>
      <c r="C990" s="201"/>
      <c r="D990" s="201"/>
      <c r="E990" s="219"/>
      <c r="F990" s="223" t="s">
        <v>23</v>
      </c>
      <c r="G990" s="223" t="s">
        <v>87</v>
      </c>
      <c r="H990" s="223" t="s">
        <v>212</v>
      </c>
      <c r="I990" s="223" t="s">
        <v>80</v>
      </c>
      <c r="J990" s="223" t="s">
        <v>81</v>
      </c>
      <c r="K990" s="87"/>
      <c r="L990" s="293"/>
    </row>
    <row r="991" spans="1:12">
      <c r="A991" s="222"/>
      <c r="B991" s="222"/>
      <c r="C991" s="203"/>
      <c r="D991" s="203"/>
      <c r="E991" s="218"/>
      <c r="F991" s="204" t="s">
        <v>34</v>
      </c>
      <c r="G991" s="204" t="s">
        <v>34</v>
      </c>
      <c r="H991" s="203" t="s">
        <v>34</v>
      </c>
      <c r="I991" s="204" t="s">
        <v>77</v>
      </c>
      <c r="J991" s="204" t="s">
        <v>77</v>
      </c>
      <c r="K991" s="87"/>
      <c r="L991" s="293"/>
    </row>
    <row r="992" spans="1:12">
      <c r="A992" s="202"/>
      <c r="B992" s="200"/>
      <c r="C992" s="200"/>
      <c r="D992" s="200"/>
      <c r="E992" s="217"/>
      <c r="F992" s="205"/>
      <c r="G992" s="205"/>
      <c r="H992" s="201"/>
      <c r="I992" s="205"/>
      <c r="J992" s="205"/>
      <c r="K992" s="87"/>
      <c r="L992" s="293"/>
    </row>
    <row r="993" spans="1:12">
      <c r="A993" s="205" t="str">
        <f>A962</f>
        <v>LC-34</v>
      </c>
      <c r="B993" s="201" t="str">
        <f>B962</f>
        <v>LC-21 + Seismic Sx=0.3,Sz=1,Sy=-0.3 (50% seismic)</v>
      </c>
      <c r="C993" s="201"/>
      <c r="D993" s="201"/>
      <c r="E993" s="219"/>
      <c r="F993" s="205">
        <f>SUMPRODUCT(F965:F986,$K$965:$K$986)</f>
        <v>922.70504582821866</v>
      </c>
      <c r="G993" s="219">
        <f>SUMPRODUCT(G965:G986,$K$965:$K$986)</f>
        <v>62.783506207910484</v>
      </c>
      <c r="H993" s="219">
        <f>SUMPRODUCT(H965:H986,$K$965:$K$986)</f>
        <v>97.986147505257208</v>
      </c>
      <c r="I993" s="219">
        <f>SUMPRODUCT(I965:I986,$K$965:$K$986)</f>
        <v>602.56488091776737</v>
      </c>
      <c r="J993" s="219">
        <f>SUMPRODUCT(J965:J986,$K$965:$K$986)</f>
        <v>490.58605514495565</v>
      </c>
      <c r="K993" s="87"/>
      <c r="L993" s="293"/>
    </row>
    <row r="994" spans="1:12">
      <c r="A994" s="204"/>
      <c r="B994" s="203"/>
      <c r="C994" s="203"/>
      <c r="D994" s="203"/>
      <c r="E994" s="218"/>
      <c r="F994" s="204"/>
      <c r="G994" s="204"/>
      <c r="H994" s="203"/>
      <c r="I994" s="204"/>
      <c r="J994" s="204"/>
      <c r="K994" s="87"/>
      <c r="L994" s="293"/>
    </row>
    <row r="997" spans="1:12">
      <c r="A997" s="811" t="str">
        <f>K997</f>
        <v>LC-35</v>
      </c>
      <c r="B997" s="31" t="str">
        <f>VLOOKUP(A997,LC_DEF_2!A45:B92,2,FALSE)</f>
        <v>LC-21 + Seismic Sx=1,Sz=0.3,Sy=0.3 (50% seismic)</v>
      </c>
      <c r="C997" s="31"/>
      <c r="D997" s="31"/>
      <c r="E997" s="32"/>
      <c r="F997" s="1599" t="s">
        <v>742</v>
      </c>
      <c r="G997" s="1635"/>
      <c r="H997" s="1635"/>
      <c r="I997" s="1635"/>
      <c r="J997" s="1600"/>
      <c r="K997" s="1580" t="s">
        <v>1172</v>
      </c>
      <c r="L997" s="293"/>
    </row>
    <row r="998" spans="1:12" ht="18">
      <c r="A998" s="25" t="s">
        <v>73</v>
      </c>
      <c r="B998" s="26" t="s">
        <v>74</v>
      </c>
      <c r="C998" s="26"/>
      <c r="D998" s="26"/>
      <c r="E998" s="27"/>
      <c r="F998" s="58" t="s">
        <v>23</v>
      </c>
      <c r="G998" s="58" t="s">
        <v>87</v>
      </c>
      <c r="H998" s="58" t="s">
        <v>212</v>
      </c>
      <c r="I998" s="58" t="s">
        <v>80</v>
      </c>
      <c r="J998" s="58" t="s">
        <v>81</v>
      </c>
      <c r="K998" s="433"/>
      <c r="L998" s="293"/>
    </row>
    <row r="999" spans="1:12">
      <c r="A999" s="25"/>
      <c r="B999" s="26"/>
      <c r="C999" s="26"/>
      <c r="D999" s="26"/>
      <c r="E999" s="27"/>
      <c r="F999" s="36" t="s">
        <v>34</v>
      </c>
      <c r="G999" s="36" t="s">
        <v>34</v>
      </c>
      <c r="H999" s="36" t="s">
        <v>34</v>
      </c>
      <c r="I999" s="36" t="s">
        <v>77</v>
      </c>
      <c r="J999" s="36" t="s">
        <v>77</v>
      </c>
      <c r="K999" s="433"/>
      <c r="L999" s="293"/>
    </row>
    <row r="1000" spans="1:12">
      <c r="A1000" s="25" t="s">
        <v>88</v>
      </c>
      <c r="B1000" s="26" t="s">
        <v>75</v>
      </c>
      <c r="C1000" s="26"/>
      <c r="D1000" s="26"/>
      <c r="E1000" s="27"/>
      <c r="F1000" s="195">
        <f>SF!F14</f>
        <v>365.08803866482532</v>
      </c>
      <c r="G1000" s="210"/>
      <c r="H1000" s="34"/>
      <c r="I1000" s="195">
        <f>SF!I14</f>
        <v>0</v>
      </c>
      <c r="J1000" s="195">
        <f>SF!J14</f>
        <v>0</v>
      </c>
      <c r="K1000" s="511">
        <v>1.35</v>
      </c>
      <c r="L1000" s="266"/>
    </row>
    <row r="1001" spans="1:12">
      <c r="A1001" s="25" t="s">
        <v>90</v>
      </c>
      <c r="B1001" s="26" t="s">
        <v>249</v>
      </c>
      <c r="C1001" s="26"/>
      <c r="D1001" s="26"/>
      <c r="E1001" s="27"/>
      <c r="F1001" s="195">
        <f>SF!F16</f>
        <v>36.639026644707663</v>
      </c>
      <c r="G1001" s="210"/>
      <c r="H1001" s="34"/>
      <c r="I1001" s="195">
        <f>SF!I16</f>
        <v>0</v>
      </c>
      <c r="J1001" s="195">
        <f>SF!J16</f>
        <v>0</v>
      </c>
      <c r="K1001" s="511">
        <v>1.35</v>
      </c>
      <c r="L1001" s="266"/>
    </row>
    <row r="1002" spans="1:12">
      <c r="A1002" s="25" t="s">
        <v>250</v>
      </c>
      <c r="B1002" s="26" t="s">
        <v>970</v>
      </c>
      <c r="C1002" s="26"/>
      <c r="D1002" s="26"/>
      <c r="E1002" s="27"/>
      <c r="F1002" s="195">
        <f>SF!F23</f>
        <v>230</v>
      </c>
      <c r="G1002" s="27"/>
      <c r="H1002" s="34"/>
      <c r="I1002" s="195">
        <f>SF!I23</f>
        <v>115</v>
      </c>
      <c r="J1002" s="195">
        <f>SF!J23</f>
        <v>0</v>
      </c>
      <c r="K1002" s="433">
        <v>1.35</v>
      </c>
      <c r="L1002" s="11"/>
    </row>
    <row r="1003" spans="1:12">
      <c r="A1003" s="25" t="s">
        <v>251</v>
      </c>
      <c r="B1003" s="26" t="s">
        <v>971</v>
      </c>
      <c r="C1003" s="26"/>
      <c r="D1003" s="26"/>
      <c r="E1003" s="27"/>
      <c r="F1003" s="195">
        <f>SF!F24</f>
        <v>20.660000000000004</v>
      </c>
      <c r="G1003" s="27"/>
      <c r="H1003" s="34"/>
      <c r="I1003" s="195">
        <f>SF!I24</f>
        <v>10.330000000000002</v>
      </c>
      <c r="J1003" s="195">
        <f>SF!J24</f>
        <v>0</v>
      </c>
      <c r="K1003" s="433">
        <v>1.35</v>
      </c>
      <c r="L1003" s="266"/>
    </row>
    <row r="1004" spans="1:12">
      <c r="A1004" s="25" t="s">
        <v>97</v>
      </c>
      <c r="B1004" s="26" t="s">
        <v>972</v>
      </c>
      <c r="C1004" s="26"/>
      <c r="D1004" s="26"/>
      <c r="E1004" s="27"/>
      <c r="F1004" s="195">
        <f>SF!F25</f>
        <v>42</v>
      </c>
      <c r="G1004" s="27"/>
      <c r="H1004" s="34"/>
      <c r="I1004" s="195">
        <f>SF!I25</f>
        <v>14.858499999999999</v>
      </c>
      <c r="J1004" s="195">
        <f>SF!J25</f>
        <v>0</v>
      </c>
      <c r="K1004" s="511">
        <v>1.75</v>
      </c>
      <c r="L1004" s="11"/>
    </row>
    <row r="1005" spans="1:12">
      <c r="A1005" s="25" t="s">
        <v>987</v>
      </c>
      <c r="B1005" s="163" t="s">
        <v>957</v>
      </c>
      <c r="C1005" s="26"/>
      <c r="D1005" s="26"/>
      <c r="E1005" s="27"/>
      <c r="F1005" s="34"/>
      <c r="G1005" s="195">
        <f>SF!G41</f>
        <v>14.632999999999999</v>
      </c>
      <c r="H1005" s="34"/>
      <c r="I1005" s="195">
        <f>SF!I41</f>
        <v>121.16124000000001</v>
      </c>
      <c r="J1005" s="34"/>
      <c r="K1005" s="433">
        <v>1.5</v>
      </c>
      <c r="L1005" s="266"/>
    </row>
    <row r="1006" spans="1:12">
      <c r="A1006" s="686" t="s">
        <v>1128</v>
      </c>
      <c r="B1006" s="687"/>
      <c r="C1006" s="688"/>
      <c r="D1006" s="688"/>
      <c r="E1006" s="689"/>
      <c r="F1006" s="696">
        <f>SF!F43</f>
        <v>-103.56143333397094</v>
      </c>
      <c r="G1006" s="689"/>
      <c r="H1006" s="690"/>
      <c r="I1006" s="690"/>
      <c r="J1006" s="690"/>
      <c r="K1006" s="433">
        <v>0.15</v>
      </c>
      <c r="L1006" s="266"/>
    </row>
    <row r="1007" spans="1:12">
      <c r="A1007" s="686" t="s">
        <v>1131</v>
      </c>
      <c r="B1007" s="687"/>
      <c r="C1007" s="688"/>
      <c r="D1007" s="688"/>
      <c r="E1007" s="689"/>
      <c r="F1007" s="690"/>
      <c r="G1007" s="696">
        <f>SF!G47</f>
        <v>3.2856246869242693</v>
      </c>
      <c r="H1007" s="696">
        <f>SF!H47</f>
        <v>3.5397182492142409</v>
      </c>
      <c r="I1007" s="696">
        <f>SF!I47</f>
        <v>7.0628515103002814</v>
      </c>
      <c r="J1007" s="696">
        <f>SF!J47</f>
        <v>5.3297614737052639</v>
      </c>
      <c r="K1007" s="433">
        <v>1</v>
      </c>
      <c r="L1007" s="266"/>
    </row>
    <row r="1008" spans="1:12">
      <c r="A1008" s="278" t="s">
        <v>200</v>
      </c>
      <c r="B1008" s="262"/>
      <c r="C1008" s="262"/>
      <c r="D1008" s="262"/>
      <c r="E1008" s="263"/>
      <c r="F1008" s="279"/>
      <c r="G1008" s="280"/>
      <c r="H1008" s="264"/>
      <c r="I1008" s="279"/>
      <c r="J1008" s="264"/>
      <c r="K1008" s="1581">
        <v>0.75</v>
      </c>
      <c r="L1008" s="266"/>
    </row>
    <row r="1009" spans="1:12">
      <c r="A1009" s="25" t="s">
        <v>991</v>
      </c>
      <c r="B1009" s="26" t="s">
        <v>989</v>
      </c>
      <c r="C1009" s="26"/>
      <c r="D1009" s="26"/>
      <c r="E1009" s="27"/>
      <c r="F1009" s="197"/>
      <c r="G1009" s="172">
        <f>SF!G52</f>
        <v>94.821839999999995</v>
      </c>
      <c r="H1009" s="34"/>
      <c r="I1009" s="172">
        <f>SF!I52</f>
        <v>785.12483520000001</v>
      </c>
      <c r="J1009" s="89"/>
      <c r="K1009" s="511">
        <v>0.75</v>
      </c>
      <c r="L1009" s="266"/>
    </row>
    <row r="1010" spans="1:12">
      <c r="A1010" s="25" t="s">
        <v>217</v>
      </c>
      <c r="B1010" s="26" t="s">
        <v>211</v>
      </c>
      <c r="C1010" s="26"/>
      <c r="D1010" s="26"/>
      <c r="E1010" s="27"/>
      <c r="F1010" s="197"/>
      <c r="G1010" s="196">
        <f>SF!G58</f>
        <v>26.798532263701709</v>
      </c>
      <c r="H1010" s="199"/>
      <c r="I1010" s="172">
        <f>SF!I58</f>
        <v>147.28381289471153</v>
      </c>
      <c r="J1010" s="195"/>
      <c r="K1010" s="433">
        <v>0.75</v>
      </c>
      <c r="L1010" s="266"/>
    </row>
    <row r="1011" spans="1:12">
      <c r="A1011" s="686" t="s">
        <v>1472</v>
      </c>
      <c r="B1011" s="688" t="s">
        <v>1045</v>
      </c>
      <c r="C1011" s="688"/>
      <c r="D1011" s="688"/>
      <c r="E1011" s="689"/>
      <c r="F1011" s="620"/>
      <c r="G1011" s="695">
        <f>SF!G61</f>
        <v>32.345729999999996</v>
      </c>
      <c r="H1011" s="690"/>
      <c r="I1011" s="695">
        <f>SF!I61</f>
        <v>29.111156999999999</v>
      </c>
      <c r="J1011" s="269"/>
      <c r="K1011" s="433">
        <v>0.75</v>
      </c>
      <c r="L1011" s="266"/>
    </row>
    <row r="1012" spans="1:12">
      <c r="A1012" s="686" t="s">
        <v>1139</v>
      </c>
      <c r="B1012" s="688" t="s">
        <v>1140</v>
      </c>
      <c r="C1012" s="688"/>
      <c r="D1012" s="688"/>
      <c r="E1012" s="689"/>
      <c r="F1012" s="620"/>
      <c r="G1012" s="695">
        <f>SF!G63</f>
        <v>19.373390077688924</v>
      </c>
      <c r="H1012" s="690"/>
      <c r="I1012" s="695">
        <f>SF!I63</f>
        <v>37.512792074379419</v>
      </c>
      <c r="J1012" s="269"/>
      <c r="K1012" s="433">
        <v>0.5</v>
      </c>
      <c r="L1012" s="266"/>
    </row>
    <row r="1013" spans="1:12">
      <c r="A1013" s="278" t="s">
        <v>1817</v>
      </c>
      <c r="B1013" s="262"/>
      <c r="C1013" s="262"/>
      <c r="D1013" s="262"/>
      <c r="E1013" s="263"/>
      <c r="F1013" s="279"/>
      <c r="G1013" s="280"/>
      <c r="H1013" s="264"/>
      <c r="I1013" s="279"/>
      <c r="J1013" s="264"/>
      <c r="K1013" s="1582">
        <v>0.22499999999999998</v>
      </c>
      <c r="L1013" s="266"/>
    </row>
    <row r="1014" spans="1:12">
      <c r="A1014" s="25" t="s">
        <v>998</v>
      </c>
      <c r="B1014" s="26" t="s">
        <v>989</v>
      </c>
      <c r="C1014" s="26"/>
      <c r="D1014" s="26"/>
      <c r="E1014" s="27"/>
      <c r="F1014" s="197"/>
      <c r="G1014" s="211"/>
      <c r="H1014" s="172">
        <f>SF!H68</f>
        <v>47.410919999999997</v>
      </c>
      <c r="I1014" s="197"/>
      <c r="J1014" s="172">
        <f>SF!J68</f>
        <v>433.10062959257624</v>
      </c>
      <c r="K1014" s="433">
        <v>0.22499999999999998</v>
      </c>
      <c r="L1014" s="266"/>
    </row>
    <row r="1015" spans="1:12">
      <c r="A1015" s="25" t="s">
        <v>1006</v>
      </c>
      <c r="B1015" s="26" t="s">
        <v>211</v>
      </c>
      <c r="C1015" s="26"/>
      <c r="D1015" s="26"/>
      <c r="E1015" s="27"/>
      <c r="F1015" s="197"/>
      <c r="G1015" s="195"/>
      <c r="H1015" s="172">
        <f>SF!H78</f>
        <v>26.798532263701709</v>
      </c>
      <c r="I1015" s="195"/>
      <c r="J1015" s="172">
        <f>SF!J78</f>
        <v>147.28381289471153</v>
      </c>
      <c r="K1015" s="433">
        <v>0.22499999999999998</v>
      </c>
      <c r="L1015" s="266"/>
    </row>
    <row r="1016" spans="1:12">
      <c r="A1016" s="686" t="s">
        <v>1138</v>
      </c>
      <c r="B1016" s="688" t="s">
        <v>1045</v>
      </c>
      <c r="C1016" s="688"/>
      <c r="D1016" s="688"/>
      <c r="E1016" s="689"/>
      <c r="F1016" s="620"/>
      <c r="G1016" s="711"/>
      <c r="H1016" s="989">
        <f>SF!H81</f>
        <v>32.345729999999996</v>
      </c>
      <c r="I1016" s="696"/>
      <c r="J1016" s="989">
        <f>SF!J81</f>
        <v>29.111156999999999</v>
      </c>
      <c r="K1016" s="433">
        <v>0.22499999999999998</v>
      </c>
      <c r="L1016" s="266"/>
    </row>
    <row r="1017" spans="1:12">
      <c r="A1017" s="686" t="s">
        <v>1138</v>
      </c>
      <c r="B1017" s="688" t="s">
        <v>1141</v>
      </c>
      <c r="C1017" s="26"/>
      <c r="D1017" s="26"/>
      <c r="E1017" s="27"/>
      <c r="F1017" s="34"/>
      <c r="G1017" s="27"/>
      <c r="H1017" s="989">
        <f>SF!H83</f>
        <v>19.373390077688924</v>
      </c>
      <c r="I1017" s="696"/>
      <c r="J1017" s="989">
        <f>SF!J83</f>
        <v>37.512792074379419</v>
      </c>
      <c r="K1017" s="433">
        <v>0.22499999999999998</v>
      </c>
      <c r="L1017" s="266"/>
    </row>
    <row r="1018" spans="1:12">
      <c r="A1018" s="990" t="s">
        <v>204</v>
      </c>
      <c r="B1018" s="661"/>
      <c r="C1018" s="661"/>
      <c r="D1018" s="661"/>
      <c r="E1018" s="584"/>
      <c r="F1018" s="991"/>
      <c r="G1018" s="992"/>
      <c r="H1018" s="370"/>
      <c r="I1018" s="991"/>
      <c r="J1018" s="370"/>
      <c r="K1018" s="1583">
        <v>0.22499999999999998</v>
      </c>
      <c r="L1018" s="266"/>
    </row>
    <row r="1019" spans="1:12">
      <c r="A1019" s="25" t="s">
        <v>1008</v>
      </c>
      <c r="B1019" s="26" t="s">
        <v>989</v>
      </c>
      <c r="C1019" s="26"/>
      <c r="D1019" s="26"/>
      <c r="E1019" s="27"/>
      <c r="F1019" s="196">
        <f>SF!F88</f>
        <v>31.607279999999999</v>
      </c>
      <c r="G1019" s="211"/>
      <c r="H1019" s="34"/>
      <c r="I1019" s="196">
        <f>SF!I88</f>
        <v>15.140358000000003</v>
      </c>
      <c r="J1019" s="196">
        <f>SF!J88</f>
        <v>0</v>
      </c>
      <c r="K1019" s="511">
        <v>0.22499999999999998</v>
      </c>
      <c r="L1019" s="266"/>
    </row>
    <row r="1020" spans="1:12">
      <c r="A1020" s="25" t="s">
        <v>1011</v>
      </c>
      <c r="B1020" s="26" t="s">
        <v>211</v>
      </c>
      <c r="C1020" s="26"/>
      <c r="D1020" s="26"/>
      <c r="E1020" s="27"/>
      <c r="F1020" s="196">
        <f>SF!F98</f>
        <v>17.865688175801139</v>
      </c>
      <c r="G1020" s="211"/>
      <c r="H1020" s="197"/>
      <c r="I1020" s="196">
        <f>SF!I98</f>
        <v>0</v>
      </c>
      <c r="J1020" s="196">
        <f>SF!J98</f>
        <v>0</v>
      </c>
      <c r="K1020" s="511">
        <v>0.22499999999999998</v>
      </c>
      <c r="L1020" s="266"/>
    </row>
    <row r="1021" spans="1:12">
      <c r="A1021" s="686" t="s">
        <v>1473</v>
      </c>
      <c r="B1021" s="688" t="s">
        <v>1045</v>
      </c>
      <c r="C1021" s="688"/>
      <c r="D1021" s="688"/>
      <c r="E1021" s="689"/>
      <c r="F1021" s="695">
        <f>SF!F101</f>
        <v>21.56382</v>
      </c>
      <c r="G1021" s="621"/>
      <c r="H1021" s="620"/>
      <c r="I1021" s="695">
        <f>SF!I101</f>
        <v>0</v>
      </c>
      <c r="J1021" s="695">
        <f>SF!J101</f>
        <v>0</v>
      </c>
      <c r="K1021" s="511">
        <v>0.22499999999999998</v>
      </c>
      <c r="L1021" s="266"/>
    </row>
    <row r="1022" spans="1:12">
      <c r="A1022" s="253"/>
      <c r="B1022" s="15"/>
      <c r="C1022" s="15"/>
      <c r="D1022" s="15"/>
      <c r="E1022" s="22"/>
      <c r="F1022" s="212"/>
      <c r="G1022" s="213"/>
      <c r="H1022" s="198"/>
      <c r="I1022" s="198"/>
      <c r="J1022" s="58"/>
      <c r="K1022" s="208"/>
      <c r="L1022" s="293"/>
    </row>
    <row r="1023" spans="1:12">
      <c r="A1023" s="46"/>
      <c r="B1023" s="46"/>
      <c r="C1023" s="46"/>
      <c r="D1023" s="46"/>
      <c r="E1023" s="46"/>
      <c r="F1023" s="46"/>
      <c r="G1023" s="46"/>
      <c r="H1023" s="46"/>
      <c r="I1023" s="46"/>
      <c r="J1023" s="46"/>
      <c r="K1023" s="87"/>
      <c r="L1023" s="293"/>
    </row>
    <row r="1024" spans="1:12">
      <c r="A1024" s="220" t="s">
        <v>73</v>
      </c>
      <c r="B1024" s="220" t="s">
        <v>74</v>
      </c>
      <c r="C1024" s="200"/>
      <c r="D1024" s="200"/>
      <c r="E1024" s="217"/>
      <c r="F1024" s="1636" t="s">
        <v>72</v>
      </c>
      <c r="G1024" s="1637"/>
      <c r="H1024" s="1637"/>
      <c r="I1024" s="1637"/>
      <c r="J1024" s="1638"/>
      <c r="K1024" s="87"/>
      <c r="L1024" s="293"/>
    </row>
    <row r="1025" spans="1:12" ht="18">
      <c r="A1025" s="221"/>
      <c r="B1025" s="221"/>
      <c r="C1025" s="201"/>
      <c r="D1025" s="201"/>
      <c r="E1025" s="219"/>
      <c r="F1025" s="223" t="s">
        <v>23</v>
      </c>
      <c r="G1025" s="223" t="s">
        <v>87</v>
      </c>
      <c r="H1025" s="223" t="s">
        <v>212</v>
      </c>
      <c r="I1025" s="223" t="s">
        <v>80</v>
      </c>
      <c r="J1025" s="223" t="s">
        <v>81</v>
      </c>
      <c r="K1025" s="87"/>
      <c r="L1025" s="293"/>
    </row>
    <row r="1026" spans="1:12">
      <c r="A1026" s="222"/>
      <c r="B1026" s="222"/>
      <c r="C1026" s="203"/>
      <c r="D1026" s="203"/>
      <c r="E1026" s="218"/>
      <c r="F1026" s="204" t="s">
        <v>34</v>
      </c>
      <c r="G1026" s="204" t="s">
        <v>34</v>
      </c>
      <c r="H1026" s="203" t="s">
        <v>34</v>
      </c>
      <c r="I1026" s="204" t="s">
        <v>77</v>
      </c>
      <c r="J1026" s="204" t="s">
        <v>77</v>
      </c>
      <c r="K1026" s="87"/>
      <c r="L1026" s="293"/>
    </row>
    <row r="1027" spans="1:12">
      <c r="A1027" s="202"/>
      <c r="B1027" s="200"/>
      <c r="C1027" s="200"/>
      <c r="D1027" s="200"/>
      <c r="E1027" s="217"/>
      <c r="F1027" s="205"/>
      <c r="G1027" s="205"/>
      <c r="H1027" s="201"/>
      <c r="I1027" s="205"/>
      <c r="J1027" s="205"/>
      <c r="K1027" s="87"/>
      <c r="L1027" s="293"/>
    </row>
    <row r="1028" spans="1:12">
      <c r="A1028" s="205" t="str">
        <f>A997</f>
        <v>LC-35</v>
      </c>
      <c r="B1028" s="201" t="str">
        <f>B997</f>
        <v>LC-21 + Seismic Sx=1,Sz=0.3,Sy=0.3 (50% seismic)</v>
      </c>
      <c r="C1028" s="201"/>
      <c r="D1028" s="201"/>
      <c r="E1028" s="219"/>
      <c r="F1028" s="205">
        <f>SUMPRODUCT(F1000:F1021,$K$1000:$K$1021)</f>
        <v>954.67160050732912</v>
      </c>
      <c r="G1028" s="219">
        <f>SUMPRODUCT(G1000:G1021,$K$1000:$K$1021)</f>
        <v>150.39639642354501</v>
      </c>
      <c r="H1028" s="219">
        <f>SUMPRODUCT(H1000:H1021,$K$1000:$K$1021)</f>
        <v>31.873647026027129</v>
      </c>
      <c r="I1028" s="219">
        <f>SUMPRODUCT(I1000:I1021,$K$1000:$K$1021)</f>
        <v>1127.3054169185234</v>
      </c>
      <c r="J1028" s="219">
        <f>SUMPRODUCT(J1000:J1021,$K$1000:$K$1021)</f>
        <v>150.90664957508034</v>
      </c>
      <c r="K1028" s="87"/>
      <c r="L1028" s="293"/>
    </row>
    <row r="1029" spans="1:12">
      <c r="A1029" s="204"/>
      <c r="B1029" s="203"/>
      <c r="C1029" s="203"/>
      <c r="D1029" s="203"/>
      <c r="E1029" s="218"/>
      <c r="F1029" s="204"/>
      <c r="G1029" s="204"/>
      <c r="H1029" s="203"/>
      <c r="I1029" s="204"/>
      <c r="J1029" s="204"/>
      <c r="K1029" s="87"/>
      <c r="L1029" s="293"/>
    </row>
    <row r="1032" spans="1:12">
      <c r="A1032" s="811" t="str">
        <f>K1032</f>
        <v>LC-36</v>
      </c>
      <c r="B1032" s="31" t="str">
        <f>VLOOKUP(A1032,LC_DEF_2!A45:B92,2,FALSE)</f>
        <v>LC-21 + Seismic Sx=0.3,Sz=1,Sy=0.3 (50% seismic)</v>
      </c>
      <c r="C1032" s="31"/>
      <c r="D1032" s="31"/>
      <c r="E1032" s="32"/>
      <c r="F1032" s="1599" t="s">
        <v>742</v>
      </c>
      <c r="G1032" s="1635"/>
      <c r="H1032" s="1635"/>
      <c r="I1032" s="1635"/>
      <c r="J1032" s="1600"/>
      <c r="K1032" s="1580" t="s">
        <v>1173</v>
      </c>
      <c r="L1032" s="293"/>
    </row>
    <row r="1033" spans="1:12" ht="18">
      <c r="A1033" s="25" t="s">
        <v>73</v>
      </c>
      <c r="B1033" s="26" t="s">
        <v>74</v>
      </c>
      <c r="C1033" s="26"/>
      <c r="D1033" s="26"/>
      <c r="E1033" s="27"/>
      <c r="F1033" s="58" t="s">
        <v>23</v>
      </c>
      <c r="G1033" s="58" t="s">
        <v>87</v>
      </c>
      <c r="H1033" s="58" t="s">
        <v>212</v>
      </c>
      <c r="I1033" s="58" t="s">
        <v>80</v>
      </c>
      <c r="J1033" s="58" t="s">
        <v>81</v>
      </c>
      <c r="K1033" s="433"/>
      <c r="L1033" s="293"/>
    </row>
    <row r="1034" spans="1:12">
      <c r="A1034" s="25"/>
      <c r="B1034" s="26"/>
      <c r="C1034" s="26"/>
      <c r="D1034" s="26"/>
      <c r="E1034" s="27"/>
      <c r="F1034" s="36" t="s">
        <v>34</v>
      </c>
      <c r="G1034" s="36" t="s">
        <v>34</v>
      </c>
      <c r="H1034" s="36" t="s">
        <v>34</v>
      </c>
      <c r="I1034" s="36" t="s">
        <v>77</v>
      </c>
      <c r="J1034" s="36" t="s">
        <v>77</v>
      </c>
      <c r="K1034" s="433"/>
      <c r="L1034" s="293"/>
    </row>
    <row r="1035" spans="1:12">
      <c r="A1035" s="25" t="s">
        <v>88</v>
      </c>
      <c r="B1035" s="26" t="s">
        <v>75</v>
      </c>
      <c r="C1035" s="26"/>
      <c r="D1035" s="26"/>
      <c r="E1035" s="27"/>
      <c r="F1035" s="195">
        <f>SF!F14</f>
        <v>365.08803866482532</v>
      </c>
      <c r="G1035" s="210"/>
      <c r="H1035" s="34"/>
      <c r="I1035" s="195">
        <f>SF!I14</f>
        <v>0</v>
      </c>
      <c r="J1035" s="195">
        <f>SF!J14</f>
        <v>0</v>
      </c>
      <c r="K1035" s="511">
        <v>1.35</v>
      </c>
      <c r="L1035" s="266"/>
    </row>
    <row r="1036" spans="1:12">
      <c r="A1036" s="25" t="s">
        <v>90</v>
      </c>
      <c r="B1036" s="26" t="s">
        <v>249</v>
      </c>
      <c r="C1036" s="26"/>
      <c r="D1036" s="26"/>
      <c r="E1036" s="27"/>
      <c r="F1036" s="195">
        <f>SF!F16</f>
        <v>36.639026644707663</v>
      </c>
      <c r="G1036" s="210"/>
      <c r="H1036" s="34"/>
      <c r="I1036" s="195">
        <f>SF!I16</f>
        <v>0</v>
      </c>
      <c r="J1036" s="195">
        <f>SF!J16</f>
        <v>0</v>
      </c>
      <c r="K1036" s="511">
        <v>1.35</v>
      </c>
      <c r="L1036" s="266"/>
    </row>
    <row r="1037" spans="1:12">
      <c r="A1037" s="25" t="s">
        <v>250</v>
      </c>
      <c r="B1037" s="26" t="s">
        <v>970</v>
      </c>
      <c r="C1037" s="26"/>
      <c r="D1037" s="26"/>
      <c r="E1037" s="27"/>
      <c r="F1037" s="195">
        <f>SF!F23</f>
        <v>230</v>
      </c>
      <c r="G1037" s="27"/>
      <c r="H1037" s="34"/>
      <c r="I1037" s="195">
        <f>SF!I23</f>
        <v>115</v>
      </c>
      <c r="J1037" s="195">
        <f>SF!J23</f>
        <v>0</v>
      </c>
      <c r="K1037" s="433">
        <v>1.35</v>
      </c>
      <c r="L1037" s="11"/>
    </row>
    <row r="1038" spans="1:12">
      <c r="A1038" s="25" t="s">
        <v>251</v>
      </c>
      <c r="B1038" s="26" t="s">
        <v>971</v>
      </c>
      <c r="C1038" s="26"/>
      <c r="D1038" s="26"/>
      <c r="E1038" s="27"/>
      <c r="F1038" s="195">
        <f>SF!F24</f>
        <v>20.660000000000004</v>
      </c>
      <c r="G1038" s="27"/>
      <c r="H1038" s="34"/>
      <c r="I1038" s="195">
        <f>SF!I24</f>
        <v>10.330000000000002</v>
      </c>
      <c r="J1038" s="195">
        <f>SF!J24</f>
        <v>0</v>
      </c>
      <c r="K1038" s="433">
        <v>1.35</v>
      </c>
      <c r="L1038" s="266"/>
    </row>
    <row r="1039" spans="1:12">
      <c r="A1039" s="25" t="s">
        <v>97</v>
      </c>
      <c r="B1039" s="26" t="s">
        <v>972</v>
      </c>
      <c r="C1039" s="26"/>
      <c r="D1039" s="26"/>
      <c r="E1039" s="27"/>
      <c r="F1039" s="195">
        <f>SF!F25</f>
        <v>42</v>
      </c>
      <c r="G1039" s="27"/>
      <c r="H1039" s="34"/>
      <c r="I1039" s="195">
        <f>SF!I25</f>
        <v>14.858499999999999</v>
      </c>
      <c r="J1039" s="195">
        <f>SF!J25</f>
        <v>0</v>
      </c>
      <c r="K1039" s="511">
        <v>1.75</v>
      </c>
      <c r="L1039" s="11"/>
    </row>
    <row r="1040" spans="1:12">
      <c r="A1040" s="25" t="s">
        <v>987</v>
      </c>
      <c r="B1040" s="163" t="s">
        <v>957</v>
      </c>
      <c r="C1040" s="26"/>
      <c r="D1040" s="26"/>
      <c r="E1040" s="27"/>
      <c r="F1040" s="34"/>
      <c r="G1040" s="195">
        <f>SF!G41</f>
        <v>14.632999999999999</v>
      </c>
      <c r="H1040" s="34"/>
      <c r="I1040" s="195">
        <f>SF!I41</f>
        <v>121.16124000000001</v>
      </c>
      <c r="J1040" s="34"/>
      <c r="K1040" s="433">
        <v>1.5</v>
      </c>
      <c r="L1040" s="266"/>
    </row>
    <row r="1041" spans="1:12">
      <c r="A1041" s="686" t="s">
        <v>1128</v>
      </c>
      <c r="B1041" s="687"/>
      <c r="C1041" s="688"/>
      <c r="D1041" s="688"/>
      <c r="E1041" s="689"/>
      <c r="F1041" s="696">
        <f>SF!F43</f>
        <v>-103.56143333397094</v>
      </c>
      <c r="G1041" s="689"/>
      <c r="H1041" s="690"/>
      <c r="I1041" s="690"/>
      <c r="J1041" s="690"/>
      <c r="K1041" s="433">
        <v>0.15</v>
      </c>
      <c r="L1041" s="266"/>
    </row>
    <row r="1042" spans="1:12">
      <c r="A1042" s="686" t="s">
        <v>1131</v>
      </c>
      <c r="B1042" s="687"/>
      <c r="C1042" s="688"/>
      <c r="D1042" s="688"/>
      <c r="E1042" s="689"/>
      <c r="F1042" s="690"/>
      <c r="G1042" s="696">
        <f>SF!G47</f>
        <v>3.2856246869242693</v>
      </c>
      <c r="H1042" s="696">
        <f>SF!H47</f>
        <v>3.5397182492142409</v>
      </c>
      <c r="I1042" s="696">
        <f>SF!I47</f>
        <v>7.0628515103002814</v>
      </c>
      <c r="J1042" s="696">
        <f>SF!J47</f>
        <v>5.3297614737052639</v>
      </c>
      <c r="K1042" s="433">
        <v>1</v>
      </c>
      <c r="L1042" s="266"/>
    </row>
    <row r="1043" spans="1:12">
      <c r="A1043" s="278" t="s">
        <v>200</v>
      </c>
      <c r="B1043" s="262"/>
      <c r="C1043" s="262"/>
      <c r="D1043" s="262"/>
      <c r="E1043" s="263"/>
      <c r="F1043" s="279"/>
      <c r="G1043" s="280"/>
      <c r="H1043" s="264"/>
      <c r="I1043" s="279"/>
      <c r="J1043" s="264"/>
      <c r="K1043" s="1581">
        <v>0.22499999999999998</v>
      </c>
      <c r="L1043" s="266"/>
    </row>
    <row r="1044" spans="1:12">
      <c r="A1044" s="25" t="s">
        <v>991</v>
      </c>
      <c r="B1044" s="26" t="s">
        <v>989</v>
      </c>
      <c r="C1044" s="26"/>
      <c r="D1044" s="26"/>
      <c r="E1044" s="27"/>
      <c r="F1044" s="197"/>
      <c r="G1044" s="172">
        <f>SF!G52</f>
        <v>94.821839999999995</v>
      </c>
      <c r="H1044" s="34"/>
      <c r="I1044" s="172">
        <f>SF!I52</f>
        <v>785.12483520000001</v>
      </c>
      <c r="J1044" s="89"/>
      <c r="K1044" s="511">
        <v>0.22499999999999998</v>
      </c>
      <c r="L1044" s="266"/>
    </row>
    <row r="1045" spans="1:12">
      <c r="A1045" s="25" t="s">
        <v>217</v>
      </c>
      <c r="B1045" s="26" t="s">
        <v>211</v>
      </c>
      <c r="C1045" s="26"/>
      <c r="D1045" s="26"/>
      <c r="E1045" s="27"/>
      <c r="F1045" s="197"/>
      <c r="G1045" s="196">
        <f>SF!G58</f>
        <v>26.798532263701709</v>
      </c>
      <c r="H1045" s="199"/>
      <c r="I1045" s="172">
        <f>SF!I58</f>
        <v>147.28381289471153</v>
      </c>
      <c r="J1045" s="195"/>
      <c r="K1045" s="433">
        <v>0.22499999999999998</v>
      </c>
      <c r="L1045" s="266"/>
    </row>
    <row r="1046" spans="1:12">
      <c r="A1046" s="686" t="s">
        <v>1472</v>
      </c>
      <c r="B1046" s="688" t="s">
        <v>1045</v>
      </c>
      <c r="C1046" s="688"/>
      <c r="D1046" s="688"/>
      <c r="E1046" s="689"/>
      <c r="F1046" s="620"/>
      <c r="G1046" s="695">
        <f>SF!G61</f>
        <v>32.345729999999996</v>
      </c>
      <c r="H1046" s="690"/>
      <c r="I1046" s="695">
        <f>SF!I61</f>
        <v>29.111156999999999</v>
      </c>
      <c r="J1046" s="269"/>
      <c r="K1046" s="433">
        <v>0.22499999999999998</v>
      </c>
      <c r="L1046" s="266"/>
    </row>
    <row r="1047" spans="1:12">
      <c r="A1047" s="686" t="s">
        <v>1139</v>
      </c>
      <c r="B1047" s="688" t="s">
        <v>1140</v>
      </c>
      <c r="C1047" s="688"/>
      <c r="D1047" s="688"/>
      <c r="E1047" s="689"/>
      <c r="F1047" s="620"/>
      <c r="G1047" s="695">
        <f>SF!G63</f>
        <v>19.373390077688924</v>
      </c>
      <c r="H1047" s="690"/>
      <c r="I1047" s="695">
        <f>SF!I63</f>
        <v>37.512792074379419</v>
      </c>
      <c r="J1047" s="269"/>
      <c r="K1047" s="433">
        <v>0.15</v>
      </c>
      <c r="L1047" s="266"/>
    </row>
    <row r="1048" spans="1:12">
      <c r="A1048" s="278" t="s">
        <v>1817</v>
      </c>
      <c r="B1048" s="262"/>
      <c r="C1048" s="262"/>
      <c r="D1048" s="262"/>
      <c r="E1048" s="263"/>
      <c r="F1048" s="279"/>
      <c r="G1048" s="280"/>
      <c r="H1048" s="264"/>
      <c r="I1048" s="279"/>
      <c r="J1048" s="264"/>
      <c r="K1048" s="1582">
        <v>0.75</v>
      </c>
      <c r="L1048" s="266"/>
    </row>
    <row r="1049" spans="1:12">
      <c r="A1049" s="25" t="s">
        <v>998</v>
      </c>
      <c r="B1049" s="26" t="s">
        <v>989</v>
      </c>
      <c r="C1049" s="26"/>
      <c r="D1049" s="26"/>
      <c r="E1049" s="27"/>
      <c r="F1049" s="197"/>
      <c r="G1049" s="211"/>
      <c r="H1049" s="172">
        <f>SF!H68</f>
        <v>47.410919999999997</v>
      </c>
      <c r="I1049" s="197"/>
      <c r="J1049" s="172">
        <f>SF!J68</f>
        <v>433.10062959257624</v>
      </c>
      <c r="K1049" s="433">
        <v>0.75</v>
      </c>
      <c r="L1049" s="266"/>
    </row>
    <row r="1050" spans="1:12">
      <c r="A1050" s="25" t="s">
        <v>1006</v>
      </c>
      <c r="B1050" s="26" t="s">
        <v>211</v>
      </c>
      <c r="C1050" s="26"/>
      <c r="D1050" s="26"/>
      <c r="E1050" s="27"/>
      <c r="F1050" s="197"/>
      <c r="G1050" s="195"/>
      <c r="H1050" s="172">
        <f>SF!H78</f>
        <v>26.798532263701709</v>
      </c>
      <c r="I1050" s="195"/>
      <c r="J1050" s="172">
        <f>SF!J78</f>
        <v>147.28381289471153</v>
      </c>
      <c r="K1050" s="433">
        <v>0.75</v>
      </c>
      <c r="L1050" s="266"/>
    </row>
    <row r="1051" spans="1:12">
      <c r="A1051" s="686" t="s">
        <v>1138</v>
      </c>
      <c r="B1051" s="688" t="s">
        <v>1045</v>
      </c>
      <c r="C1051" s="688"/>
      <c r="D1051" s="688"/>
      <c r="E1051" s="689"/>
      <c r="F1051" s="620"/>
      <c r="G1051" s="711"/>
      <c r="H1051" s="989">
        <f>SF!H81</f>
        <v>32.345729999999996</v>
      </c>
      <c r="I1051" s="696"/>
      <c r="J1051" s="989">
        <f>SF!J81</f>
        <v>29.111156999999999</v>
      </c>
      <c r="K1051" s="433">
        <v>0.75</v>
      </c>
      <c r="L1051" s="266"/>
    </row>
    <row r="1052" spans="1:12">
      <c r="A1052" s="686" t="s">
        <v>1138</v>
      </c>
      <c r="B1052" s="688" t="s">
        <v>1141</v>
      </c>
      <c r="C1052" s="26"/>
      <c r="D1052" s="26"/>
      <c r="E1052" s="27"/>
      <c r="F1052" s="34"/>
      <c r="G1052" s="27"/>
      <c r="H1052" s="989">
        <f>SF!H83</f>
        <v>19.373390077688924</v>
      </c>
      <c r="I1052" s="696"/>
      <c r="J1052" s="989">
        <f>SF!J83</f>
        <v>37.512792074379419</v>
      </c>
      <c r="K1052" s="433">
        <v>0.75</v>
      </c>
      <c r="L1052" s="266"/>
    </row>
    <row r="1053" spans="1:12">
      <c r="A1053" s="990" t="s">
        <v>204</v>
      </c>
      <c r="B1053" s="661"/>
      <c r="C1053" s="661"/>
      <c r="D1053" s="661"/>
      <c r="E1053" s="584"/>
      <c r="F1053" s="991"/>
      <c r="G1053" s="992"/>
      <c r="H1053" s="370"/>
      <c r="I1053" s="991"/>
      <c r="J1053" s="370"/>
      <c r="K1053" s="1583">
        <v>0.22499999999999998</v>
      </c>
      <c r="L1053" s="266"/>
    </row>
    <row r="1054" spans="1:12">
      <c r="A1054" s="25" t="s">
        <v>1008</v>
      </c>
      <c r="B1054" s="26" t="s">
        <v>989</v>
      </c>
      <c r="C1054" s="26"/>
      <c r="D1054" s="26"/>
      <c r="E1054" s="27"/>
      <c r="F1054" s="196">
        <f>SF!F88</f>
        <v>31.607279999999999</v>
      </c>
      <c r="G1054" s="211"/>
      <c r="H1054" s="34"/>
      <c r="I1054" s="196">
        <f>SF!I88</f>
        <v>15.140358000000003</v>
      </c>
      <c r="J1054" s="196">
        <f>SF!J88</f>
        <v>0</v>
      </c>
      <c r="K1054" s="511">
        <v>0.22499999999999998</v>
      </c>
      <c r="L1054" s="266"/>
    </row>
    <row r="1055" spans="1:12">
      <c r="A1055" s="25" t="s">
        <v>1011</v>
      </c>
      <c r="B1055" s="26" t="s">
        <v>211</v>
      </c>
      <c r="C1055" s="26"/>
      <c r="D1055" s="26"/>
      <c r="E1055" s="27"/>
      <c r="F1055" s="196">
        <f>SF!F98</f>
        <v>17.865688175801139</v>
      </c>
      <c r="G1055" s="211"/>
      <c r="H1055" s="197"/>
      <c r="I1055" s="196">
        <f>SF!I98</f>
        <v>0</v>
      </c>
      <c r="J1055" s="196">
        <f>SF!J98</f>
        <v>0</v>
      </c>
      <c r="K1055" s="511">
        <v>0.22499999999999998</v>
      </c>
      <c r="L1055" s="266"/>
    </row>
    <row r="1056" spans="1:12">
      <c r="A1056" s="686" t="s">
        <v>1473</v>
      </c>
      <c r="B1056" s="688" t="s">
        <v>1045</v>
      </c>
      <c r="C1056" s="688"/>
      <c r="D1056" s="688"/>
      <c r="E1056" s="689"/>
      <c r="F1056" s="695">
        <f>SF!F101</f>
        <v>21.56382</v>
      </c>
      <c r="G1056" s="621"/>
      <c r="H1056" s="620"/>
      <c r="I1056" s="695">
        <f>SF!I101</f>
        <v>0</v>
      </c>
      <c r="J1056" s="695">
        <f>SF!J101</f>
        <v>0</v>
      </c>
      <c r="K1056" s="511">
        <v>0.22499999999999998</v>
      </c>
      <c r="L1056" s="266"/>
    </row>
    <row r="1057" spans="1:12">
      <c r="A1057" s="253"/>
      <c r="B1057" s="15"/>
      <c r="C1057" s="15"/>
      <c r="D1057" s="15"/>
      <c r="E1057" s="22"/>
      <c r="F1057" s="212"/>
      <c r="G1057" s="213"/>
      <c r="H1057" s="198"/>
      <c r="I1057" s="198"/>
      <c r="J1057" s="58"/>
      <c r="K1057" s="208"/>
      <c r="L1057" s="293"/>
    </row>
    <row r="1058" spans="1:12">
      <c r="A1058" s="46"/>
      <c r="B1058" s="46"/>
      <c r="C1058" s="46"/>
      <c r="D1058" s="46"/>
      <c r="E1058" s="46"/>
      <c r="F1058" s="46"/>
      <c r="G1058" s="46"/>
      <c r="H1058" s="46"/>
      <c r="I1058" s="46"/>
      <c r="J1058" s="46"/>
      <c r="K1058" s="87"/>
      <c r="L1058" s="293"/>
    </row>
    <row r="1059" spans="1:12">
      <c r="A1059" s="220" t="s">
        <v>73</v>
      </c>
      <c r="B1059" s="220" t="s">
        <v>74</v>
      </c>
      <c r="C1059" s="200"/>
      <c r="D1059" s="200"/>
      <c r="E1059" s="217"/>
      <c r="F1059" s="1636" t="s">
        <v>72</v>
      </c>
      <c r="G1059" s="1637"/>
      <c r="H1059" s="1637"/>
      <c r="I1059" s="1637"/>
      <c r="J1059" s="1638"/>
      <c r="K1059" s="87"/>
      <c r="L1059" s="293"/>
    </row>
    <row r="1060" spans="1:12" ht="18">
      <c r="A1060" s="221"/>
      <c r="B1060" s="221"/>
      <c r="C1060" s="201"/>
      <c r="D1060" s="201"/>
      <c r="E1060" s="219"/>
      <c r="F1060" s="223" t="s">
        <v>23</v>
      </c>
      <c r="G1060" s="223" t="s">
        <v>87</v>
      </c>
      <c r="H1060" s="223" t="s">
        <v>212</v>
      </c>
      <c r="I1060" s="223" t="s">
        <v>80</v>
      </c>
      <c r="J1060" s="223" t="s">
        <v>81</v>
      </c>
      <c r="K1060" s="87"/>
      <c r="L1060" s="293"/>
    </row>
    <row r="1061" spans="1:12">
      <c r="A1061" s="222"/>
      <c r="B1061" s="222"/>
      <c r="C1061" s="203"/>
      <c r="D1061" s="203"/>
      <c r="E1061" s="218"/>
      <c r="F1061" s="204" t="s">
        <v>34</v>
      </c>
      <c r="G1061" s="204" t="s">
        <v>34</v>
      </c>
      <c r="H1061" s="203" t="s">
        <v>34</v>
      </c>
      <c r="I1061" s="204" t="s">
        <v>77</v>
      </c>
      <c r="J1061" s="204" t="s">
        <v>77</v>
      </c>
      <c r="K1061" s="87"/>
      <c r="L1061" s="293"/>
    </row>
    <row r="1062" spans="1:12">
      <c r="A1062" s="202"/>
      <c r="B1062" s="200"/>
      <c r="C1062" s="200"/>
      <c r="D1062" s="200"/>
      <c r="E1062" s="217"/>
      <c r="F1062" s="205"/>
      <c r="G1062" s="205"/>
      <c r="H1062" s="201"/>
      <c r="I1062" s="205"/>
      <c r="J1062" s="205"/>
      <c r="K1062" s="87"/>
      <c r="L1062" s="293"/>
    </row>
    <row r="1063" spans="1:12">
      <c r="A1063" s="205" t="str">
        <f>A1032</f>
        <v>LC-36</v>
      </c>
      <c r="B1063" s="201" t="str">
        <f>B1032</f>
        <v>LC-21 + Seismic Sx=0.3,Sz=1,Sy=0.3 (50% seismic)</v>
      </c>
      <c r="C1063" s="201"/>
      <c r="D1063" s="201"/>
      <c r="E1063" s="219"/>
      <c r="F1063" s="205">
        <f>SUMPRODUCT(F1035:F1056,$K$1035:$K$1056)</f>
        <v>954.67160050732912</v>
      </c>
      <c r="G1063" s="219">
        <f>SUMPRODUCT(G1035:G1056,$K$1035:$K$1056)</f>
        <v>62.783506207910484</v>
      </c>
      <c r="H1063" s="219">
        <f>SUMPRODUCT(H1035:H1056,$K$1035:$K$1056)</f>
        <v>97.986147505257208</v>
      </c>
      <c r="I1063" s="219">
        <f>SUMPRODUCT(I1035:I1056,$K$1035:$K$1056)</f>
        <v>609.37804201776726</v>
      </c>
      <c r="J1063" s="219">
        <f>SUMPRODUCT(J1035:J1056,$K$1035:$K$1056)</f>
        <v>490.58605514495565</v>
      </c>
      <c r="K1063" s="87"/>
      <c r="L1063" s="293"/>
    </row>
    <row r="1064" spans="1:12">
      <c r="A1064" s="204"/>
      <c r="B1064" s="203"/>
      <c r="C1064" s="203"/>
      <c r="D1064" s="203"/>
      <c r="E1064" s="218"/>
      <c r="F1064" s="204"/>
      <c r="G1064" s="204"/>
      <c r="H1064" s="203"/>
      <c r="I1064" s="204"/>
      <c r="J1064" s="204"/>
      <c r="K1064" s="87"/>
      <c r="L1064" s="293"/>
    </row>
    <row r="1067" spans="1:12">
      <c r="A1067" s="811" t="str">
        <f>K1067</f>
        <v>LC-37</v>
      </c>
      <c r="B1067" s="31" t="str">
        <f>VLOOKUP(A1067,LC_DEF_2!A45:B92,2,FALSE)</f>
        <v>LC-22 + Seismic Sx=1,Sz=0.3,Sy=-0.3</v>
      </c>
      <c r="C1067" s="31"/>
      <c r="D1067" s="31"/>
      <c r="E1067" s="32"/>
      <c r="F1067" s="1599" t="s">
        <v>742</v>
      </c>
      <c r="G1067" s="1635"/>
      <c r="H1067" s="1635"/>
      <c r="I1067" s="1635"/>
      <c r="J1067" s="1600"/>
      <c r="K1067" s="1580" t="s">
        <v>1174</v>
      </c>
      <c r="L1067" s="293"/>
    </row>
    <row r="1068" spans="1:12" ht="18">
      <c r="A1068" s="25" t="s">
        <v>73</v>
      </c>
      <c r="B1068" s="26" t="s">
        <v>74</v>
      </c>
      <c r="C1068" s="26"/>
      <c r="D1068" s="26"/>
      <c r="E1068" s="27"/>
      <c r="F1068" s="58" t="s">
        <v>23</v>
      </c>
      <c r="G1068" s="58" t="s">
        <v>87</v>
      </c>
      <c r="H1068" s="58" t="s">
        <v>212</v>
      </c>
      <c r="I1068" s="58" t="s">
        <v>80</v>
      </c>
      <c r="J1068" s="58" t="s">
        <v>81</v>
      </c>
      <c r="K1068" s="433"/>
      <c r="L1068" s="293"/>
    </row>
    <row r="1069" spans="1:12">
      <c r="A1069" s="25"/>
      <c r="B1069" s="26"/>
      <c r="C1069" s="26"/>
      <c r="D1069" s="26"/>
      <c r="E1069" s="27"/>
      <c r="F1069" s="36" t="s">
        <v>34</v>
      </c>
      <c r="G1069" s="36" t="s">
        <v>34</v>
      </c>
      <c r="H1069" s="36" t="s">
        <v>34</v>
      </c>
      <c r="I1069" s="36" t="s">
        <v>77</v>
      </c>
      <c r="J1069" s="36" t="s">
        <v>77</v>
      </c>
      <c r="K1069" s="433"/>
      <c r="L1069" s="293"/>
    </row>
    <row r="1070" spans="1:12">
      <c r="A1070" s="25" t="s">
        <v>88</v>
      </c>
      <c r="B1070" s="26" t="s">
        <v>75</v>
      </c>
      <c r="C1070" s="26"/>
      <c r="D1070" s="26"/>
      <c r="E1070" s="27"/>
      <c r="F1070" s="195">
        <f>SF!F14</f>
        <v>365.08803866482532</v>
      </c>
      <c r="G1070" s="210"/>
      <c r="H1070" s="34"/>
      <c r="I1070" s="195">
        <f>SF!I14</f>
        <v>0</v>
      </c>
      <c r="J1070" s="195">
        <f>SF!J14</f>
        <v>0</v>
      </c>
      <c r="K1070" s="511">
        <v>1.35</v>
      </c>
      <c r="L1070" s="266"/>
    </row>
    <row r="1071" spans="1:12">
      <c r="A1071" s="25" t="s">
        <v>90</v>
      </c>
      <c r="B1071" s="26" t="s">
        <v>249</v>
      </c>
      <c r="C1071" s="26"/>
      <c r="D1071" s="26"/>
      <c r="E1071" s="27"/>
      <c r="F1071" s="195">
        <f>SF!F16</f>
        <v>36.639026644707663</v>
      </c>
      <c r="G1071" s="210"/>
      <c r="H1071" s="34"/>
      <c r="I1071" s="195">
        <f>SF!I16</f>
        <v>0</v>
      </c>
      <c r="J1071" s="195">
        <f>SF!J16</f>
        <v>0</v>
      </c>
      <c r="K1071" s="511">
        <v>1.35</v>
      </c>
      <c r="L1071" s="266"/>
    </row>
    <row r="1072" spans="1:12">
      <c r="A1072" s="25" t="s">
        <v>250</v>
      </c>
      <c r="B1072" s="26" t="s">
        <v>967</v>
      </c>
      <c r="C1072" s="26"/>
      <c r="D1072" s="26"/>
      <c r="E1072" s="27"/>
      <c r="F1072" s="195">
        <f>SF!F19</f>
        <v>230</v>
      </c>
      <c r="G1072" s="27"/>
      <c r="H1072" s="34"/>
      <c r="I1072" s="195">
        <f>SF!I19</f>
        <v>-115</v>
      </c>
      <c r="J1072" s="195">
        <f>SF!J19</f>
        <v>0</v>
      </c>
      <c r="K1072" s="433">
        <v>1.35</v>
      </c>
      <c r="L1072" s="11"/>
    </row>
    <row r="1073" spans="1:12">
      <c r="A1073" s="25" t="s">
        <v>251</v>
      </c>
      <c r="B1073" s="26" t="s">
        <v>968</v>
      </c>
      <c r="C1073" s="26"/>
      <c r="D1073" s="26"/>
      <c r="E1073" s="27"/>
      <c r="F1073" s="195">
        <f>SF!F20</f>
        <v>20.660000000000004</v>
      </c>
      <c r="G1073" s="27"/>
      <c r="H1073" s="34"/>
      <c r="I1073" s="195">
        <f>SF!I20</f>
        <v>-10.330000000000002</v>
      </c>
      <c r="J1073" s="195">
        <f>SF!J20</f>
        <v>0</v>
      </c>
      <c r="K1073" s="433">
        <v>1.35</v>
      </c>
      <c r="L1073" s="11"/>
    </row>
    <row r="1074" spans="1:12">
      <c r="A1074" s="25" t="s">
        <v>97</v>
      </c>
      <c r="B1074" s="26" t="s">
        <v>969</v>
      </c>
      <c r="C1074" s="26"/>
      <c r="D1074" s="26"/>
      <c r="E1074" s="27"/>
      <c r="F1074" s="195">
        <f>SF!F21</f>
        <v>42</v>
      </c>
      <c r="G1074" s="27"/>
      <c r="H1074" s="34"/>
      <c r="I1074" s="195">
        <f>SF!I21</f>
        <v>-14.858499999999999</v>
      </c>
      <c r="J1074" s="195">
        <f>SF!J21</f>
        <v>0</v>
      </c>
      <c r="K1074" s="433">
        <v>1.35</v>
      </c>
      <c r="L1074" s="11"/>
    </row>
    <row r="1075" spans="1:12">
      <c r="A1075" s="25" t="s">
        <v>250</v>
      </c>
      <c r="B1075" s="26" t="s">
        <v>970</v>
      </c>
      <c r="C1075" s="26"/>
      <c r="D1075" s="26"/>
      <c r="E1075" s="27"/>
      <c r="F1075" s="195">
        <f>SF!F23</f>
        <v>230</v>
      </c>
      <c r="G1075" s="27"/>
      <c r="H1075" s="34"/>
      <c r="I1075" s="195">
        <f>SF!I23</f>
        <v>115</v>
      </c>
      <c r="J1075" s="195">
        <f>SF!J23</f>
        <v>0</v>
      </c>
      <c r="K1075" s="433">
        <v>1.35</v>
      </c>
      <c r="L1075" s="11"/>
    </row>
    <row r="1076" spans="1:12">
      <c r="A1076" s="25" t="s">
        <v>251</v>
      </c>
      <c r="B1076" s="26" t="s">
        <v>971</v>
      </c>
      <c r="C1076" s="26"/>
      <c r="D1076" s="26"/>
      <c r="E1076" s="27"/>
      <c r="F1076" s="195">
        <f>SF!F24</f>
        <v>20.660000000000004</v>
      </c>
      <c r="G1076" s="27"/>
      <c r="H1076" s="34"/>
      <c r="I1076" s="195">
        <f>SF!I24</f>
        <v>10.330000000000002</v>
      </c>
      <c r="J1076" s="195">
        <f>SF!J24</f>
        <v>0</v>
      </c>
      <c r="K1076" s="433">
        <v>1.35</v>
      </c>
      <c r="L1076" s="266"/>
    </row>
    <row r="1077" spans="1:12">
      <c r="A1077" s="25" t="s">
        <v>97</v>
      </c>
      <c r="B1077" s="26" t="s">
        <v>972</v>
      </c>
      <c r="C1077" s="26"/>
      <c r="D1077" s="26"/>
      <c r="E1077" s="27"/>
      <c r="F1077" s="195">
        <f>SF!F25</f>
        <v>42</v>
      </c>
      <c r="G1077" s="27"/>
      <c r="H1077" s="34"/>
      <c r="I1077" s="195">
        <f>SF!I25</f>
        <v>14.858499999999999</v>
      </c>
      <c r="J1077" s="195">
        <f>SF!J25</f>
        <v>0</v>
      </c>
      <c r="K1077" s="511">
        <v>1.75</v>
      </c>
      <c r="L1077" s="11"/>
    </row>
    <row r="1078" spans="1:12">
      <c r="A1078" s="25" t="s">
        <v>986</v>
      </c>
      <c r="B1078" s="163" t="s">
        <v>955</v>
      </c>
      <c r="C1078" s="26"/>
      <c r="D1078" s="26"/>
      <c r="E1078" s="27"/>
      <c r="F1078" s="34"/>
      <c r="G1078" s="195">
        <f>SF!G40</f>
        <v>5.8532000000000011</v>
      </c>
      <c r="H1078" s="34"/>
      <c r="I1078" s="195">
        <f>SF!I40</f>
        <v>48.464496000000018</v>
      </c>
      <c r="J1078" s="34"/>
      <c r="K1078" s="433">
        <v>1.5</v>
      </c>
      <c r="L1078" s="266"/>
    </row>
    <row r="1079" spans="1:12">
      <c r="A1079" s="686" t="s">
        <v>1128</v>
      </c>
      <c r="B1079" s="687"/>
      <c r="C1079" s="688"/>
      <c r="D1079" s="688"/>
      <c r="E1079" s="689"/>
      <c r="F1079" s="696">
        <f>SF!F43</f>
        <v>-103.56143333397094</v>
      </c>
      <c r="G1079" s="689"/>
      <c r="H1079" s="690"/>
      <c r="I1079" s="690"/>
      <c r="J1079" s="690"/>
      <c r="K1079" s="433">
        <v>0.15</v>
      </c>
      <c r="L1079" s="266"/>
    </row>
    <row r="1080" spans="1:12">
      <c r="A1080" s="686" t="s">
        <v>1131</v>
      </c>
      <c r="B1080" s="687"/>
      <c r="C1080" s="688"/>
      <c r="D1080" s="688"/>
      <c r="E1080" s="689"/>
      <c r="F1080" s="690"/>
      <c r="G1080" s="696">
        <f>SF!G47</f>
        <v>3.2856246869242693</v>
      </c>
      <c r="H1080" s="696">
        <f>SF!H47</f>
        <v>3.5397182492142409</v>
      </c>
      <c r="I1080" s="696">
        <f>SF!I47</f>
        <v>7.0628515103002814</v>
      </c>
      <c r="J1080" s="696">
        <f>SF!J47</f>
        <v>5.3297614737052639</v>
      </c>
      <c r="K1080" s="433">
        <v>1</v>
      </c>
      <c r="L1080" s="266"/>
    </row>
    <row r="1081" spans="1:12">
      <c r="A1081" s="278" t="s">
        <v>200</v>
      </c>
      <c r="B1081" s="262"/>
      <c r="C1081" s="262"/>
      <c r="D1081" s="262"/>
      <c r="E1081" s="263"/>
      <c r="F1081" s="279"/>
      <c r="G1081" s="280"/>
      <c r="H1081" s="264"/>
      <c r="I1081" s="279"/>
      <c r="J1081" s="264"/>
      <c r="K1081" s="1581">
        <v>1.5</v>
      </c>
      <c r="L1081" s="266"/>
    </row>
    <row r="1082" spans="1:12">
      <c r="A1082" s="25" t="s">
        <v>991</v>
      </c>
      <c r="B1082" s="26" t="s">
        <v>989</v>
      </c>
      <c r="C1082" s="26"/>
      <c r="D1082" s="26"/>
      <c r="E1082" s="27"/>
      <c r="F1082" s="197"/>
      <c r="G1082" s="172">
        <f>SF!G52</f>
        <v>94.821839999999995</v>
      </c>
      <c r="H1082" s="34"/>
      <c r="I1082" s="172">
        <f>SF!I52</f>
        <v>785.12483520000001</v>
      </c>
      <c r="J1082" s="89"/>
      <c r="K1082" s="511">
        <v>1.5</v>
      </c>
      <c r="L1082" s="266"/>
    </row>
    <row r="1083" spans="1:12">
      <c r="A1083" s="25" t="s">
        <v>217</v>
      </c>
      <c r="B1083" s="26" t="s">
        <v>211</v>
      </c>
      <c r="C1083" s="26"/>
      <c r="D1083" s="26"/>
      <c r="E1083" s="27"/>
      <c r="F1083" s="197"/>
      <c r="G1083" s="196">
        <f>SF!G58</f>
        <v>26.798532263701709</v>
      </c>
      <c r="H1083" s="199"/>
      <c r="I1083" s="172">
        <f>SF!I58</f>
        <v>147.28381289471153</v>
      </c>
      <c r="J1083" s="195"/>
      <c r="K1083" s="433">
        <v>1.5</v>
      </c>
      <c r="L1083" s="266"/>
    </row>
    <row r="1084" spans="1:12">
      <c r="A1084" s="686" t="s">
        <v>1472</v>
      </c>
      <c r="B1084" s="688" t="s">
        <v>1045</v>
      </c>
      <c r="C1084" s="688"/>
      <c r="D1084" s="688"/>
      <c r="E1084" s="689"/>
      <c r="F1084" s="620"/>
      <c r="G1084" s="695">
        <f>SF!G61</f>
        <v>32.345729999999996</v>
      </c>
      <c r="H1084" s="690"/>
      <c r="I1084" s="695">
        <f>SF!I61</f>
        <v>29.111156999999999</v>
      </c>
      <c r="J1084" s="269"/>
      <c r="K1084" s="433">
        <v>1.5</v>
      </c>
      <c r="L1084" s="266"/>
    </row>
    <row r="1085" spans="1:12">
      <c r="A1085" s="686" t="s">
        <v>1139</v>
      </c>
      <c r="B1085" s="688" t="s">
        <v>1140</v>
      </c>
      <c r="C1085" s="688"/>
      <c r="D1085" s="688"/>
      <c r="E1085" s="689"/>
      <c r="F1085" s="620"/>
      <c r="G1085" s="695">
        <f>SF!G63</f>
        <v>19.373390077688924</v>
      </c>
      <c r="H1085" s="690"/>
      <c r="I1085" s="695">
        <f>SF!I63</f>
        <v>37.512792074379419</v>
      </c>
      <c r="J1085" s="269"/>
      <c r="K1085" s="433">
        <v>1</v>
      </c>
      <c r="L1085" s="266"/>
    </row>
    <row r="1086" spans="1:12">
      <c r="A1086" s="278" t="s">
        <v>1817</v>
      </c>
      <c r="B1086" s="262"/>
      <c r="C1086" s="262"/>
      <c r="D1086" s="262"/>
      <c r="E1086" s="263"/>
      <c r="F1086" s="279"/>
      <c r="G1086" s="280"/>
      <c r="H1086" s="264"/>
      <c r="I1086" s="279"/>
      <c r="J1086" s="264"/>
      <c r="K1086" s="1582">
        <v>0.44999999999999996</v>
      </c>
      <c r="L1086" s="266"/>
    </row>
    <row r="1087" spans="1:12">
      <c r="A1087" s="25" t="s">
        <v>997</v>
      </c>
      <c r="B1087" s="26" t="s">
        <v>988</v>
      </c>
      <c r="C1087" s="26"/>
      <c r="D1087" s="26"/>
      <c r="E1087" s="27"/>
      <c r="F1087" s="197"/>
      <c r="G1087" s="211"/>
      <c r="H1087" s="172">
        <f>SF!H67</f>
        <v>47.410919999999997</v>
      </c>
      <c r="I1087" s="197"/>
      <c r="J1087" s="172">
        <f>SF!J67</f>
        <v>433.10062959257624</v>
      </c>
      <c r="K1087" s="511">
        <v>0.44999999999999996</v>
      </c>
      <c r="L1087" s="266"/>
    </row>
    <row r="1088" spans="1:12">
      <c r="A1088" s="25" t="s">
        <v>998</v>
      </c>
      <c r="B1088" s="26" t="s">
        <v>989</v>
      </c>
      <c r="C1088" s="26"/>
      <c r="D1088" s="26"/>
      <c r="E1088" s="27"/>
      <c r="F1088" s="197"/>
      <c r="G1088" s="211"/>
      <c r="H1088" s="172">
        <f>SF!H68</f>
        <v>47.410919999999997</v>
      </c>
      <c r="I1088" s="197"/>
      <c r="J1088" s="172">
        <f>SF!J68</f>
        <v>433.10062959257624</v>
      </c>
      <c r="K1088" s="433">
        <v>0.44999999999999996</v>
      </c>
      <c r="L1088" s="266"/>
    </row>
    <row r="1089" spans="1:12">
      <c r="A1089" s="25" t="s">
        <v>1006</v>
      </c>
      <c r="B1089" s="26" t="s">
        <v>211</v>
      </c>
      <c r="C1089" s="26"/>
      <c r="D1089" s="26"/>
      <c r="E1089" s="27"/>
      <c r="F1089" s="197"/>
      <c r="G1089" s="195"/>
      <c r="H1089" s="172">
        <f>SF!H78</f>
        <v>26.798532263701709</v>
      </c>
      <c r="I1089" s="195"/>
      <c r="J1089" s="172">
        <f>SF!J78</f>
        <v>147.28381289471153</v>
      </c>
      <c r="K1089" s="433">
        <v>0.44999999999999996</v>
      </c>
      <c r="L1089" s="266"/>
    </row>
    <row r="1090" spans="1:12">
      <c r="A1090" s="686" t="s">
        <v>1138</v>
      </c>
      <c r="B1090" s="688" t="s">
        <v>1045</v>
      </c>
      <c r="C1090" s="688"/>
      <c r="D1090" s="688"/>
      <c r="E1090" s="689"/>
      <c r="F1090" s="620"/>
      <c r="G1090" s="711"/>
      <c r="H1090" s="989">
        <f>SF!H81</f>
        <v>32.345729999999996</v>
      </c>
      <c r="I1090" s="696"/>
      <c r="J1090" s="989">
        <f>SF!J81</f>
        <v>29.111156999999999</v>
      </c>
      <c r="K1090" s="433">
        <v>0.44999999999999996</v>
      </c>
      <c r="L1090" s="266"/>
    </row>
    <row r="1091" spans="1:12">
      <c r="A1091" s="686" t="s">
        <v>1138</v>
      </c>
      <c r="B1091" s="688" t="s">
        <v>1141</v>
      </c>
      <c r="C1091" s="26"/>
      <c r="D1091" s="26"/>
      <c r="E1091" s="27"/>
      <c r="F1091" s="34"/>
      <c r="G1091" s="27"/>
      <c r="H1091" s="989">
        <f>SF!H83</f>
        <v>19.373390077688924</v>
      </c>
      <c r="I1091" s="696"/>
      <c r="J1091" s="989">
        <f>SF!J83</f>
        <v>37.512792074379419</v>
      </c>
      <c r="K1091" s="433">
        <v>0.3</v>
      </c>
      <c r="L1091" s="266"/>
    </row>
    <row r="1092" spans="1:12">
      <c r="A1092" s="990" t="s">
        <v>204</v>
      </c>
      <c r="B1092" s="661"/>
      <c r="C1092" s="661"/>
      <c r="D1092" s="661"/>
      <c r="E1092" s="584"/>
      <c r="F1092" s="991"/>
      <c r="G1092" s="992"/>
      <c r="H1092" s="370"/>
      <c r="I1092" s="991"/>
      <c r="J1092" s="370"/>
      <c r="K1092" s="1583">
        <v>0.44999999999999996</v>
      </c>
      <c r="L1092" s="266"/>
    </row>
    <row r="1093" spans="1:12">
      <c r="A1093" s="25" t="s">
        <v>1007</v>
      </c>
      <c r="B1093" s="26" t="s">
        <v>988</v>
      </c>
      <c r="C1093" s="26"/>
      <c r="D1093" s="26"/>
      <c r="E1093" s="27"/>
      <c r="F1093" s="196">
        <f>SF!F87</f>
        <v>31.607279999999999</v>
      </c>
      <c r="G1093" s="211"/>
      <c r="H1093" s="34"/>
      <c r="I1093" s="196">
        <f>SF!I87</f>
        <v>-15.140358000000003</v>
      </c>
      <c r="J1093" s="196">
        <f>SF!J87</f>
        <v>0</v>
      </c>
      <c r="K1093" s="433">
        <v>-0.44999999999999996</v>
      </c>
      <c r="L1093" s="266"/>
    </row>
    <row r="1094" spans="1:12">
      <c r="A1094" s="25" t="s">
        <v>1008</v>
      </c>
      <c r="B1094" s="26" t="s">
        <v>989</v>
      </c>
      <c r="C1094" s="26"/>
      <c r="D1094" s="26"/>
      <c r="E1094" s="27"/>
      <c r="F1094" s="196">
        <f>SF!F88</f>
        <v>31.607279999999999</v>
      </c>
      <c r="G1094" s="211"/>
      <c r="H1094" s="34"/>
      <c r="I1094" s="196">
        <f>SF!I88</f>
        <v>15.140358000000003</v>
      </c>
      <c r="J1094" s="196">
        <f>SF!J88</f>
        <v>0</v>
      </c>
      <c r="K1094" s="511">
        <v>-0.44999999999999996</v>
      </c>
      <c r="L1094" s="266"/>
    </row>
    <row r="1095" spans="1:12">
      <c r="A1095" s="25" t="s">
        <v>1011</v>
      </c>
      <c r="B1095" s="26" t="s">
        <v>211</v>
      </c>
      <c r="C1095" s="26"/>
      <c r="D1095" s="26"/>
      <c r="E1095" s="27"/>
      <c r="F1095" s="196">
        <f>SF!F98</f>
        <v>17.865688175801139</v>
      </c>
      <c r="G1095" s="211"/>
      <c r="H1095" s="197"/>
      <c r="I1095" s="196">
        <f>SF!I98</f>
        <v>0</v>
      </c>
      <c r="J1095" s="196">
        <f>SF!J98</f>
        <v>0</v>
      </c>
      <c r="K1095" s="511">
        <v>-0.44999999999999996</v>
      </c>
      <c r="L1095" s="266"/>
    </row>
    <row r="1096" spans="1:12">
      <c r="A1096" s="686" t="s">
        <v>1473</v>
      </c>
      <c r="B1096" s="688" t="s">
        <v>1045</v>
      </c>
      <c r="C1096" s="688"/>
      <c r="D1096" s="688"/>
      <c r="E1096" s="689"/>
      <c r="F1096" s="695">
        <f>SF!F101</f>
        <v>21.56382</v>
      </c>
      <c r="G1096" s="621"/>
      <c r="H1096" s="620"/>
      <c r="I1096" s="695">
        <f>SF!I101</f>
        <v>0</v>
      </c>
      <c r="J1096" s="695">
        <f>SF!J101</f>
        <v>0</v>
      </c>
      <c r="K1096" s="511">
        <v>-0.44999999999999996</v>
      </c>
      <c r="L1096" s="266"/>
    </row>
    <row r="1097" spans="1:12">
      <c r="A1097" s="253"/>
      <c r="B1097" s="15"/>
      <c r="C1097" s="15"/>
      <c r="D1097" s="15"/>
      <c r="E1097" s="22"/>
      <c r="F1097" s="212"/>
      <c r="G1097" s="213"/>
      <c r="H1097" s="198"/>
      <c r="I1097" s="198"/>
      <c r="J1097" s="58"/>
      <c r="K1097" s="208"/>
      <c r="L1097" s="293"/>
    </row>
    <row r="1098" spans="1:12">
      <c r="A1098" s="46"/>
      <c r="B1098" s="46"/>
      <c r="C1098" s="46"/>
      <c r="D1098" s="46"/>
      <c r="E1098" s="46"/>
      <c r="F1098" s="46"/>
      <c r="G1098" s="46"/>
      <c r="H1098" s="46"/>
      <c r="I1098" s="46"/>
      <c r="J1098" s="46"/>
      <c r="K1098" s="87"/>
      <c r="L1098" s="293"/>
    </row>
    <row r="1099" spans="1:12">
      <c r="A1099" s="220" t="s">
        <v>73</v>
      </c>
      <c r="B1099" s="220" t="s">
        <v>74</v>
      </c>
      <c r="C1099" s="200"/>
      <c r="D1099" s="200"/>
      <c r="E1099" s="217"/>
      <c r="F1099" s="1636" t="s">
        <v>72</v>
      </c>
      <c r="G1099" s="1637"/>
      <c r="H1099" s="1637"/>
      <c r="I1099" s="1637"/>
      <c r="J1099" s="1638"/>
      <c r="K1099" s="87"/>
      <c r="L1099" s="293"/>
    </row>
    <row r="1100" spans="1:12" ht="18">
      <c r="A1100" s="221"/>
      <c r="B1100" s="221"/>
      <c r="C1100" s="201"/>
      <c r="D1100" s="201"/>
      <c r="E1100" s="219"/>
      <c r="F1100" s="223" t="s">
        <v>23</v>
      </c>
      <c r="G1100" s="223" t="s">
        <v>87</v>
      </c>
      <c r="H1100" s="223" t="s">
        <v>212</v>
      </c>
      <c r="I1100" s="223" t="s">
        <v>80</v>
      </c>
      <c r="J1100" s="223" t="s">
        <v>81</v>
      </c>
      <c r="K1100" s="87"/>
      <c r="L1100" s="293"/>
    </row>
    <row r="1101" spans="1:12">
      <c r="A1101" s="222"/>
      <c r="B1101" s="222"/>
      <c r="C1101" s="203"/>
      <c r="D1101" s="203"/>
      <c r="E1101" s="218"/>
      <c r="F1101" s="204" t="s">
        <v>34</v>
      </c>
      <c r="G1101" s="204" t="s">
        <v>34</v>
      </c>
      <c r="H1101" s="203" t="s">
        <v>34</v>
      </c>
      <c r="I1101" s="204" t="s">
        <v>77</v>
      </c>
      <c r="J1101" s="204" t="s">
        <v>77</v>
      </c>
      <c r="K1101" s="87"/>
      <c r="L1101" s="293"/>
    </row>
    <row r="1102" spans="1:12">
      <c r="A1102" s="202"/>
      <c r="B1102" s="200"/>
      <c r="C1102" s="200"/>
      <c r="D1102" s="200"/>
      <c r="E1102" s="217"/>
      <c r="F1102" s="205"/>
      <c r="G1102" s="205"/>
      <c r="H1102" s="201"/>
      <c r="I1102" s="205"/>
      <c r="J1102" s="205"/>
      <c r="K1102" s="87"/>
      <c r="L1102" s="293"/>
    </row>
    <row r="1103" spans="1:12">
      <c r="A1103" s="205" t="str">
        <f>A1067</f>
        <v>LC-37</v>
      </c>
      <c r="B1103" s="201" t="str">
        <f>B1067</f>
        <v>LC-22 + Seismic Sx=1,Sz=0.3,Sy=-0.3</v>
      </c>
      <c r="C1103" s="201"/>
      <c r="D1103" s="201"/>
      <c r="E1103" s="219"/>
      <c r="F1103" s="205">
        <f>SUMPRODUCT(F1070:F1096,$K$1070:$K$1096)</f>
        <v>1287.5894924886636</v>
      </c>
      <c r="G1103" s="219">
        <f>SUMPRODUCT(G1070:G1096,$K$1070:$K$1096)</f>
        <v>262.38796816016577</v>
      </c>
      <c r="H1103" s="219">
        <f>SUMPRODUCT(H1070:H1096,$K$1070:$K$1096)</f>
        <v>78.636481291186684</v>
      </c>
      <c r="I1103" s="219">
        <f>SUMPRODUCT(I1070:I1096,$K$1070:$K$1096)</f>
        <v>1565.4954952267467</v>
      </c>
      <c r="J1103" s="219">
        <f>SUMPRODUCT(J1070:J1096,$K$1070:$K$1096)</f>
        <v>485.7519021819578</v>
      </c>
      <c r="K1103" s="87"/>
      <c r="L1103" s="293"/>
    </row>
    <row r="1104" spans="1:12">
      <c r="A1104" s="204"/>
      <c r="B1104" s="203"/>
      <c r="C1104" s="203"/>
      <c r="D1104" s="203"/>
      <c r="E1104" s="218"/>
      <c r="F1104" s="204"/>
      <c r="G1104" s="204"/>
      <c r="H1104" s="203"/>
      <c r="I1104" s="204"/>
      <c r="J1104" s="204"/>
      <c r="K1104" s="87"/>
      <c r="L1104" s="293"/>
    </row>
    <row r="1107" spans="1:12">
      <c r="A1107" s="811" t="str">
        <f>K1107</f>
        <v>LC-38</v>
      </c>
      <c r="B1107" s="31" t="str">
        <f>VLOOKUP(A1107,LC_DEF_2!A45:B92,2,FALSE)</f>
        <v>LC-22 + Seismic Sx=0.3,Sz=1,Sy=-0.3</v>
      </c>
      <c r="C1107" s="31"/>
      <c r="D1107" s="31"/>
      <c r="E1107" s="32"/>
      <c r="F1107" s="1599" t="s">
        <v>742</v>
      </c>
      <c r="G1107" s="1635"/>
      <c r="H1107" s="1635"/>
      <c r="I1107" s="1635"/>
      <c r="J1107" s="1600"/>
      <c r="K1107" s="1580" t="s">
        <v>1175</v>
      </c>
      <c r="L1107" s="293"/>
    </row>
    <row r="1108" spans="1:12" ht="18">
      <c r="A1108" s="25" t="s">
        <v>73</v>
      </c>
      <c r="B1108" s="26" t="s">
        <v>74</v>
      </c>
      <c r="C1108" s="26"/>
      <c r="D1108" s="26"/>
      <c r="E1108" s="27"/>
      <c r="F1108" s="58" t="s">
        <v>23</v>
      </c>
      <c r="G1108" s="58" t="s">
        <v>87</v>
      </c>
      <c r="H1108" s="58" t="s">
        <v>212</v>
      </c>
      <c r="I1108" s="58" t="s">
        <v>80</v>
      </c>
      <c r="J1108" s="58" t="s">
        <v>81</v>
      </c>
      <c r="K1108" s="433"/>
      <c r="L1108" s="293"/>
    </row>
    <row r="1109" spans="1:12">
      <c r="A1109" s="25"/>
      <c r="B1109" s="26"/>
      <c r="C1109" s="26"/>
      <c r="D1109" s="26"/>
      <c r="E1109" s="27"/>
      <c r="F1109" s="36" t="s">
        <v>34</v>
      </c>
      <c r="G1109" s="36" t="s">
        <v>34</v>
      </c>
      <c r="H1109" s="36" t="s">
        <v>34</v>
      </c>
      <c r="I1109" s="36" t="s">
        <v>77</v>
      </c>
      <c r="J1109" s="36" t="s">
        <v>77</v>
      </c>
      <c r="K1109" s="433"/>
      <c r="L1109" s="293"/>
    </row>
    <row r="1110" spans="1:12">
      <c r="A1110" s="25" t="s">
        <v>88</v>
      </c>
      <c r="B1110" s="26" t="s">
        <v>75</v>
      </c>
      <c r="C1110" s="26"/>
      <c r="D1110" s="26"/>
      <c r="E1110" s="27"/>
      <c r="F1110" s="195">
        <f>SF!F14</f>
        <v>365.08803866482532</v>
      </c>
      <c r="G1110" s="210"/>
      <c r="H1110" s="34"/>
      <c r="I1110" s="195">
        <f>SF!I14</f>
        <v>0</v>
      </c>
      <c r="J1110" s="195">
        <f>SF!J14</f>
        <v>0</v>
      </c>
      <c r="K1110" s="511">
        <v>1.35</v>
      </c>
      <c r="L1110" s="266"/>
    </row>
    <row r="1111" spans="1:12">
      <c r="A1111" s="25" t="s">
        <v>90</v>
      </c>
      <c r="B1111" s="26" t="s">
        <v>249</v>
      </c>
      <c r="C1111" s="26"/>
      <c r="D1111" s="26"/>
      <c r="E1111" s="27"/>
      <c r="F1111" s="195">
        <f>SF!F16</f>
        <v>36.639026644707663</v>
      </c>
      <c r="G1111" s="210"/>
      <c r="H1111" s="34"/>
      <c r="I1111" s="195">
        <f>SF!I16</f>
        <v>0</v>
      </c>
      <c r="J1111" s="195">
        <f>SF!J16</f>
        <v>0</v>
      </c>
      <c r="K1111" s="511">
        <v>1.35</v>
      </c>
      <c r="L1111" s="266"/>
    </row>
    <row r="1112" spans="1:12">
      <c r="A1112" s="25" t="s">
        <v>250</v>
      </c>
      <c r="B1112" s="26" t="s">
        <v>967</v>
      </c>
      <c r="C1112" s="26"/>
      <c r="D1112" s="26"/>
      <c r="E1112" s="27"/>
      <c r="F1112" s="195">
        <f>SF!F19</f>
        <v>230</v>
      </c>
      <c r="G1112" s="27"/>
      <c r="H1112" s="34"/>
      <c r="I1112" s="195">
        <f>SF!I19</f>
        <v>-115</v>
      </c>
      <c r="J1112" s="195">
        <f>SF!J19</f>
        <v>0</v>
      </c>
      <c r="K1112" s="433">
        <v>1.35</v>
      </c>
      <c r="L1112" s="11"/>
    </row>
    <row r="1113" spans="1:12">
      <c r="A1113" s="25" t="s">
        <v>251</v>
      </c>
      <c r="B1113" s="26" t="s">
        <v>968</v>
      </c>
      <c r="C1113" s="26"/>
      <c r="D1113" s="26"/>
      <c r="E1113" s="27"/>
      <c r="F1113" s="195">
        <f>SF!F20</f>
        <v>20.660000000000004</v>
      </c>
      <c r="G1113" s="27"/>
      <c r="H1113" s="34"/>
      <c r="I1113" s="195">
        <f>SF!I20</f>
        <v>-10.330000000000002</v>
      </c>
      <c r="J1113" s="195">
        <f>SF!J20</f>
        <v>0</v>
      </c>
      <c r="K1113" s="433">
        <v>1.35</v>
      </c>
      <c r="L1113" s="11"/>
    </row>
    <row r="1114" spans="1:12">
      <c r="A1114" s="25" t="s">
        <v>97</v>
      </c>
      <c r="B1114" s="26" t="s">
        <v>969</v>
      </c>
      <c r="C1114" s="26"/>
      <c r="D1114" s="26"/>
      <c r="E1114" s="27"/>
      <c r="F1114" s="195">
        <f>SF!F21</f>
        <v>42</v>
      </c>
      <c r="G1114" s="27"/>
      <c r="H1114" s="34"/>
      <c r="I1114" s="195">
        <f>SF!I21</f>
        <v>-14.858499999999999</v>
      </c>
      <c r="J1114" s="195">
        <f>SF!J21</f>
        <v>0</v>
      </c>
      <c r="K1114" s="433">
        <v>1.35</v>
      </c>
      <c r="L1114" s="11"/>
    </row>
    <row r="1115" spans="1:12">
      <c r="A1115" s="25" t="s">
        <v>250</v>
      </c>
      <c r="B1115" s="26" t="s">
        <v>970</v>
      </c>
      <c r="C1115" s="26"/>
      <c r="D1115" s="26"/>
      <c r="E1115" s="27"/>
      <c r="F1115" s="195">
        <f>SF!F23</f>
        <v>230</v>
      </c>
      <c r="G1115" s="27"/>
      <c r="H1115" s="34"/>
      <c r="I1115" s="195">
        <f>SF!I23</f>
        <v>115</v>
      </c>
      <c r="J1115" s="195">
        <f>SF!J23</f>
        <v>0</v>
      </c>
      <c r="K1115" s="433">
        <v>1.35</v>
      </c>
      <c r="L1115" s="11"/>
    </row>
    <row r="1116" spans="1:12">
      <c r="A1116" s="25" t="s">
        <v>251</v>
      </c>
      <c r="B1116" s="26" t="s">
        <v>971</v>
      </c>
      <c r="C1116" s="26"/>
      <c r="D1116" s="26"/>
      <c r="E1116" s="27"/>
      <c r="F1116" s="195">
        <f>SF!F24</f>
        <v>20.660000000000004</v>
      </c>
      <c r="G1116" s="27"/>
      <c r="H1116" s="34"/>
      <c r="I1116" s="195">
        <f>SF!I24</f>
        <v>10.330000000000002</v>
      </c>
      <c r="J1116" s="195">
        <f>SF!J24</f>
        <v>0</v>
      </c>
      <c r="K1116" s="433">
        <v>1.35</v>
      </c>
      <c r="L1116" s="266"/>
    </row>
    <row r="1117" spans="1:12">
      <c r="A1117" s="25" t="s">
        <v>97</v>
      </c>
      <c r="B1117" s="26" t="s">
        <v>972</v>
      </c>
      <c r="C1117" s="26"/>
      <c r="D1117" s="26"/>
      <c r="E1117" s="27"/>
      <c r="F1117" s="195">
        <f>SF!F25</f>
        <v>42</v>
      </c>
      <c r="G1117" s="27"/>
      <c r="H1117" s="34"/>
      <c r="I1117" s="195">
        <f>SF!I25</f>
        <v>14.858499999999999</v>
      </c>
      <c r="J1117" s="195">
        <f>SF!J25</f>
        <v>0</v>
      </c>
      <c r="K1117" s="511">
        <v>1.75</v>
      </c>
      <c r="L1117" s="11"/>
    </row>
    <row r="1118" spans="1:12">
      <c r="A1118" s="25" t="s">
        <v>986</v>
      </c>
      <c r="B1118" s="163" t="s">
        <v>955</v>
      </c>
      <c r="C1118" s="26"/>
      <c r="D1118" s="26"/>
      <c r="E1118" s="27"/>
      <c r="F1118" s="34"/>
      <c r="G1118" s="195">
        <f>SF!G40</f>
        <v>5.8532000000000011</v>
      </c>
      <c r="H1118" s="34"/>
      <c r="I1118" s="195">
        <f>SF!I40</f>
        <v>48.464496000000018</v>
      </c>
      <c r="J1118" s="34"/>
      <c r="K1118" s="433">
        <v>1.5</v>
      </c>
      <c r="L1118" s="266"/>
    </row>
    <row r="1119" spans="1:12">
      <c r="A1119" s="686" t="s">
        <v>1128</v>
      </c>
      <c r="B1119" s="687"/>
      <c r="C1119" s="688"/>
      <c r="D1119" s="688"/>
      <c r="E1119" s="689"/>
      <c r="F1119" s="696">
        <f>SF!F43</f>
        <v>-103.56143333397094</v>
      </c>
      <c r="G1119" s="689"/>
      <c r="H1119" s="690"/>
      <c r="I1119" s="690"/>
      <c r="J1119" s="690"/>
      <c r="K1119" s="433">
        <v>0.15</v>
      </c>
      <c r="L1119" s="266"/>
    </row>
    <row r="1120" spans="1:12">
      <c r="A1120" s="686" t="s">
        <v>1131</v>
      </c>
      <c r="B1120" s="687"/>
      <c r="C1120" s="688"/>
      <c r="D1120" s="688"/>
      <c r="E1120" s="689"/>
      <c r="F1120" s="690"/>
      <c r="G1120" s="696">
        <f>SF!G47</f>
        <v>3.2856246869242693</v>
      </c>
      <c r="H1120" s="696">
        <f>SF!H47</f>
        <v>3.5397182492142409</v>
      </c>
      <c r="I1120" s="696">
        <f>SF!I47</f>
        <v>7.0628515103002814</v>
      </c>
      <c r="J1120" s="696">
        <f>SF!J47</f>
        <v>5.3297614737052639</v>
      </c>
      <c r="K1120" s="433">
        <v>1</v>
      </c>
      <c r="L1120" s="266"/>
    </row>
    <row r="1121" spans="1:12">
      <c r="A1121" s="278" t="s">
        <v>200</v>
      </c>
      <c r="B1121" s="262"/>
      <c r="C1121" s="262"/>
      <c r="D1121" s="262"/>
      <c r="E1121" s="263"/>
      <c r="F1121" s="279"/>
      <c r="G1121" s="280"/>
      <c r="H1121" s="264"/>
      <c r="I1121" s="279"/>
      <c r="J1121" s="264"/>
      <c r="K1121" s="1581">
        <v>0.44999999999999996</v>
      </c>
      <c r="L1121" s="266"/>
    </row>
    <row r="1122" spans="1:12">
      <c r="A1122" s="25" t="s">
        <v>991</v>
      </c>
      <c r="B1122" s="26" t="s">
        <v>989</v>
      </c>
      <c r="C1122" s="26"/>
      <c r="D1122" s="26"/>
      <c r="E1122" s="27"/>
      <c r="F1122" s="197"/>
      <c r="G1122" s="172">
        <f>SF!G52</f>
        <v>94.821839999999995</v>
      </c>
      <c r="H1122" s="34"/>
      <c r="I1122" s="172">
        <f>SF!I52</f>
        <v>785.12483520000001</v>
      </c>
      <c r="J1122" s="89"/>
      <c r="K1122" s="511">
        <v>0.44999999999999996</v>
      </c>
      <c r="L1122" s="266"/>
    </row>
    <row r="1123" spans="1:12">
      <c r="A1123" s="25" t="s">
        <v>217</v>
      </c>
      <c r="B1123" s="26" t="s">
        <v>211</v>
      </c>
      <c r="C1123" s="26"/>
      <c r="D1123" s="26"/>
      <c r="E1123" s="27"/>
      <c r="F1123" s="197"/>
      <c r="G1123" s="196">
        <f>SF!G58</f>
        <v>26.798532263701709</v>
      </c>
      <c r="H1123" s="199"/>
      <c r="I1123" s="172">
        <f>SF!I58</f>
        <v>147.28381289471153</v>
      </c>
      <c r="J1123" s="195"/>
      <c r="K1123" s="433">
        <v>0.44999999999999996</v>
      </c>
      <c r="L1123" s="266"/>
    </row>
    <row r="1124" spans="1:12">
      <c r="A1124" s="686" t="s">
        <v>1472</v>
      </c>
      <c r="B1124" s="688" t="s">
        <v>1045</v>
      </c>
      <c r="C1124" s="688"/>
      <c r="D1124" s="688"/>
      <c r="E1124" s="689"/>
      <c r="F1124" s="620"/>
      <c r="G1124" s="695">
        <f>SF!G61</f>
        <v>32.345729999999996</v>
      </c>
      <c r="H1124" s="690"/>
      <c r="I1124" s="695">
        <f>SF!I61</f>
        <v>29.111156999999999</v>
      </c>
      <c r="J1124" s="269"/>
      <c r="K1124" s="433">
        <v>0.44999999999999996</v>
      </c>
      <c r="L1124" s="266"/>
    </row>
    <row r="1125" spans="1:12">
      <c r="A1125" s="686" t="s">
        <v>1139</v>
      </c>
      <c r="B1125" s="688" t="s">
        <v>1140</v>
      </c>
      <c r="C1125" s="688"/>
      <c r="D1125" s="688"/>
      <c r="E1125" s="689"/>
      <c r="F1125" s="620"/>
      <c r="G1125" s="695">
        <f>SF!G63</f>
        <v>19.373390077688924</v>
      </c>
      <c r="H1125" s="690"/>
      <c r="I1125" s="695">
        <f>SF!I63</f>
        <v>37.512792074379419</v>
      </c>
      <c r="J1125" s="269"/>
      <c r="K1125" s="433">
        <v>0.3</v>
      </c>
      <c r="L1125" s="266"/>
    </row>
    <row r="1126" spans="1:12">
      <c r="A1126" s="278" t="s">
        <v>1817</v>
      </c>
      <c r="B1126" s="262"/>
      <c r="C1126" s="262"/>
      <c r="D1126" s="262"/>
      <c r="E1126" s="263"/>
      <c r="F1126" s="279"/>
      <c r="G1126" s="280"/>
      <c r="H1126" s="264"/>
      <c r="I1126" s="279"/>
      <c r="J1126" s="264"/>
      <c r="K1126" s="1582">
        <v>1.5</v>
      </c>
      <c r="L1126" s="266"/>
    </row>
    <row r="1127" spans="1:12">
      <c r="A1127" s="25" t="s">
        <v>997</v>
      </c>
      <c r="B1127" s="26" t="s">
        <v>988</v>
      </c>
      <c r="C1127" s="26"/>
      <c r="D1127" s="26"/>
      <c r="E1127" s="27"/>
      <c r="F1127" s="197"/>
      <c r="G1127" s="211"/>
      <c r="H1127" s="172">
        <f>SF!H67</f>
        <v>47.410919999999997</v>
      </c>
      <c r="I1127" s="197"/>
      <c r="J1127" s="172">
        <f>SF!J67</f>
        <v>433.10062959257624</v>
      </c>
      <c r="K1127" s="511">
        <v>1.5</v>
      </c>
      <c r="L1127" s="266"/>
    </row>
    <row r="1128" spans="1:12">
      <c r="A1128" s="25" t="s">
        <v>998</v>
      </c>
      <c r="B1128" s="26" t="s">
        <v>989</v>
      </c>
      <c r="C1128" s="26"/>
      <c r="D1128" s="26"/>
      <c r="E1128" s="27"/>
      <c r="F1128" s="197"/>
      <c r="G1128" s="211"/>
      <c r="H1128" s="172">
        <f>SF!H68</f>
        <v>47.410919999999997</v>
      </c>
      <c r="I1128" s="197"/>
      <c r="J1128" s="172">
        <f>SF!J68</f>
        <v>433.10062959257624</v>
      </c>
      <c r="K1128" s="433">
        <v>1.5</v>
      </c>
      <c r="L1128" s="266"/>
    </row>
    <row r="1129" spans="1:12">
      <c r="A1129" s="25" t="s">
        <v>1006</v>
      </c>
      <c r="B1129" s="26" t="s">
        <v>211</v>
      </c>
      <c r="C1129" s="26"/>
      <c r="D1129" s="26"/>
      <c r="E1129" s="27"/>
      <c r="F1129" s="197"/>
      <c r="G1129" s="195"/>
      <c r="H1129" s="172">
        <f>SF!H78</f>
        <v>26.798532263701709</v>
      </c>
      <c r="I1129" s="195"/>
      <c r="J1129" s="172">
        <f>SF!J78</f>
        <v>147.28381289471153</v>
      </c>
      <c r="K1129" s="433">
        <v>1.5</v>
      </c>
      <c r="L1129" s="266"/>
    </row>
    <row r="1130" spans="1:12">
      <c r="A1130" s="686" t="s">
        <v>1138</v>
      </c>
      <c r="B1130" s="688" t="s">
        <v>1045</v>
      </c>
      <c r="C1130" s="688"/>
      <c r="D1130" s="688"/>
      <c r="E1130" s="689"/>
      <c r="F1130" s="620"/>
      <c r="G1130" s="711"/>
      <c r="H1130" s="989">
        <f>SF!H81</f>
        <v>32.345729999999996</v>
      </c>
      <c r="I1130" s="696"/>
      <c r="J1130" s="989">
        <f>SF!J81</f>
        <v>29.111156999999999</v>
      </c>
      <c r="K1130" s="433">
        <v>1.5</v>
      </c>
      <c r="L1130" s="266"/>
    </row>
    <row r="1131" spans="1:12">
      <c r="A1131" s="686" t="s">
        <v>1138</v>
      </c>
      <c r="B1131" s="688" t="s">
        <v>1141</v>
      </c>
      <c r="C1131" s="26"/>
      <c r="D1131" s="26"/>
      <c r="E1131" s="27"/>
      <c r="F1131" s="34"/>
      <c r="G1131" s="27"/>
      <c r="H1131" s="989">
        <f>SF!H83</f>
        <v>19.373390077688924</v>
      </c>
      <c r="I1131" s="696"/>
      <c r="J1131" s="989">
        <f>SF!J83</f>
        <v>37.512792074379419</v>
      </c>
      <c r="K1131" s="433">
        <v>1</v>
      </c>
      <c r="L1131" s="266"/>
    </row>
    <row r="1132" spans="1:12">
      <c r="A1132" s="990" t="s">
        <v>204</v>
      </c>
      <c r="B1132" s="661"/>
      <c r="C1132" s="661"/>
      <c r="D1132" s="661"/>
      <c r="E1132" s="584"/>
      <c r="F1132" s="991"/>
      <c r="G1132" s="992"/>
      <c r="H1132" s="370"/>
      <c r="I1132" s="991"/>
      <c r="J1132" s="370"/>
      <c r="K1132" s="1583">
        <v>0.44999999999999996</v>
      </c>
      <c r="L1132" s="266"/>
    </row>
    <row r="1133" spans="1:12">
      <c r="A1133" s="25" t="s">
        <v>1007</v>
      </c>
      <c r="B1133" s="26" t="s">
        <v>988</v>
      </c>
      <c r="C1133" s="26"/>
      <c r="D1133" s="26"/>
      <c r="E1133" s="27"/>
      <c r="F1133" s="196">
        <f>SF!F87</f>
        <v>31.607279999999999</v>
      </c>
      <c r="G1133" s="211"/>
      <c r="H1133" s="34"/>
      <c r="I1133" s="196">
        <f>SF!I87</f>
        <v>-15.140358000000003</v>
      </c>
      <c r="J1133" s="196">
        <f>SF!J87</f>
        <v>0</v>
      </c>
      <c r="K1133" s="433">
        <v>-0.44999999999999996</v>
      </c>
      <c r="L1133" s="266"/>
    </row>
    <row r="1134" spans="1:12">
      <c r="A1134" s="25" t="s">
        <v>1008</v>
      </c>
      <c r="B1134" s="26" t="s">
        <v>989</v>
      </c>
      <c r="C1134" s="26"/>
      <c r="D1134" s="26"/>
      <c r="E1134" s="27"/>
      <c r="F1134" s="196">
        <f>SF!F88</f>
        <v>31.607279999999999</v>
      </c>
      <c r="G1134" s="211"/>
      <c r="H1134" s="34"/>
      <c r="I1134" s="196">
        <f>SF!I88</f>
        <v>15.140358000000003</v>
      </c>
      <c r="J1134" s="196">
        <f>SF!J88</f>
        <v>0</v>
      </c>
      <c r="K1134" s="511">
        <v>-0.44999999999999996</v>
      </c>
      <c r="L1134" s="266"/>
    </row>
    <row r="1135" spans="1:12">
      <c r="A1135" s="25" t="s">
        <v>1011</v>
      </c>
      <c r="B1135" s="26" t="s">
        <v>211</v>
      </c>
      <c r="C1135" s="26"/>
      <c r="D1135" s="26"/>
      <c r="E1135" s="27"/>
      <c r="F1135" s="196">
        <f>SF!F98</f>
        <v>17.865688175801139</v>
      </c>
      <c r="G1135" s="211"/>
      <c r="H1135" s="197"/>
      <c r="I1135" s="196">
        <f>SF!I98</f>
        <v>0</v>
      </c>
      <c r="J1135" s="196">
        <f>SF!J98</f>
        <v>0</v>
      </c>
      <c r="K1135" s="511">
        <v>-0.44999999999999996</v>
      </c>
      <c r="L1135" s="266"/>
    </row>
    <row r="1136" spans="1:12">
      <c r="A1136" s="686" t="s">
        <v>1473</v>
      </c>
      <c r="B1136" s="688" t="s">
        <v>1045</v>
      </c>
      <c r="C1136" s="688"/>
      <c r="D1136" s="688"/>
      <c r="E1136" s="689"/>
      <c r="F1136" s="695">
        <f>SF!F101</f>
        <v>21.56382</v>
      </c>
      <c r="G1136" s="621"/>
      <c r="H1136" s="620"/>
      <c r="I1136" s="695">
        <f>SF!I101</f>
        <v>0</v>
      </c>
      <c r="J1136" s="695">
        <f>SF!J101</f>
        <v>0</v>
      </c>
      <c r="K1136" s="511">
        <v>-0.44999999999999996</v>
      </c>
      <c r="L1136" s="266"/>
    </row>
    <row r="1137" spans="1:12">
      <c r="A1137" s="253"/>
      <c r="B1137" s="15"/>
      <c r="C1137" s="15"/>
      <c r="D1137" s="15"/>
      <c r="E1137" s="22"/>
      <c r="F1137" s="212"/>
      <c r="G1137" s="213"/>
      <c r="H1137" s="198"/>
      <c r="I1137" s="198"/>
      <c r="J1137" s="58"/>
      <c r="K1137" s="208"/>
      <c r="L1137" s="293"/>
    </row>
    <row r="1138" spans="1:12">
      <c r="A1138" s="46"/>
      <c r="B1138" s="46"/>
      <c r="C1138" s="46"/>
      <c r="D1138" s="46"/>
      <c r="E1138" s="46"/>
      <c r="F1138" s="46"/>
      <c r="G1138" s="46"/>
      <c r="H1138" s="46"/>
      <c r="I1138" s="46"/>
      <c r="J1138" s="46"/>
      <c r="K1138" s="87"/>
      <c r="L1138" s="293"/>
    </row>
    <row r="1139" spans="1:12">
      <c r="A1139" s="220" t="s">
        <v>73</v>
      </c>
      <c r="B1139" s="220" t="s">
        <v>74</v>
      </c>
      <c r="C1139" s="200"/>
      <c r="D1139" s="200"/>
      <c r="E1139" s="217"/>
      <c r="F1139" s="1636" t="s">
        <v>72</v>
      </c>
      <c r="G1139" s="1637"/>
      <c r="H1139" s="1637"/>
      <c r="I1139" s="1637"/>
      <c r="J1139" s="1638"/>
      <c r="K1139" s="87"/>
      <c r="L1139" s="293"/>
    </row>
    <row r="1140" spans="1:12" ht="18">
      <c r="A1140" s="221"/>
      <c r="B1140" s="221"/>
      <c r="C1140" s="201"/>
      <c r="D1140" s="201"/>
      <c r="E1140" s="219"/>
      <c r="F1140" s="223" t="s">
        <v>23</v>
      </c>
      <c r="G1140" s="223" t="s">
        <v>87</v>
      </c>
      <c r="H1140" s="223" t="s">
        <v>212</v>
      </c>
      <c r="I1140" s="223" t="s">
        <v>80</v>
      </c>
      <c r="J1140" s="223" t="s">
        <v>81</v>
      </c>
      <c r="K1140" s="87"/>
      <c r="L1140" s="293"/>
    </row>
    <row r="1141" spans="1:12">
      <c r="A1141" s="222"/>
      <c r="B1141" s="222"/>
      <c r="C1141" s="203"/>
      <c r="D1141" s="203"/>
      <c r="E1141" s="218"/>
      <c r="F1141" s="204" t="s">
        <v>34</v>
      </c>
      <c r="G1141" s="204" t="s">
        <v>34</v>
      </c>
      <c r="H1141" s="203" t="s">
        <v>34</v>
      </c>
      <c r="I1141" s="204" t="s">
        <v>77</v>
      </c>
      <c r="J1141" s="204" t="s">
        <v>77</v>
      </c>
      <c r="K1141" s="87"/>
      <c r="L1141" s="293"/>
    </row>
    <row r="1142" spans="1:12">
      <c r="A1142" s="202"/>
      <c r="B1142" s="200"/>
      <c r="C1142" s="200"/>
      <c r="D1142" s="200"/>
      <c r="E1142" s="217"/>
      <c r="F1142" s="205"/>
      <c r="G1142" s="205"/>
      <c r="H1142" s="201"/>
      <c r="I1142" s="205"/>
      <c r="J1142" s="205"/>
      <c r="K1142" s="87"/>
      <c r="L1142" s="293"/>
    </row>
    <row r="1143" spans="1:12">
      <c r="A1143" s="205" t="str">
        <f>A1107</f>
        <v>LC-38</v>
      </c>
      <c r="B1143" s="201" t="str">
        <f>B1107</f>
        <v>LC-22 + Seismic Sx=0.3,Sz=1,Sy=-0.3</v>
      </c>
      <c r="C1143" s="201"/>
      <c r="D1143" s="201"/>
      <c r="E1143" s="219"/>
      <c r="F1143" s="205">
        <f>SUMPRODUCT(F1110:F1136,$K$1110:$K$1136)</f>
        <v>1287.5894924886636</v>
      </c>
      <c r="G1143" s="219">
        <f>SUMPRODUCT(G1110:G1136,$K$1110:$K$1136)</f>
        <v>87.162187728896711</v>
      </c>
      <c r="H1143" s="219">
        <f>SUMPRODUCT(H1110:H1136,$K$1110:$K$1136)</f>
        <v>253.86226172245571</v>
      </c>
      <c r="I1143" s="219">
        <f>SUMPRODUCT(I1110:I1136,$K$1110:$K$1136)</f>
        <v>529.6407454252344</v>
      </c>
      <c r="J1143" s="219">
        <f>SUMPRODUCT(J1110:J1136,$K$1110:$K$1136)</f>
        <v>1606.7368971678807</v>
      </c>
      <c r="K1143" s="87"/>
      <c r="L1143" s="293"/>
    </row>
    <row r="1144" spans="1:12">
      <c r="A1144" s="204"/>
      <c r="B1144" s="203"/>
      <c r="C1144" s="203"/>
      <c r="D1144" s="203"/>
      <c r="E1144" s="218"/>
      <c r="F1144" s="204"/>
      <c r="G1144" s="204"/>
      <c r="H1144" s="203"/>
      <c r="I1144" s="204"/>
      <c r="J1144" s="204"/>
      <c r="K1144" s="87"/>
      <c r="L1144" s="293"/>
    </row>
    <row r="1147" spans="1:12">
      <c r="A1147" s="811" t="str">
        <f>K1147</f>
        <v>LC-39</v>
      </c>
      <c r="B1147" s="31" t="str">
        <f>VLOOKUP(A1147,LC_DEF_2!A45:B92,2,FALSE)</f>
        <v>LC-22 + Seismic Sx=1,Sz=0.3,Sy=0.3</v>
      </c>
      <c r="C1147" s="31"/>
      <c r="D1147" s="31"/>
      <c r="E1147" s="32"/>
      <c r="F1147" s="1599" t="s">
        <v>742</v>
      </c>
      <c r="G1147" s="1635"/>
      <c r="H1147" s="1635"/>
      <c r="I1147" s="1635"/>
      <c r="J1147" s="1600"/>
      <c r="K1147" s="1580" t="s">
        <v>1176</v>
      </c>
      <c r="L1147" s="293"/>
    </row>
    <row r="1148" spans="1:12" ht="18">
      <c r="A1148" s="25" t="s">
        <v>73</v>
      </c>
      <c r="B1148" s="26" t="s">
        <v>74</v>
      </c>
      <c r="C1148" s="26"/>
      <c r="D1148" s="26"/>
      <c r="E1148" s="27"/>
      <c r="F1148" s="58" t="s">
        <v>23</v>
      </c>
      <c r="G1148" s="58" t="s">
        <v>87</v>
      </c>
      <c r="H1148" s="58" t="s">
        <v>212</v>
      </c>
      <c r="I1148" s="58" t="s">
        <v>80</v>
      </c>
      <c r="J1148" s="58" t="s">
        <v>81</v>
      </c>
      <c r="K1148" s="433"/>
      <c r="L1148" s="293"/>
    </row>
    <row r="1149" spans="1:12">
      <c r="A1149" s="25"/>
      <c r="B1149" s="26"/>
      <c r="C1149" s="26"/>
      <c r="D1149" s="26"/>
      <c r="E1149" s="27"/>
      <c r="F1149" s="36" t="s">
        <v>34</v>
      </c>
      <c r="G1149" s="36" t="s">
        <v>34</v>
      </c>
      <c r="H1149" s="36" t="s">
        <v>34</v>
      </c>
      <c r="I1149" s="36" t="s">
        <v>77</v>
      </c>
      <c r="J1149" s="36" t="s">
        <v>77</v>
      </c>
      <c r="K1149" s="433"/>
      <c r="L1149" s="293"/>
    </row>
    <row r="1150" spans="1:12">
      <c r="A1150" s="25" t="s">
        <v>88</v>
      </c>
      <c r="B1150" s="26" t="s">
        <v>75</v>
      </c>
      <c r="C1150" s="26"/>
      <c r="D1150" s="26"/>
      <c r="E1150" s="27"/>
      <c r="F1150" s="195">
        <f>SF!F14</f>
        <v>365.08803866482532</v>
      </c>
      <c r="G1150" s="210"/>
      <c r="H1150" s="34"/>
      <c r="I1150" s="195">
        <f>SF!I14</f>
        <v>0</v>
      </c>
      <c r="J1150" s="195">
        <f>SF!J14</f>
        <v>0</v>
      </c>
      <c r="K1150" s="511">
        <v>1.35</v>
      </c>
      <c r="L1150" s="266"/>
    </row>
    <row r="1151" spans="1:12">
      <c r="A1151" s="25" t="s">
        <v>90</v>
      </c>
      <c r="B1151" s="26" t="s">
        <v>249</v>
      </c>
      <c r="C1151" s="26"/>
      <c r="D1151" s="26"/>
      <c r="E1151" s="27"/>
      <c r="F1151" s="195">
        <f>SF!F16</f>
        <v>36.639026644707663</v>
      </c>
      <c r="G1151" s="210"/>
      <c r="H1151" s="34"/>
      <c r="I1151" s="195">
        <f>SF!I16</f>
        <v>0</v>
      </c>
      <c r="J1151" s="195">
        <f>SF!J16</f>
        <v>0</v>
      </c>
      <c r="K1151" s="511">
        <v>1.35</v>
      </c>
      <c r="L1151" s="266"/>
    </row>
    <row r="1152" spans="1:12">
      <c r="A1152" s="25" t="s">
        <v>250</v>
      </c>
      <c r="B1152" s="26" t="s">
        <v>967</v>
      </c>
      <c r="C1152" s="26"/>
      <c r="D1152" s="26"/>
      <c r="E1152" s="27"/>
      <c r="F1152" s="195">
        <f>SF!F19</f>
        <v>230</v>
      </c>
      <c r="G1152" s="27"/>
      <c r="H1152" s="34"/>
      <c r="I1152" s="195">
        <f>SF!I19</f>
        <v>-115</v>
      </c>
      <c r="J1152" s="195">
        <f>SF!J19</f>
        <v>0</v>
      </c>
      <c r="K1152" s="433">
        <v>1.35</v>
      </c>
      <c r="L1152" s="11"/>
    </row>
    <row r="1153" spans="1:12">
      <c r="A1153" s="25" t="s">
        <v>251</v>
      </c>
      <c r="B1153" s="26" t="s">
        <v>968</v>
      </c>
      <c r="C1153" s="26"/>
      <c r="D1153" s="26"/>
      <c r="E1153" s="27"/>
      <c r="F1153" s="195">
        <f>SF!F20</f>
        <v>20.660000000000004</v>
      </c>
      <c r="G1153" s="27"/>
      <c r="H1153" s="34"/>
      <c r="I1153" s="195">
        <f>SF!I20</f>
        <v>-10.330000000000002</v>
      </c>
      <c r="J1153" s="195">
        <f>SF!J20</f>
        <v>0</v>
      </c>
      <c r="K1153" s="433">
        <v>1.35</v>
      </c>
      <c r="L1153" s="11"/>
    </row>
    <row r="1154" spans="1:12">
      <c r="A1154" s="25" t="s">
        <v>97</v>
      </c>
      <c r="B1154" s="26" t="s">
        <v>969</v>
      </c>
      <c r="C1154" s="26"/>
      <c r="D1154" s="26"/>
      <c r="E1154" s="27"/>
      <c r="F1154" s="195">
        <f>SF!F21</f>
        <v>42</v>
      </c>
      <c r="G1154" s="27"/>
      <c r="H1154" s="34"/>
      <c r="I1154" s="195">
        <f>SF!I21</f>
        <v>-14.858499999999999</v>
      </c>
      <c r="J1154" s="195">
        <f>SF!J21</f>
        <v>0</v>
      </c>
      <c r="K1154" s="433">
        <v>1.35</v>
      </c>
      <c r="L1154" s="11"/>
    </row>
    <row r="1155" spans="1:12">
      <c r="A1155" s="25" t="s">
        <v>250</v>
      </c>
      <c r="B1155" s="26" t="s">
        <v>970</v>
      </c>
      <c r="C1155" s="26"/>
      <c r="D1155" s="26"/>
      <c r="E1155" s="27"/>
      <c r="F1155" s="195">
        <f>SF!F23</f>
        <v>230</v>
      </c>
      <c r="G1155" s="27"/>
      <c r="H1155" s="34"/>
      <c r="I1155" s="195">
        <f>SF!I23</f>
        <v>115</v>
      </c>
      <c r="J1155" s="195">
        <f>SF!J23</f>
        <v>0</v>
      </c>
      <c r="K1155" s="433">
        <v>1.35</v>
      </c>
      <c r="L1155" s="11"/>
    </row>
    <row r="1156" spans="1:12">
      <c r="A1156" s="25" t="s">
        <v>251</v>
      </c>
      <c r="B1156" s="26" t="s">
        <v>971</v>
      </c>
      <c r="C1156" s="26"/>
      <c r="D1156" s="26"/>
      <c r="E1156" s="27"/>
      <c r="F1156" s="195">
        <f>SF!F24</f>
        <v>20.660000000000004</v>
      </c>
      <c r="G1156" s="27"/>
      <c r="H1156" s="34"/>
      <c r="I1156" s="195">
        <f>SF!I24</f>
        <v>10.330000000000002</v>
      </c>
      <c r="J1156" s="195">
        <f>SF!J24</f>
        <v>0</v>
      </c>
      <c r="K1156" s="433">
        <v>1.35</v>
      </c>
      <c r="L1156" s="266"/>
    </row>
    <row r="1157" spans="1:12">
      <c r="A1157" s="25" t="s">
        <v>97</v>
      </c>
      <c r="B1157" s="26" t="s">
        <v>972</v>
      </c>
      <c r="C1157" s="26"/>
      <c r="D1157" s="26"/>
      <c r="E1157" s="27"/>
      <c r="F1157" s="195">
        <f>SF!F25</f>
        <v>42</v>
      </c>
      <c r="G1157" s="27"/>
      <c r="H1157" s="34"/>
      <c r="I1157" s="195">
        <f>SF!I25</f>
        <v>14.858499999999999</v>
      </c>
      <c r="J1157" s="195">
        <f>SF!J25</f>
        <v>0</v>
      </c>
      <c r="K1157" s="511">
        <v>1.75</v>
      </c>
      <c r="L1157" s="11"/>
    </row>
    <row r="1158" spans="1:12">
      <c r="A1158" s="25" t="s">
        <v>986</v>
      </c>
      <c r="B1158" s="163" t="s">
        <v>955</v>
      </c>
      <c r="C1158" s="26"/>
      <c r="D1158" s="26"/>
      <c r="E1158" s="27"/>
      <c r="F1158" s="34"/>
      <c r="G1158" s="195">
        <f>SF!G40</f>
        <v>5.8532000000000011</v>
      </c>
      <c r="H1158" s="34"/>
      <c r="I1158" s="195">
        <f>SF!I40</f>
        <v>48.464496000000018</v>
      </c>
      <c r="J1158" s="34"/>
      <c r="K1158" s="433">
        <v>1.5</v>
      </c>
      <c r="L1158" s="266"/>
    </row>
    <row r="1159" spans="1:12">
      <c r="A1159" s="686" t="s">
        <v>1128</v>
      </c>
      <c r="B1159" s="687"/>
      <c r="C1159" s="688"/>
      <c r="D1159" s="688"/>
      <c r="E1159" s="689"/>
      <c r="F1159" s="696">
        <f>SF!F43</f>
        <v>-103.56143333397094</v>
      </c>
      <c r="G1159" s="689"/>
      <c r="H1159" s="690"/>
      <c r="I1159" s="690"/>
      <c r="J1159" s="690"/>
      <c r="K1159" s="433">
        <v>0.15</v>
      </c>
      <c r="L1159" s="266"/>
    </row>
    <row r="1160" spans="1:12">
      <c r="A1160" s="686" t="s">
        <v>1131</v>
      </c>
      <c r="B1160" s="687"/>
      <c r="C1160" s="688"/>
      <c r="D1160" s="688"/>
      <c r="E1160" s="689"/>
      <c r="F1160" s="690"/>
      <c r="G1160" s="696">
        <f>SF!G47</f>
        <v>3.2856246869242693</v>
      </c>
      <c r="H1160" s="696">
        <f>SF!H47</f>
        <v>3.5397182492142409</v>
      </c>
      <c r="I1160" s="696">
        <f>SF!I47</f>
        <v>7.0628515103002814</v>
      </c>
      <c r="J1160" s="696">
        <f>SF!J47</f>
        <v>5.3297614737052639</v>
      </c>
      <c r="K1160" s="433">
        <v>1</v>
      </c>
      <c r="L1160" s="266"/>
    </row>
    <row r="1161" spans="1:12">
      <c r="A1161" s="278" t="s">
        <v>200</v>
      </c>
      <c r="B1161" s="262"/>
      <c r="C1161" s="262"/>
      <c r="D1161" s="262"/>
      <c r="E1161" s="263"/>
      <c r="F1161" s="279"/>
      <c r="G1161" s="280"/>
      <c r="H1161" s="264"/>
      <c r="I1161" s="279"/>
      <c r="J1161" s="264"/>
      <c r="K1161" s="1581">
        <v>1.5</v>
      </c>
      <c r="L1161" s="266"/>
    </row>
    <row r="1162" spans="1:12">
      <c r="A1162" s="25" t="s">
        <v>991</v>
      </c>
      <c r="B1162" s="26" t="s">
        <v>989</v>
      </c>
      <c r="C1162" s="26"/>
      <c r="D1162" s="26"/>
      <c r="E1162" s="27"/>
      <c r="F1162" s="197"/>
      <c r="G1162" s="172">
        <f>SF!G52</f>
        <v>94.821839999999995</v>
      </c>
      <c r="H1162" s="34"/>
      <c r="I1162" s="172">
        <f>SF!I52</f>
        <v>785.12483520000001</v>
      </c>
      <c r="J1162" s="89"/>
      <c r="K1162" s="511">
        <v>1.5</v>
      </c>
      <c r="L1162" s="266"/>
    </row>
    <row r="1163" spans="1:12">
      <c r="A1163" s="25" t="s">
        <v>217</v>
      </c>
      <c r="B1163" s="26" t="s">
        <v>211</v>
      </c>
      <c r="C1163" s="26"/>
      <c r="D1163" s="26"/>
      <c r="E1163" s="27"/>
      <c r="F1163" s="197"/>
      <c r="G1163" s="196">
        <f>SF!G58</f>
        <v>26.798532263701709</v>
      </c>
      <c r="H1163" s="199"/>
      <c r="I1163" s="172">
        <f>SF!I58</f>
        <v>147.28381289471153</v>
      </c>
      <c r="J1163" s="195"/>
      <c r="K1163" s="433">
        <v>1.5</v>
      </c>
      <c r="L1163" s="266"/>
    </row>
    <row r="1164" spans="1:12">
      <c r="A1164" s="686" t="s">
        <v>1472</v>
      </c>
      <c r="B1164" s="688" t="s">
        <v>1045</v>
      </c>
      <c r="C1164" s="688"/>
      <c r="D1164" s="688"/>
      <c r="E1164" s="689"/>
      <c r="F1164" s="620"/>
      <c r="G1164" s="695">
        <f>SF!G61</f>
        <v>32.345729999999996</v>
      </c>
      <c r="H1164" s="690"/>
      <c r="I1164" s="695">
        <f>SF!I61</f>
        <v>29.111156999999999</v>
      </c>
      <c r="J1164" s="269"/>
      <c r="K1164" s="433">
        <v>1.5</v>
      </c>
      <c r="L1164" s="266"/>
    </row>
    <row r="1165" spans="1:12">
      <c r="A1165" s="686" t="s">
        <v>1139</v>
      </c>
      <c r="B1165" s="688" t="s">
        <v>1140</v>
      </c>
      <c r="C1165" s="688"/>
      <c r="D1165" s="688"/>
      <c r="E1165" s="689"/>
      <c r="F1165" s="620"/>
      <c r="G1165" s="695">
        <f>SF!G63</f>
        <v>19.373390077688924</v>
      </c>
      <c r="H1165" s="690"/>
      <c r="I1165" s="695">
        <f>SF!I63</f>
        <v>37.512792074379419</v>
      </c>
      <c r="J1165" s="269"/>
      <c r="K1165" s="433">
        <v>1</v>
      </c>
      <c r="L1165" s="266"/>
    </row>
    <row r="1166" spans="1:12">
      <c r="A1166" s="278" t="s">
        <v>1817</v>
      </c>
      <c r="B1166" s="262"/>
      <c r="C1166" s="262"/>
      <c r="D1166" s="262"/>
      <c r="E1166" s="263"/>
      <c r="F1166" s="279"/>
      <c r="G1166" s="280"/>
      <c r="H1166" s="264"/>
      <c r="I1166" s="279"/>
      <c r="J1166" s="264"/>
      <c r="K1166" s="1582">
        <v>0.44999999999999996</v>
      </c>
      <c r="L1166" s="266"/>
    </row>
    <row r="1167" spans="1:12">
      <c r="A1167" s="25" t="s">
        <v>997</v>
      </c>
      <c r="B1167" s="26" t="s">
        <v>988</v>
      </c>
      <c r="C1167" s="26"/>
      <c r="D1167" s="26"/>
      <c r="E1167" s="27"/>
      <c r="F1167" s="197"/>
      <c r="G1167" s="211"/>
      <c r="H1167" s="172">
        <f>SF!H67</f>
        <v>47.410919999999997</v>
      </c>
      <c r="I1167" s="197"/>
      <c r="J1167" s="172">
        <f>SF!J67</f>
        <v>433.10062959257624</v>
      </c>
      <c r="K1167" s="511">
        <v>0.44999999999999996</v>
      </c>
      <c r="L1167" s="266"/>
    </row>
    <row r="1168" spans="1:12">
      <c r="A1168" s="25" t="s">
        <v>998</v>
      </c>
      <c r="B1168" s="26" t="s">
        <v>989</v>
      </c>
      <c r="C1168" s="26"/>
      <c r="D1168" s="26"/>
      <c r="E1168" s="27"/>
      <c r="F1168" s="197"/>
      <c r="G1168" s="211"/>
      <c r="H1168" s="172">
        <f>SF!H68</f>
        <v>47.410919999999997</v>
      </c>
      <c r="I1168" s="197"/>
      <c r="J1168" s="172">
        <f>SF!J68</f>
        <v>433.10062959257624</v>
      </c>
      <c r="K1168" s="433">
        <v>0.44999999999999996</v>
      </c>
      <c r="L1168" s="266"/>
    </row>
    <row r="1169" spans="1:12">
      <c r="A1169" s="25" t="s">
        <v>1006</v>
      </c>
      <c r="B1169" s="26" t="s">
        <v>211</v>
      </c>
      <c r="C1169" s="26"/>
      <c r="D1169" s="26"/>
      <c r="E1169" s="27"/>
      <c r="F1169" s="197"/>
      <c r="G1169" s="195"/>
      <c r="H1169" s="172">
        <f>SF!H78</f>
        <v>26.798532263701709</v>
      </c>
      <c r="I1169" s="195"/>
      <c r="J1169" s="172">
        <f>SF!J78</f>
        <v>147.28381289471153</v>
      </c>
      <c r="K1169" s="433">
        <v>0.44999999999999996</v>
      </c>
      <c r="L1169" s="266"/>
    </row>
    <row r="1170" spans="1:12">
      <c r="A1170" s="686" t="s">
        <v>1138</v>
      </c>
      <c r="B1170" s="688" t="s">
        <v>1045</v>
      </c>
      <c r="C1170" s="688"/>
      <c r="D1170" s="688"/>
      <c r="E1170" s="689"/>
      <c r="F1170" s="620"/>
      <c r="G1170" s="711"/>
      <c r="H1170" s="989">
        <f>SF!H81</f>
        <v>32.345729999999996</v>
      </c>
      <c r="I1170" s="696"/>
      <c r="J1170" s="989">
        <f>SF!J81</f>
        <v>29.111156999999999</v>
      </c>
      <c r="K1170" s="433">
        <v>0.44999999999999996</v>
      </c>
      <c r="L1170" s="266"/>
    </row>
    <row r="1171" spans="1:12">
      <c r="A1171" s="686" t="s">
        <v>1138</v>
      </c>
      <c r="B1171" s="688" t="s">
        <v>1141</v>
      </c>
      <c r="C1171" s="26"/>
      <c r="D1171" s="26"/>
      <c r="E1171" s="27"/>
      <c r="F1171" s="34"/>
      <c r="G1171" s="27"/>
      <c r="H1171" s="989">
        <f>SF!H83</f>
        <v>19.373390077688924</v>
      </c>
      <c r="I1171" s="696"/>
      <c r="J1171" s="989">
        <f>SF!J83</f>
        <v>37.512792074379419</v>
      </c>
      <c r="K1171" s="433">
        <v>0.3</v>
      </c>
      <c r="L1171" s="266"/>
    </row>
    <row r="1172" spans="1:12">
      <c r="A1172" s="990" t="s">
        <v>204</v>
      </c>
      <c r="B1172" s="661"/>
      <c r="C1172" s="661"/>
      <c r="D1172" s="661"/>
      <c r="E1172" s="584"/>
      <c r="F1172" s="991"/>
      <c r="G1172" s="992"/>
      <c r="H1172" s="370"/>
      <c r="I1172" s="991"/>
      <c r="J1172" s="370"/>
      <c r="K1172" s="1583">
        <v>0.44999999999999996</v>
      </c>
      <c r="L1172" s="266"/>
    </row>
    <row r="1173" spans="1:12">
      <c r="A1173" s="25" t="s">
        <v>1007</v>
      </c>
      <c r="B1173" s="26" t="s">
        <v>988</v>
      </c>
      <c r="C1173" s="26"/>
      <c r="D1173" s="26"/>
      <c r="E1173" s="27"/>
      <c r="F1173" s="196">
        <f>SF!F87</f>
        <v>31.607279999999999</v>
      </c>
      <c r="G1173" s="211"/>
      <c r="H1173" s="34"/>
      <c r="I1173" s="196">
        <f>SF!I87</f>
        <v>-15.140358000000003</v>
      </c>
      <c r="J1173" s="196">
        <f>SF!J87</f>
        <v>0</v>
      </c>
      <c r="K1173" s="433">
        <v>0.44999999999999996</v>
      </c>
      <c r="L1173" s="266"/>
    </row>
    <row r="1174" spans="1:12">
      <c r="A1174" s="25" t="s">
        <v>1008</v>
      </c>
      <c r="B1174" s="26" t="s">
        <v>989</v>
      </c>
      <c r="C1174" s="26"/>
      <c r="D1174" s="26"/>
      <c r="E1174" s="27"/>
      <c r="F1174" s="196">
        <f>SF!F88</f>
        <v>31.607279999999999</v>
      </c>
      <c r="G1174" s="211"/>
      <c r="H1174" s="34"/>
      <c r="I1174" s="196">
        <f>SF!I88</f>
        <v>15.140358000000003</v>
      </c>
      <c r="J1174" s="196">
        <f>SF!J88</f>
        <v>0</v>
      </c>
      <c r="K1174" s="511">
        <v>0.44999999999999996</v>
      </c>
      <c r="L1174" s="266"/>
    </row>
    <row r="1175" spans="1:12">
      <c r="A1175" s="25" t="s">
        <v>1011</v>
      </c>
      <c r="B1175" s="26" t="s">
        <v>211</v>
      </c>
      <c r="C1175" s="26"/>
      <c r="D1175" s="26"/>
      <c r="E1175" s="27"/>
      <c r="F1175" s="196">
        <f>SF!F98</f>
        <v>17.865688175801139</v>
      </c>
      <c r="G1175" s="211"/>
      <c r="H1175" s="197"/>
      <c r="I1175" s="196">
        <f>SF!I98</f>
        <v>0</v>
      </c>
      <c r="J1175" s="196">
        <f>SF!J98</f>
        <v>0</v>
      </c>
      <c r="K1175" s="511">
        <v>0.44999999999999996</v>
      </c>
      <c r="L1175" s="266"/>
    </row>
    <row r="1176" spans="1:12">
      <c r="A1176" s="686" t="s">
        <v>1473</v>
      </c>
      <c r="B1176" s="688" t="s">
        <v>1045</v>
      </c>
      <c r="C1176" s="688"/>
      <c r="D1176" s="688"/>
      <c r="E1176" s="689"/>
      <c r="F1176" s="695">
        <f>SF!F101</f>
        <v>21.56382</v>
      </c>
      <c r="G1176" s="621"/>
      <c r="H1176" s="620"/>
      <c r="I1176" s="695">
        <f>SF!I101</f>
        <v>0</v>
      </c>
      <c r="J1176" s="695">
        <f>SF!J101</f>
        <v>0</v>
      </c>
      <c r="K1176" s="511">
        <v>0.44999999999999996</v>
      </c>
      <c r="L1176" s="266"/>
    </row>
    <row r="1177" spans="1:12">
      <c r="A1177" s="253"/>
      <c r="B1177" s="15"/>
      <c r="C1177" s="15"/>
      <c r="D1177" s="15"/>
      <c r="E1177" s="22"/>
      <c r="F1177" s="212"/>
      <c r="G1177" s="213"/>
      <c r="H1177" s="198"/>
      <c r="I1177" s="198"/>
      <c r="J1177" s="58"/>
      <c r="K1177" s="208"/>
      <c r="L1177" s="293"/>
    </row>
    <row r="1178" spans="1:12">
      <c r="A1178" s="46"/>
      <c r="B1178" s="46"/>
      <c r="C1178" s="46"/>
      <c r="D1178" s="46"/>
      <c r="E1178" s="46"/>
      <c r="F1178" s="46"/>
      <c r="G1178" s="46"/>
      <c r="H1178" s="46"/>
      <c r="I1178" s="46"/>
      <c r="J1178" s="46"/>
      <c r="K1178" s="87"/>
      <c r="L1178" s="293"/>
    </row>
    <row r="1179" spans="1:12">
      <c r="A1179" s="220" t="s">
        <v>73</v>
      </c>
      <c r="B1179" s="220" t="s">
        <v>74</v>
      </c>
      <c r="C1179" s="200"/>
      <c r="D1179" s="200"/>
      <c r="E1179" s="217"/>
      <c r="F1179" s="1636" t="s">
        <v>72</v>
      </c>
      <c r="G1179" s="1637"/>
      <c r="H1179" s="1637"/>
      <c r="I1179" s="1637"/>
      <c r="J1179" s="1638"/>
      <c r="K1179" s="87"/>
      <c r="L1179" s="293"/>
    </row>
    <row r="1180" spans="1:12" ht="18">
      <c r="A1180" s="221"/>
      <c r="B1180" s="221"/>
      <c r="C1180" s="201"/>
      <c r="D1180" s="201"/>
      <c r="E1180" s="219"/>
      <c r="F1180" s="223" t="s">
        <v>23</v>
      </c>
      <c r="G1180" s="223" t="s">
        <v>87</v>
      </c>
      <c r="H1180" s="223" t="s">
        <v>212</v>
      </c>
      <c r="I1180" s="223" t="s">
        <v>80</v>
      </c>
      <c r="J1180" s="223" t="s">
        <v>81</v>
      </c>
      <c r="K1180" s="87"/>
      <c r="L1180" s="293"/>
    </row>
    <row r="1181" spans="1:12">
      <c r="A1181" s="222"/>
      <c r="B1181" s="222"/>
      <c r="C1181" s="203"/>
      <c r="D1181" s="203"/>
      <c r="E1181" s="218"/>
      <c r="F1181" s="204" t="s">
        <v>34</v>
      </c>
      <c r="G1181" s="204" t="s">
        <v>34</v>
      </c>
      <c r="H1181" s="203" t="s">
        <v>34</v>
      </c>
      <c r="I1181" s="204" t="s">
        <v>77</v>
      </c>
      <c r="J1181" s="204" t="s">
        <v>77</v>
      </c>
      <c r="K1181" s="87"/>
      <c r="L1181" s="293"/>
    </row>
    <row r="1182" spans="1:12">
      <c r="A1182" s="202"/>
      <c r="B1182" s="200"/>
      <c r="C1182" s="200"/>
      <c r="D1182" s="200"/>
      <c r="E1182" s="217"/>
      <c r="F1182" s="205"/>
      <c r="G1182" s="205"/>
      <c r="H1182" s="201"/>
      <c r="I1182" s="205"/>
      <c r="J1182" s="205"/>
      <c r="K1182" s="87"/>
      <c r="L1182" s="293"/>
    </row>
    <row r="1183" spans="1:12">
      <c r="A1183" s="205" t="str">
        <f>A1147</f>
        <v>LC-39</v>
      </c>
      <c r="B1183" s="201" t="str">
        <f>B1147</f>
        <v>LC-22 + Seismic Sx=1,Sz=0.3,Sy=0.3</v>
      </c>
      <c r="C1183" s="201"/>
      <c r="D1183" s="201"/>
      <c r="E1183" s="219"/>
      <c r="F1183" s="205">
        <f>SUMPRODUCT(F1150:F1176,$K$1150:$K$1176)</f>
        <v>1379.9691538468844</v>
      </c>
      <c r="G1183" s="219">
        <f>SUMPRODUCT(G1150:G1176,$K$1150:$K$1176)</f>
        <v>262.38796816016577</v>
      </c>
      <c r="H1183" s="219">
        <f>SUMPRODUCT(H1150:H1176,$K$1150:$K$1176)</f>
        <v>78.636481291186684</v>
      </c>
      <c r="I1183" s="219">
        <f>SUMPRODUCT(I1150:I1176,$K$1150:$K$1176)</f>
        <v>1565.4954952267467</v>
      </c>
      <c r="J1183" s="219">
        <f>SUMPRODUCT(J1150:J1176,$K$1150:$K$1176)</f>
        <v>485.7519021819578</v>
      </c>
      <c r="K1183" s="87"/>
      <c r="L1183" s="293"/>
    </row>
    <row r="1184" spans="1:12">
      <c r="A1184" s="204"/>
      <c r="B1184" s="203"/>
      <c r="C1184" s="203"/>
      <c r="D1184" s="203"/>
      <c r="E1184" s="218"/>
      <c r="F1184" s="204"/>
      <c r="G1184" s="204"/>
      <c r="H1184" s="203"/>
      <c r="I1184" s="204"/>
      <c r="J1184" s="204"/>
      <c r="K1184" s="87"/>
      <c r="L1184" s="293"/>
    </row>
    <row r="1187" spans="1:12">
      <c r="A1187" s="811" t="str">
        <f>K1187</f>
        <v>LC-40</v>
      </c>
      <c r="B1187" s="31" t="str">
        <f>VLOOKUP(A1187,LC_DEF_2!A45:B92,2,FALSE)</f>
        <v>LC-22 + Seismic Sx=0.3,Sz=1,Sy=0.3</v>
      </c>
      <c r="C1187" s="31"/>
      <c r="D1187" s="31"/>
      <c r="E1187" s="32"/>
      <c r="F1187" s="1599" t="s">
        <v>742</v>
      </c>
      <c r="G1187" s="1635"/>
      <c r="H1187" s="1635"/>
      <c r="I1187" s="1635"/>
      <c r="J1187" s="1600"/>
      <c r="K1187" s="1580" t="s">
        <v>1177</v>
      </c>
      <c r="L1187" s="293"/>
    </row>
    <row r="1188" spans="1:12" ht="18">
      <c r="A1188" s="25" t="s">
        <v>73</v>
      </c>
      <c r="B1188" s="26" t="s">
        <v>74</v>
      </c>
      <c r="C1188" s="26"/>
      <c r="D1188" s="26"/>
      <c r="E1188" s="27"/>
      <c r="F1188" s="58" t="s">
        <v>23</v>
      </c>
      <c r="G1188" s="58" t="s">
        <v>87</v>
      </c>
      <c r="H1188" s="58" t="s">
        <v>212</v>
      </c>
      <c r="I1188" s="58" t="s">
        <v>80</v>
      </c>
      <c r="J1188" s="58" t="s">
        <v>81</v>
      </c>
      <c r="K1188" s="433"/>
      <c r="L1188" s="293"/>
    </row>
    <row r="1189" spans="1:12">
      <c r="A1189" s="25"/>
      <c r="B1189" s="26"/>
      <c r="C1189" s="26"/>
      <c r="D1189" s="26"/>
      <c r="E1189" s="27"/>
      <c r="F1189" s="36" t="s">
        <v>34</v>
      </c>
      <c r="G1189" s="36" t="s">
        <v>34</v>
      </c>
      <c r="H1189" s="36" t="s">
        <v>34</v>
      </c>
      <c r="I1189" s="36" t="s">
        <v>77</v>
      </c>
      <c r="J1189" s="36" t="s">
        <v>77</v>
      </c>
      <c r="K1189" s="433"/>
      <c r="L1189" s="293"/>
    </row>
    <row r="1190" spans="1:12">
      <c r="A1190" s="25" t="s">
        <v>88</v>
      </c>
      <c r="B1190" s="26" t="s">
        <v>75</v>
      </c>
      <c r="C1190" s="26"/>
      <c r="D1190" s="26"/>
      <c r="E1190" s="27"/>
      <c r="F1190" s="195">
        <f>SF!F14</f>
        <v>365.08803866482532</v>
      </c>
      <c r="G1190" s="210"/>
      <c r="H1190" s="34"/>
      <c r="I1190" s="195">
        <f>SF!I14</f>
        <v>0</v>
      </c>
      <c r="J1190" s="195">
        <f>SF!J14</f>
        <v>0</v>
      </c>
      <c r="K1190" s="511">
        <v>1.35</v>
      </c>
      <c r="L1190" s="266"/>
    </row>
    <row r="1191" spans="1:12">
      <c r="A1191" s="25" t="s">
        <v>90</v>
      </c>
      <c r="B1191" s="26" t="s">
        <v>249</v>
      </c>
      <c r="C1191" s="26"/>
      <c r="D1191" s="26"/>
      <c r="E1191" s="27"/>
      <c r="F1191" s="195">
        <f>SF!F16</f>
        <v>36.639026644707663</v>
      </c>
      <c r="G1191" s="210"/>
      <c r="H1191" s="34"/>
      <c r="I1191" s="195">
        <f>SF!I16</f>
        <v>0</v>
      </c>
      <c r="J1191" s="195">
        <f>SF!J16</f>
        <v>0</v>
      </c>
      <c r="K1191" s="511">
        <v>1.35</v>
      </c>
      <c r="L1191" s="266"/>
    </row>
    <row r="1192" spans="1:12">
      <c r="A1192" s="25" t="s">
        <v>250</v>
      </c>
      <c r="B1192" s="26" t="s">
        <v>967</v>
      </c>
      <c r="C1192" s="26"/>
      <c r="D1192" s="26"/>
      <c r="E1192" s="27"/>
      <c r="F1192" s="195">
        <f>SF!F19</f>
        <v>230</v>
      </c>
      <c r="G1192" s="27"/>
      <c r="H1192" s="34"/>
      <c r="I1192" s="195">
        <f>SF!I19</f>
        <v>-115</v>
      </c>
      <c r="J1192" s="195">
        <f>SF!J19</f>
        <v>0</v>
      </c>
      <c r="K1192" s="433">
        <v>1.35</v>
      </c>
      <c r="L1192" s="11"/>
    </row>
    <row r="1193" spans="1:12">
      <c r="A1193" s="25" t="s">
        <v>251</v>
      </c>
      <c r="B1193" s="26" t="s">
        <v>968</v>
      </c>
      <c r="C1193" s="26"/>
      <c r="D1193" s="26"/>
      <c r="E1193" s="27"/>
      <c r="F1193" s="195">
        <f>SF!F20</f>
        <v>20.660000000000004</v>
      </c>
      <c r="G1193" s="27"/>
      <c r="H1193" s="34"/>
      <c r="I1193" s="195">
        <f>SF!I20</f>
        <v>-10.330000000000002</v>
      </c>
      <c r="J1193" s="195">
        <f>SF!J20</f>
        <v>0</v>
      </c>
      <c r="K1193" s="433">
        <v>1.35</v>
      </c>
      <c r="L1193" s="11"/>
    </row>
    <row r="1194" spans="1:12">
      <c r="A1194" s="25" t="s">
        <v>97</v>
      </c>
      <c r="B1194" s="26" t="s">
        <v>969</v>
      </c>
      <c r="C1194" s="26"/>
      <c r="D1194" s="26"/>
      <c r="E1194" s="27"/>
      <c r="F1194" s="195">
        <f>SF!F21</f>
        <v>42</v>
      </c>
      <c r="G1194" s="27"/>
      <c r="H1194" s="34"/>
      <c r="I1194" s="195">
        <f>SF!I21</f>
        <v>-14.858499999999999</v>
      </c>
      <c r="J1194" s="195">
        <f>SF!J21</f>
        <v>0</v>
      </c>
      <c r="K1194" s="433">
        <v>1.35</v>
      </c>
      <c r="L1194" s="11"/>
    </row>
    <row r="1195" spans="1:12">
      <c r="A1195" s="25" t="s">
        <v>250</v>
      </c>
      <c r="B1195" s="26" t="s">
        <v>970</v>
      </c>
      <c r="C1195" s="26"/>
      <c r="D1195" s="26"/>
      <c r="E1195" s="27"/>
      <c r="F1195" s="195">
        <f>SF!F23</f>
        <v>230</v>
      </c>
      <c r="G1195" s="27"/>
      <c r="H1195" s="34"/>
      <c r="I1195" s="195">
        <f>SF!I23</f>
        <v>115</v>
      </c>
      <c r="J1195" s="195">
        <f>SF!J23</f>
        <v>0</v>
      </c>
      <c r="K1195" s="433">
        <v>1.35</v>
      </c>
      <c r="L1195" s="11"/>
    </row>
    <row r="1196" spans="1:12">
      <c r="A1196" s="25" t="s">
        <v>251</v>
      </c>
      <c r="B1196" s="26" t="s">
        <v>971</v>
      </c>
      <c r="C1196" s="26"/>
      <c r="D1196" s="26"/>
      <c r="E1196" s="27"/>
      <c r="F1196" s="195">
        <f>SF!F24</f>
        <v>20.660000000000004</v>
      </c>
      <c r="G1196" s="27"/>
      <c r="H1196" s="34"/>
      <c r="I1196" s="195">
        <f>SF!I24</f>
        <v>10.330000000000002</v>
      </c>
      <c r="J1196" s="195">
        <f>SF!J24</f>
        <v>0</v>
      </c>
      <c r="K1196" s="433">
        <v>1.35</v>
      </c>
      <c r="L1196" s="266"/>
    </row>
    <row r="1197" spans="1:12">
      <c r="A1197" s="25" t="s">
        <v>97</v>
      </c>
      <c r="B1197" s="26" t="s">
        <v>972</v>
      </c>
      <c r="C1197" s="26"/>
      <c r="D1197" s="26"/>
      <c r="E1197" s="27"/>
      <c r="F1197" s="195">
        <f>SF!F25</f>
        <v>42</v>
      </c>
      <c r="G1197" s="27"/>
      <c r="H1197" s="34"/>
      <c r="I1197" s="195">
        <f>SF!I25</f>
        <v>14.858499999999999</v>
      </c>
      <c r="J1197" s="195">
        <f>SF!J25</f>
        <v>0</v>
      </c>
      <c r="K1197" s="511">
        <v>1.75</v>
      </c>
      <c r="L1197" s="11"/>
    </row>
    <row r="1198" spans="1:12">
      <c r="A1198" s="25" t="s">
        <v>986</v>
      </c>
      <c r="B1198" s="163" t="s">
        <v>955</v>
      </c>
      <c r="C1198" s="26"/>
      <c r="D1198" s="26"/>
      <c r="E1198" s="27"/>
      <c r="F1198" s="34"/>
      <c r="G1198" s="195">
        <f>SF!G40</f>
        <v>5.8532000000000011</v>
      </c>
      <c r="H1198" s="34"/>
      <c r="I1198" s="195">
        <f>SF!I40</f>
        <v>48.464496000000018</v>
      </c>
      <c r="J1198" s="34"/>
      <c r="K1198" s="433">
        <v>1.5</v>
      </c>
      <c r="L1198" s="266"/>
    </row>
    <row r="1199" spans="1:12">
      <c r="A1199" s="686" t="s">
        <v>1128</v>
      </c>
      <c r="B1199" s="687"/>
      <c r="C1199" s="688"/>
      <c r="D1199" s="688"/>
      <c r="E1199" s="689"/>
      <c r="F1199" s="696">
        <f>SF!F43</f>
        <v>-103.56143333397094</v>
      </c>
      <c r="G1199" s="689"/>
      <c r="H1199" s="690"/>
      <c r="I1199" s="690"/>
      <c r="J1199" s="690"/>
      <c r="K1199" s="433">
        <v>0.15</v>
      </c>
      <c r="L1199" s="266"/>
    </row>
    <row r="1200" spans="1:12">
      <c r="A1200" s="686" t="s">
        <v>1131</v>
      </c>
      <c r="B1200" s="687"/>
      <c r="C1200" s="688"/>
      <c r="D1200" s="688"/>
      <c r="E1200" s="689"/>
      <c r="F1200" s="690"/>
      <c r="G1200" s="696">
        <f>SF!G47</f>
        <v>3.2856246869242693</v>
      </c>
      <c r="H1200" s="696">
        <f>SF!H47</f>
        <v>3.5397182492142409</v>
      </c>
      <c r="I1200" s="696">
        <f>SF!I47</f>
        <v>7.0628515103002814</v>
      </c>
      <c r="J1200" s="696">
        <f>SF!J47</f>
        <v>5.3297614737052639</v>
      </c>
      <c r="K1200" s="433">
        <v>1</v>
      </c>
      <c r="L1200" s="266"/>
    </row>
    <row r="1201" spans="1:12">
      <c r="A1201" s="278" t="s">
        <v>200</v>
      </c>
      <c r="B1201" s="262"/>
      <c r="C1201" s="262"/>
      <c r="D1201" s="262"/>
      <c r="E1201" s="263"/>
      <c r="F1201" s="279"/>
      <c r="G1201" s="280"/>
      <c r="H1201" s="264"/>
      <c r="I1201" s="279"/>
      <c r="J1201" s="264"/>
      <c r="K1201" s="1581">
        <v>0.44999999999999996</v>
      </c>
      <c r="L1201" s="266"/>
    </row>
    <row r="1202" spans="1:12">
      <c r="A1202" s="25" t="s">
        <v>991</v>
      </c>
      <c r="B1202" s="26" t="s">
        <v>989</v>
      </c>
      <c r="C1202" s="26"/>
      <c r="D1202" s="26"/>
      <c r="E1202" s="27"/>
      <c r="F1202" s="197"/>
      <c r="G1202" s="172">
        <f>SF!G52</f>
        <v>94.821839999999995</v>
      </c>
      <c r="H1202" s="34"/>
      <c r="I1202" s="172">
        <f>SF!I52</f>
        <v>785.12483520000001</v>
      </c>
      <c r="J1202" s="89"/>
      <c r="K1202" s="511">
        <v>0.44999999999999996</v>
      </c>
      <c r="L1202" s="266"/>
    </row>
    <row r="1203" spans="1:12">
      <c r="A1203" s="25" t="s">
        <v>217</v>
      </c>
      <c r="B1203" s="26" t="s">
        <v>211</v>
      </c>
      <c r="C1203" s="26"/>
      <c r="D1203" s="26"/>
      <c r="E1203" s="27"/>
      <c r="F1203" s="197"/>
      <c r="G1203" s="196">
        <f>SF!G58</f>
        <v>26.798532263701709</v>
      </c>
      <c r="H1203" s="199"/>
      <c r="I1203" s="172">
        <f>SF!I58</f>
        <v>147.28381289471153</v>
      </c>
      <c r="J1203" s="195"/>
      <c r="K1203" s="433">
        <v>0.44999999999999996</v>
      </c>
      <c r="L1203" s="266"/>
    </row>
    <row r="1204" spans="1:12">
      <c r="A1204" s="686" t="s">
        <v>1472</v>
      </c>
      <c r="B1204" s="688" t="s">
        <v>1045</v>
      </c>
      <c r="C1204" s="688"/>
      <c r="D1204" s="688"/>
      <c r="E1204" s="689"/>
      <c r="F1204" s="620"/>
      <c r="G1204" s="695">
        <f>SF!G61</f>
        <v>32.345729999999996</v>
      </c>
      <c r="H1204" s="690"/>
      <c r="I1204" s="695">
        <f>SF!I61</f>
        <v>29.111156999999999</v>
      </c>
      <c r="J1204" s="269"/>
      <c r="K1204" s="433">
        <v>0.44999999999999996</v>
      </c>
      <c r="L1204" s="266"/>
    </row>
    <row r="1205" spans="1:12">
      <c r="A1205" s="686" t="s">
        <v>1139</v>
      </c>
      <c r="B1205" s="688" t="s">
        <v>1140</v>
      </c>
      <c r="C1205" s="688"/>
      <c r="D1205" s="688"/>
      <c r="E1205" s="689"/>
      <c r="F1205" s="620"/>
      <c r="G1205" s="695">
        <f>SF!G63</f>
        <v>19.373390077688924</v>
      </c>
      <c r="H1205" s="690"/>
      <c r="I1205" s="695">
        <f>SF!I63</f>
        <v>37.512792074379419</v>
      </c>
      <c r="J1205" s="269"/>
      <c r="K1205" s="433">
        <v>0.3</v>
      </c>
      <c r="L1205" s="266"/>
    </row>
    <row r="1206" spans="1:12">
      <c r="A1206" s="278" t="s">
        <v>1817</v>
      </c>
      <c r="B1206" s="262"/>
      <c r="C1206" s="262"/>
      <c r="D1206" s="262"/>
      <c r="E1206" s="263"/>
      <c r="F1206" s="279"/>
      <c r="G1206" s="280"/>
      <c r="H1206" s="264"/>
      <c r="I1206" s="279"/>
      <c r="J1206" s="264"/>
      <c r="K1206" s="1582">
        <v>1.5</v>
      </c>
      <c r="L1206" s="266"/>
    </row>
    <row r="1207" spans="1:12">
      <c r="A1207" s="25" t="s">
        <v>997</v>
      </c>
      <c r="B1207" s="26" t="s">
        <v>988</v>
      </c>
      <c r="C1207" s="26"/>
      <c r="D1207" s="26"/>
      <c r="E1207" s="27"/>
      <c r="F1207" s="197"/>
      <c r="G1207" s="211"/>
      <c r="H1207" s="172">
        <f>SF!H67</f>
        <v>47.410919999999997</v>
      </c>
      <c r="I1207" s="197"/>
      <c r="J1207" s="172">
        <f>SF!J67</f>
        <v>433.10062959257624</v>
      </c>
      <c r="K1207" s="511">
        <v>1.5</v>
      </c>
      <c r="L1207" s="266"/>
    </row>
    <row r="1208" spans="1:12">
      <c r="A1208" s="25" t="s">
        <v>998</v>
      </c>
      <c r="B1208" s="26" t="s">
        <v>989</v>
      </c>
      <c r="C1208" s="26"/>
      <c r="D1208" s="26"/>
      <c r="E1208" s="27"/>
      <c r="F1208" s="197"/>
      <c r="G1208" s="211"/>
      <c r="H1208" s="172">
        <f>SF!H68</f>
        <v>47.410919999999997</v>
      </c>
      <c r="I1208" s="197"/>
      <c r="J1208" s="172">
        <f>SF!J68</f>
        <v>433.10062959257624</v>
      </c>
      <c r="K1208" s="433">
        <v>1.5</v>
      </c>
      <c r="L1208" s="266"/>
    </row>
    <row r="1209" spans="1:12">
      <c r="A1209" s="25" t="s">
        <v>1006</v>
      </c>
      <c r="B1209" s="26" t="s">
        <v>211</v>
      </c>
      <c r="C1209" s="26"/>
      <c r="D1209" s="26"/>
      <c r="E1209" s="27"/>
      <c r="F1209" s="197"/>
      <c r="G1209" s="195"/>
      <c r="H1209" s="172">
        <f>SF!H78</f>
        <v>26.798532263701709</v>
      </c>
      <c r="I1209" s="195"/>
      <c r="J1209" s="172">
        <f>SF!J78</f>
        <v>147.28381289471153</v>
      </c>
      <c r="K1209" s="433">
        <v>1.5</v>
      </c>
      <c r="L1209" s="266"/>
    </row>
    <row r="1210" spans="1:12">
      <c r="A1210" s="686" t="s">
        <v>1138</v>
      </c>
      <c r="B1210" s="688" t="s">
        <v>1045</v>
      </c>
      <c r="C1210" s="688"/>
      <c r="D1210" s="688"/>
      <c r="E1210" s="689"/>
      <c r="F1210" s="620"/>
      <c r="G1210" s="711"/>
      <c r="H1210" s="989">
        <f>SF!H81</f>
        <v>32.345729999999996</v>
      </c>
      <c r="I1210" s="696"/>
      <c r="J1210" s="989">
        <f>SF!J81</f>
        <v>29.111156999999999</v>
      </c>
      <c r="K1210" s="433">
        <v>1.5</v>
      </c>
      <c r="L1210" s="266"/>
    </row>
    <row r="1211" spans="1:12">
      <c r="A1211" s="686" t="s">
        <v>1138</v>
      </c>
      <c r="B1211" s="688" t="s">
        <v>1141</v>
      </c>
      <c r="C1211" s="26"/>
      <c r="D1211" s="26"/>
      <c r="E1211" s="27"/>
      <c r="F1211" s="34"/>
      <c r="G1211" s="27"/>
      <c r="H1211" s="989">
        <f>SF!H83</f>
        <v>19.373390077688924</v>
      </c>
      <c r="I1211" s="696"/>
      <c r="J1211" s="989">
        <f>SF!J83</f>
        <v>37.512792074379419</v>
      </c>
      <c r="K1211" s="433">
        <v>1</v>
      </c>
      <c r="L1211" s="266"/>
    </row>
    <row r="1212" spans="1:12">
      <c r="A1212" s="990" t="s">
        <v>204</v>
      </c>
      <c r="B1212" s="661"/>
      <c r="C1212" s="661"/>
      <c r="D1212" s="661"/>
      <c r="E1212" s="584"/>
      <c r="F1212" s="991"/>
      <c r="G1212" s="992"/>
      <c r="H1212" s="370"/>
      <c r="I1212" s="991"/>
      <c r="J1212" s="370"/>
      <c r="K1212" s="1583">
        <v>0.44999999999999996</v>
      </c>
      <c r="L1212" s="266"/>
    </row>
    <row r="1213" spans="1:12">
      <c r="A1213" s="25" t="s">
        <v>1007</v>
      </c>
      <c r="B1213" s="26" t="s">
        <v>988</v>
      </c>
      <c r="C1213" s="26"/>
      <c r="D1213" s="26"/>
      <c r="E1213" s="27"/>
      <c r="F1213" s="196">
        <f>SF!F87</f>
        <v>31.607279999999999</v>
      </c>
      <c r="G1213" s="211"/>
      <c r="H1213" s="34"/>
      <c r="I1213" s="196">
        <f>SF!I87</f>
        <v>-15.140358000000003</v>
      </c>
      <c r="J1213" s="196">
        <f>SF!J87</f>
        <v>0</v>
      </c>
      <c r="K1213" s="433">
        <v>0.44999999999999996</v>
      </c>
      <c r="L1213" s="266"/>
    </row>
    <row r="1214" spans="1:12">
      <c r="A1214" s="25" t="s">
        <v>1008</v>
      </c>
      <c r="B1214" s="26" t="s">
        <v>989</v>
      </c>
      <c r="C1214" s="26"/>
      <c r="D1214" s="26"/>
      <c r="E1214" s="27"/>
      <c r="F1214" s="196">
        <f>SF!F88</f>
        <v>31.607279999999999</v>
      </c>
      <c r="G1214" s="211"/>
      <c r="H1214" s="34"/>
      <c r="I1214" s="196">
        <f>SF!I88</f>
        <v>15.140358000000003</v>
      </c>
      <c r="J1214" s="196">
        <f>SF!J88</f>
        <v>0</v>
      </c>
      <c r="K1214" s="511">
        <v>0.44999999999999996</v>
      </c>
      <c r="L1214" s="266"/>
    </row>
    <row r="1215" spans="1:12">
      <c r="A1215" s="25" t="s">
        <v>1011</v>
      </c>
      <c r="B1215" s="26" t="s">
        <v>211</v>
      </c>
      <c r="C1215" s="26"/>
      <c r="D1215" s="26"/>
      <c r="E1215" s="27"/>
      <c r="F1215" s="196">
        <f>SF!F98</f>
        <v>17.865688175801139</v>
      </c>
      <c r="G1215" s="211"/>
      <c r="H1215" s="197"/>
      <c r="I1215" s="196">
        <f>SF!I98</f>
        <v>0</v>
      </c>
      <c r="J1215" s="196">
        <f>SF!J98</f>
        <v>0</v>
      </c>
      <c r="K1215" s="511">
        <v>0.44999999999999996</v>
      </c>
      <c r="L1215" s="266"/>
    </row>
    <row r="1216" spans="1:12">
      <c r="A1216" s="686" t="s">
        <v>1473</v>
      </c>
      <c r="B1216" s="688" t="s">
        <v>1045</v>
      </c>
      <c r="C1216" s="688"/>
      <c r="D1216" s="688"/>
      <c r="E1216" s="689"/>
      <c r="F1216" s="695">
        <f>SF!F101</f>
        <v>21.56382</v>
      </c>
      <c r="G1216" s="621"/>
      <c r="H1216" s="620"/>
      <c r="I1216" s="695">
        <f>SF!I101</f>
        <v>0</v>
      </c>
      <c r="J1216" s="695">
        <f>SF!J101</f>
        <v>0</v>
      </c>
      <c r="K1216" s="511">
        <v>0.44999999999999996</v>
      </c>
      <c r="L1216" s="266"/>
    </row>
    <row r="1217" spans="1:12">
      <c r="A1217" s="253"/>
      <c r="B1217" s="15"/>
      <c r="C1217" s="15"/>
      <c r="D1217" s="15"/>
      <c r="E1217" s="22"/>
      <c r="F1217" s="212"/>
      <c r="G1217" s="213"/>
      <c r="H1217" s="198"/>
      <c r="I1217" s="198"/>
      <c r="J1217" s="58"/>
      <c r="K1217" s="208"/>
      <c r="L1217" s="293"/>
    </row>
    <row r="1218" spans="1:12">
      <c r="A1218" s="46"/>
      <c r="B1218" s="46"/>
      <c r="C1218" s="46"/>
      <c r="D1218" s="46"/>
      <c r="E1218" s="46"/>
      <c r="F1218" s="46"/>
      <c r="G1218" s="46"/>
      <c r="H1218" s="46"/>
      <c r="I1218" s="46"/>
      <c r="J1218" s="46"/>
      <c r="K1218" s="87"/>
      <c r="L1218" s="293"/>
    </row>
    <row r="1219" spans="1:12">
      <c r="A1219" s="220" t="s">
        <v>73</v>
      </c>
      <c r="B1219" s="220" t="s">
        <v>74</v>
      </c>
      <c r="C1219" s="200"/>
      <c r="D1219" s="200"/>
      <c r="E1219" s="217"/>
      <c r="F1219" s="1636" t="s">
        <v>72</v>
      </c>
      <c r="G1219" s="1637"/>
      <c r="H1219" s="1637"/>
      <c r="I1219" s="1637"/>
      <c r="J1219" s="1638"/>
      <c r="K1219" s="87"/>
      <c r="L1219" s="293"/>
    </row>
    <row r="1220" spans="1:12" ht="18">
      <c r="A1220" s="221"/>
      <c r="B1220" s="221"/>
      <c r="C1220" s="201"/>
      <c r="D1220" s="201"/>
      <c r="E1220" s="219"/>
      <c r="F1220" s="223" t="s">
        <v>23</v>
      </c>
      <c r="G1220" s="223" t="s">
        <v>87</v>
      </c>
      <c r="H1220" s="223" t="s">
        <v>212</v>
      </c>
      <c r="I1220" s="223" t="s">
        <v>80</v>
      </c>
      <c r="J1220" s="223" t="s">
        <v>81</v>
      </c>
      <c r="K1220" s="87"/>
      <c r="L1220" s="293"/>
    </row>
    <row r="1221" spans="1:12">
      <c r="A1221" s="222"/>
      <c r="B1221" s="222"/>
      <c r="C1221" s="203"/>
      <c r="D1221" s="203"/>
      <c r="E1221" s="218"/>
      <c r="F1221" s="204" t="s">
        <v>34</v>
      </c>
      <c r="G1221" s="204" t="s">
        <v>34</v>
      </c>
      <c r="H1221" s="203" t="s">
        <v>34</v>
      </c>
      <c r="I1221" s="204" t="s">
        <v>77</v>
      </c>
      <c r="J1221" s="204" t="s">
        <v>77</v>
      </c>
      <c r="K1221" s="87"/>
      <c r="L1221" s="293"/>
    </row>
    <row r="1222" spans="1:12">
      <c r="A1222" s="202"/>
      <c r="B1222" s="200"/>
      <c r="C1222" s="200"/>
      <c r="D1222" s="200"/>
      <c r="E1222" s="217"/>
      <c r="F1222" s="205"/>
      <c r="G1222" s="205"/>
      <c r="H1222" s="201"/>
      <c r="I1222" s="205"/>
      <c r="J1222" s="205"/>
      <c r="K1222" s="87"/>
      <c r="L1222" s="293"/>
    </row>
    <row r="1223" spans="1:12">
      <c r="A1223" s="205" t="str">
        <f>A1187</f>
        <v>LC-40</v>
      </c>
      <c r="B1223" s="201" t="str">
        <f>B1187</f>
        <v>LC-22 + Seismic Sx=0.3,Sz=1,Sy=0.3</v>
      </c>
      <c r="C1223" s="201"/>
      <c r="D1223" s="201"/>
      <c r="E1223" s="219"/>
      <c r="F1223" s="205">
        <f>SUMPRODUCT(F1190:F1216,$K$1190:$K$1216)</f>
        <v>1379.9691538468844</v>
      </c>
      <c r="G1223" s="219">
        <f>SUMPRODUCT(G1190:G1216,$K$1190:$K$1216)</f>
        <v>87.162187728896711</v>
      </c>
      <c r="H1223" s="219">
        <f>SUMPRODUCT(H1190:H1216,$K$1190:$K$1216)</f>
        <v>253.86226172245571</v>
      </c>
      <c r="I1223" s="219">
        <f>SUMPRODUCT(I1190:I1216,$K$1190:$K$1216)</f>
        <v>529.6407454252344</v>
      </c>
      <c r="J1223" s="219">
        <f>SUMPRODUCT(J1190:J1216,$K$1190:$K$1216)</f>
        <v>1606.7368971678807</v>
      </c>
      <c r="K1223" s="87"/>
      <c r="L1223" s="293"/>
    </row>
    <row r="1224" spans="1:12">
      <c r="A1224" s="204"/>
      <c r="B1224" s="203"/>
      <c r="C1224" s="203"/>
      <c r="D1224" s="203"/>
      <c r="E1224" s="218"/>
      <c r="F1224" s="204"/>
      <c r="G1224" s="204"/>
      <c r="H1224" s="203"/>
      <c r="I1224" s="204"/>
      <c r="J1224" s="204"/>
      <c r="K1224" s="87"/>
      <c r="L1224" s="293"/>
    </row>
    <row r="1227" spans="1:12">
      <c r="A1227" s="811" t="str">
        <f>K1227</f>
        <v>LC-41</v>
      </c>
      <c r="B1227" s="31" t="str">
        <f>VLOOKUP(A1227,LC_DEF_2!A45:B92,2,FALSE)</f>
        <v>LC-23 + Seismic Sx=1,Sz=0.3,Sy=-0.3</v>
      </c>
      <c r="C1227" s="31"/>
      <c r="D1227" s="31"/>
      <c r="E1227" s="32"/>
      <c r="F1227" s="1599" t="s">
        <v>742</v>
      </c>
      <c r="G1227" s="1635"/>
      <c r="H1227" s="1635"/>
      <c r="I1227" s="1635"/>
      <c r="J1227" s="1600"/>
      <c r="K1227" s="1580" t="s">
        <v>1422</v>
      </c>
      <c r="L1227" s="293"/>
    </row>
    <row r="1228" spans="1:12" ht="18">
      <c r="A1228" s="25" t="s">
        <v>73</v>
      </c>
      <c r="B1228" s="26" t="s">
        <v>74</v>
      </c>
      <c r="C1228" s="26"/>
      <c r="D1228" s="26"/>
      <c r="E1228" s="27"/>
      <c r="F1228" s="58" t="s">
        <v>23</v>
      </c>
      <c r="G1228" s="58" t="s">
        <v>87</v>
      </c>
      <c r="H1228" s="58" t="s">
        <v>212</v>
      </c>
      <c r="I1228" s="58" t="s">
        <v>80</v>
      </c>
      <c r="J1228" s="58" t="s">
        <v>81</v>
      </c>
      <c r="K1228" s="433"/>
      <c r="L1228" s="293"/>
    </row>
    <row r="1229" spans="1:12">
      <c r="A1229" s="25"/>
      <c r="B1229" s="26"/>
      <c r="C1229" s="26"/>
      <c r="D1229" s="26"/>
      <c r="E1229" s="27"/>
      <c r="F1229" s="36" t="s">
        <v>34</v>
      </c>
      <c r="G1229" s="36" t="s">
        <v>34</v>
      </c>
      <c r="H1229" s="36" t="s">
        <v>34</v>
      </c>
      <c r="I1229" s="36" t="s">
        <v>77</v>
      </c>
      <c r="J1229" s="36" t="s">
        <v>77</v>
      </c>
      <c r="K1229" s="433"/>
      <c r="L1229" s="293"/>
    </row>
    <row r="1230" spans="1:12">
      <c r="A1230" s="25" t="s">
        <v>88</v>
      </c>
      <c r="B1230" s="26" t="s">
        <v>75</v>
      </c>
      <c r="C1230" s="26"/>
      <c r="D1230" s="26"/>
      <c r="E1230" s="27"/>
      <c r="F1230" s="195">
        <f>SF!F14</f>
        <v>365.08803866482532</v>
      </c>
      <c r="G1230" s="210"/>
      <c r="H1230" s="34"/>
      <c r="I1230" s="195">
        <f>SF!I14</f>
        <v>0</v>
      </c>
      <c r="J1230" s="195">
        <f>SF!J14</f>
        <v>0</v>
      </c>
      <c r="K1230" s="511">
        <v>1.35</v>
      </c>
      <c r="L1230" s="266"/>
    </row>
    <row r="1231" spans="1:12">
      <c r="A1231" s="25" t="s">
        <v>90</v>
      </c>
      <c r="B1231" s="26" t="s">
        <v>249</v>
      </c>
      <c r="C1231" s="26"/>
      <c r="D1231" s="26"/>
      <c r="E1231" s="27"/>
      <c r="F1231" s="195">
        <f>SF!F16</f>
        <v>36.639026644707663</v>
      </c>
      <c r="G1231" s="210"/>
      <c r="H1231" s="34"/>
      <c r="I1231" s="195">
        <f>SF!I16</f>
        <v>0</v>
      </c>
      <c r="J1231" s="195">
        <f>SF!J16</f>
        <v>0</v>
      </c>
      <c r="K1231" s="511">
        <v>1.35</v>
      </c>
      <c r="L1231" s="266"/>
    </row>
    <row r="1232" spans="1:12">
      <c r="A1232" s="25" t="s">
        <v>250</v>
      </c>
      <c r="B1232" s="26" t="s">
        <v>967</v>
      </c>
      <c r="C1232" s="26"/>
      <c r="D1232" s="26"/>
      <c r="E1232" s="27"/>
      <c r="F1232" s="195">
        <f>SF!F19</f>
        <v>230</v>
      </c>
      <c r="G1232" s="27"/>
      <c r="H1232" s="34"/>
      <c r="I1232" s="195">
        <f>SF!I19</f>
        <v>-115</v>
      </c>
      <c r="J1232" s="195">
        <f>SF!J19</f>
        <v>0</v>
      </c>
      <c r="K1232" s="433">
        <v>1.35</v>
      </c>
      <c r="L1232" s="11"/>
    </row>
    <row r="1233" spans="1:12">
      <c r="A1233" s="25" t="s">
        <v>251</v>
      </c>
      <c r="B1233" s="26" t="s">
        <v>968</v>
      </c>
      <c r="C1233" s="26"/>
      <c r="D1233" s="26"/>
      <c r="E1233" s="27"/>
      <c r="F1233" s="195">
        <f>SF!F20</f>
        <v>20.660000000000004</v>
      </c>
      <c r="G1233" s="27"/>
      <c r="H1233" s="34"/>
      <c r="I1233" s="195">
        <f>SF!I20</f>
        <v>-10.330000000000002</v>
      </c>
      <c r="J1233" s="195">
        <f>SF!J20</f>
        <v>0</v>
      </c>
      <c r="K1233" s="433">
        <v>1.35</v>
      </c>
      <c r="L1233" s="11"/>
    </row>
    <row r="1234" spans="1:12">
      <c r="A1234" s="25" t="s">
        <v>97</v>
      </c>
      <c r="B1234" s="26" t="s">
        <v>969</v>
      </c>
      <c r="C1234" s="26"/>
      <c r="D1234" s="26"/>
      <c r="E1234" s="27"/>
      <c r="F1234" s="195">
        <f>SF!F21</f>
        <v>42</v>
      </c>
      <c r="G1234" s="27"/>
      <c r="H1234" s="34"/>
      <c r="I1234" s="195">
        <f>SF!I21</f>
        <v>-14.858499999999999</v>
      </c>
      <c r="J1234" s="195">
        <f>SF!J21</f>
        <v>0</v>
      </c>
      <c r="K1234" s="433">
        <v>1.35</v>
      </c>
      <c r="L1234" s="11"/>
    </row>
    <row r="1235" spans="1:12">
      <c r="A1235" s="25" t="s">
        <v>250</v>
      </c>
      <c r="B1235" s="26" t="s">
        <v>970</v>
      </c>
      <c r="C1235" s="26"/>
      <c r="D1235" s="26"/>
      <c r="E1235" s="27"/>
      <c r="F1235" s="195">
        <f>SF!F23</f>
        <v>230</v>
      </c>
      <c r="G1235" s="27"/>
      <c r="H1235" s="34"/>
      <c r="I1235" s="195">
        <f>SF!I23</f>
        <v>115</v>
      </c>
      <c r="J1235" s="195">
        <f>SF!J23</f>
        <v>0</v>
      </c>
      <c r="K1235" s="433">
        <v>1.35</v>
      </c>
      <c r="L1235" s="11"/>
    </row>
    <row r="1236" spans="1:12">
      <c r="A1236" s="25" t="s">
        <v>251</v>
      </c>
      <c r="B1236" s="26" t="s">
        <v>971</v>
      </c>
      <c r="C1236" s="26"/>
      <c r="D1236" s="26"/>
      <c r="E1236" s="27"/>
      <c r="F1236" s="195">
        <f>SF!F24</f>
        <v>20.660000000000004</v>
      </c>
      <c r="G1236" s="27"/>
      <c r="H1236" s="34"/>
      <c r="I1236" s="195">
        <f>SF!I24</f>
        <v>10.330000000000002</v>
      </c>
      <c r="J1236" s="195">
        <f>SF!J24</f>
        <v>0</v>
      </c>
      <c r="K1236" s="433">
        <v>1.35</v>
      </c>
      <c r="L1236" s="266"/>
    </row>
    <row r="1237" spans="1:12">
      <c r="A1237" s="25" t="s">
        <v>97</v>
      </c>
      <c r="B1237" s="26" t="s">
        <v>972</v>
      </c>
      <c r="C1237" s="26"/>
      <c r="D1237" s="26"/>
      <c r="E1237" s="27"/>
      <c r="F1237" s="195">
        <f>SF!F25</f>
        <v>42</v>
      </c>
      <c r="G1237" s="27"/>
      <c r="H1237" s="34"/>
      <c r="I1237" s="195">
        <f>SF!I25</f>
        <v>14.858499999999999</v>
      </c>
      <c r="J1237" s="195">
        <f>SF!J25</f>
        <v>0</v>
      </c>
      <c r="K1237" s="511">
        <v>1.75</v>
      </c>
      <c r="L1237" s="11"/>
    </row>
    <row r="1238" spans="1:12">
      <c r="A1238" s="25" t="s">
        <v>976</v>
      </c>
      <c r="B1238" s="26" t="s">
        <v>978</v>
      </c>
      <c r="C1238" s="26"/>
      <c r="D1238" s="26"/>
      <c r="E1238" s="27"/>
      <c r="F1238" s="195">
        <f>SF!F29</f>
        <v>65.160399999999996</v>
      </c>
      <c r="G1238" s="27"/>
      <c r="H1238" s="34"/>
      <c r="I1238" s="195">
        <f>SF!I29</f>
        <v>-32.580199999999998</v>
      </c>
      <c r="J1238" s="195">
        <f>SF!J29</f>
        <v>-10.105732306306301</v>
      </c>
      <c r="K1238" s="511">
        <v>0.2</v>
      </c>
      <c r="L1238" s="11"/>
    </row>
    <row r="1239" spans="1:12">
      <c r="A1239" s="25" t="s">
        <v>977</v>
      </c>
      <c r="B1239" s="26" t="s">
        <v>979</v>
      </c>
      <c r="C1239" s="26"/>
      <c r="D1239" s="26"/>
      <c r="E1239" s="27"/>
      <c r="F1239" s="195">
        <f>SF!F30</f>
        <v>75.185314285714313</v>
      </c>
      <c r="G1239" s="27"/>
      <c r="H1239" s="34"/>
      <c r="I1239" s="195">
        <f>SF!I30</f>
        <v>37.592657142857156</v>
      </c>
      <c r="J1239" s="195">
        <f>SF!J30</f>
        <v>-11.660497166023164</v>
      </c>
      <c r="K1239" s="511">
        <v>0.2</v>
      </c>
      <c r="L1239" s="266"/>
    </row>
    <row r="1240" spans="1:12">
      <c r="A1240" s="686" t="s">
        <v>1128</v>
      </c>
      <c r="B1240" s="687"/>
      <c r="C1240" s="688"/>
      <c r="D1240" s="688"/>
      <c r="E1240" s="689"/>
      <c r="F1240" s="696">
        <f>SF!F43</f>
        <v>-103.56143333397094</v>
      </c>
      <c r="G1240" s="689"/>
      <c r="H1240" s="690"/>
      <c r="I1240" s="690"/>
      <c r="J1240" s="690"/>
      <c r="K1240" s="433">
        <v>0.15</v>
      </c>
      <c r="L1240" s="266"/>
    </row>
    <row r="1241" spans="1:12">
      <c r="A1241" s="686" t="s">
        <v>1131</v>
      </c>
      <c r="B1241" s="687"/>
      <c r="C1241" s="688"/>
      <c r="D1241" s="688"/>
      <c r="E1241" s="689"/>
      <c r="F1241" s="690"/>
      <c r="G1241" s="696">
        <f>SF!G47</f>
        <v>3.2856246869242693</v>
      </c>
      <c r="H1241" s="696">
        <f>SF!H47</f>
        <v>3.5397182492142409</v>
      </c>
      <c r="I1241" s="696">
        <f>SF!I47</f>
        <v>7.0628515103002814</v>
      </c>
      <c r="J1241" s="696">
        <f>SF!J47</f>
        <v>5.3297614737052639</v>
      </c>
      <c r="K1241" s="433">
        <v>1</v>
      </c>
      <c r="L1241" s="266"/>
    </row>
    <row r="1242" spans="1:12">
      <c r="A1242" s="278" t="s">
        <v>200</v>
      </c>
      <c r="B1242" s="262"/>
      <c r="C1242" s="262"/>
      <c r="D1242" s="262"/>
      <c r="E1242" s="263"/>
      <c r="F1242" s="279"/>
      <c r="G1242" s="280"/>
      <c r="H1242" s="264"/>
      <c r="I1242" s="279"/>
      <c r="J1242" s="264"/>
      <c r="K1242" s="1581">
        <v>1.5</v>
      </c>
      <c r="L1242" s="266"/>
    </row>
    <row r="1243" spans="1:12">
      <c r="A1243" s="25" t="s">
        <v>991</v>
      </c>
      <c r="B1243" s="26" t="s">
        <v>989</v>
      </c>
      <c r="C1243" s="26"/>
      <c r="D1243" s="26"/>
      <c r="E1243" s="27"/>
      <c r="F1243" s="197"/>
      <c r="G1243" s="172">
        <f>SF!G52</f>
        <v>94.821839999999995</v>
      </c>
      <c r="H1243" s="34"/>
      <c r="I1243" s="172">
        <f>SF!I52</f>
        <v>785.12483520000001</v>
      </c>
      <c r="J1243" s="89"/>
      <c r="K1243" s="511">
        <v>1.5</v>
      </c>
      <c r="L1243" s="266"/>
    </row>
    <row r="1244" spans="1:12">
      <c r="A1244" s="25" t="s">
        <v>994</v>
      </c>
      <c r="B1244" s="26" t="s">
        <v>996</v>
      </c>
      <c r="C1244" s="26"/>
      <c r="D1244" s="26"/>
      <c r="E1244" s="27"/>
      <c r="F1244" s="197"/>
      <c r="G1244" s="172">
        <f>SF!G56</f>
        <v>4.5540000000000003</v>
      </c>
      <c r="H1244" s="34"/>
      <c r="I1244" s="172">
        <f>SF!I56</f>
        <v>37.70712000000001</v>
      </c>
      <c r="J1244" s="89"/>
      <c r="K1244" s="433">
        <v>1.5</v>
      </c>
      <c r="L1244" s="266"/>
    </row>
    <row r="1245" spans="1:12">
      <c r="A1245" s="25" t="s">
        <v>217</v>
      </c>
      <c r="B1245" s="26" t="s">
        <v>211</v>
      </c>
      <c r="C1245" s="26"/>
      <c r="D1245" s="26"/>
      <c r="E1245" s="27"/>
      <c r="F1245" s="197"/>
      <c r="G1245" s="196">
        <f>SF!G58</f>
        <v>26.798532263701709</v>
      </c>
      <c r="H1245" s="199"/>
      <c r="I1245" s="172">
        <f>SF!I58</f>
        <v>147.28381289471153</v>
      </c>
      <c r="J1245" s="195"/>
      <c r="K1245" s="433">
        <v>1.5</v>
      </c>
      <c r="L1245" s="266"/>
    </row>
    <row r="1246" spans="1:12">
      <c r="A1246" s="686" t="s">
        <v>1472</v>
      </c>
      <c r="B1246" s="688" t="s">
        <v>1045</v>
      </c>
      <c r="C1246" s="688"/>
      <c r="D1246" s="688"/>
      <c r="E1246" s="689"/>
      <c r="F1246" s="620"/>
      <c r="G1246" s="695">
        <f>SF!G61</f>
        <v>32.345729999999996</v>
      </c>
      <c r="H1246" s="690"/>
      <c r="I1246" s="695">
        <f>SF!I61</f>
        <v>29.111156999999999</v>
      </c>
      <c r="J1246" s="269"/>
      <c r="K1246" s="433">
        <v>1.5</v>
      </c>
      <c r="L1246" s="266"/>
    </row>
    <row r="1247" spans="1:12">
      <c r="A1247" s="686" t="s">
        <v>1139</v>
      </c>
      <c r="B1247" s="688" t="s">
        <v>1140</v>
      </c>
      <c r="C1247" s="688"/>
      <c r="D1247" s="688"/>
      <c r="E1247" s="689"/>
      <c r="F1247" s="620"/>
      <c r="G1247" s="695">
        <f>SF!G63</f>
        <v>19.373390077688924</v>
      </c>
      <c r="H1247" s="690"/>
      <c r="I1247" s="695">
        <f>SF!I63</f>
        <v>37.512792074379419</v>
      </c>
      <c r="J1247" s="269"/>
      <c r="K1247" s="433">
        <v>1</v>
      </c>
      <c r="L1247" s="266"/>
    </row>
    <row r="1248" spans="1:12">
      <c r="A1248" s="278" t="s">
        <v>1817</v>
      </c>
      <c r="B1248" s="262"/>
      <c r="C1248" s="262"/>
      <c r="D1248" s="262"/>
      <c r="E1248" s="263"/>
      <c r="F1248" s="279"/>
      <c r="G1248" s="280"/>
      <c r="H1248" s="264"/>
      <c r="I1248" s="279"/>
      <c r="J1248" s="264"/>
      <c r="K1248" s="1582">
        <v>0.44999999999999996</v>
      </c>
      <c r="L1248" s="266"/>
    </row>
    <row r="1249" spans="1:12">
      <c r="A1249" s="25" t="s">
        <v>997</v>
      </c>
      <c r="B1249" s="26" t="s">
        <v>988</v>
      </c>
      <c r="C1249" s="26"/>
      <c r="D1249" s="26"/>
      <c r="E1249" s="27"/>
      <c r="F1249" s="197"/>
      <c r="G1249" s="211"/>
      <c r="H1249" s="172">
        <f>SF!H67</f>
        <v>47.410919999999997</v>
      </c>
      <c r="I1249" s="197"/>
      <c r="J1249" s="172">
        <f>SF!J67</f>
        <v>433.10062959257624</v>
      </c>
      <c r="K1249" s="511">
        <v>0.44999999999999996</v>
      </c>
      <c r="L1249" s="266"/>
    </row>
    <row r="1250" spans="1:12">
      <c r="A1250" s="25" t="s">
        <v>998</v>
      </c>
      <c r="B1250" s="26" t="s">
        <v>989</v>
      </c>
      <c r="C1250" s="26"/>
      <c r="D1250" s="26"/>
      <c r="E1250" s="27"/>
      <c r="F1250" s="197"/>
      <c r="G1250" s="211"/>
      <c r="H1250" s="172">
        <f>SF!H68</f>
        <v>47.410919999999997</v>
      </c>
      <c r="I1250" s="197"/>
      <c r="J1250" s="172">
        <f>SF!J68</f>
        <v>433.10062959257624</v>
      </c>
      <c r="K1250" s="433">
        <v>0.44999999999999996</v>
      </c>
      <c r="L1250" s="266"/>
    </row>
    <row r="1251" spans="1:12">
      <c r="A1251" s="25" t="s">
        <v>1004</v>
      </c>
      <c r="B1251" s="26" t="s">
        <v>1000</v>
      </c>
      <c r="C1251" s="26"/>
      <c r="D1251" s="26"/>
      <c r="E1251" s="27"/>
      <c r="F1251" s="197"/>
      <c r="G1251" s="211"/>
      <c r="H1251" s="172">
        <f>SF!H72</f>
        <v>10.555984799999999</v>
      </c>
      <c r="I1251" s="197"/>
      <c r="J1251" s="172">
        <f>SF!J72</f>
        <v>115.74637333199999</v>
      </c>
      <c r="K1251" s="433">
        <v>0.09</v>
      </c>
      <c r="L1251" s="266"/>
    </row>
    <row r="1252" spans="1:12">
      <c r="A1252" s="25" t="s">
        <v>1005</v>
      </c>
      <c r="B1252" s="26" t="s">
        <v>1001</v>
      </c>
      <c r="C1252" s="26"/>
      <c r="D1252" s="26"/>
      <c r="E1252" s="27"/>
      <c r="F1252" s="197"/>
      <c r="G1252" s="211"/>
      <c r="H1252" s="172">
        <f>SF!H73</f>
        <v>12.18002091428572</v>
      </c>
      <c r="I1252" s="197"/>
      <c r="J1252" s="172">
        <f>SF!J73</f>
        <v>133.55392932514292</v>
      </c>
      <c r="K1252" s="433">
        <v>0.09</v>
      </c>
      <c r="L1252" s="266"/>
    </row>
    <row r="1253" spans="1:12">
      <c r="A1253" s="25" t="s">
        <v>1006</v>
      </c>
      <c r="B1253" s="26" t="s">
        <v>211</v>
      </c>
      <c r="C1253" s="26"/>
      <c r="D1253" s="26"/>
      <c r="E1253" s="27"/>
      <c r="F1253" s="197"/>
      <c r="G1253" s="195"/>
      <c r="H1253" s="172">
        <f>SF!H78</f>
        <v>26.798532263701709</v>
      </c>
      <c r="I1253" s="195"/>
      <c r="J1253" s="172">
        <f>SF!J78</f>
        <v>147.28381289471153</v>
      </c>
      <c r="K1253" s="433">
        <v>0.44999999999999996</v>
      </c>
      <c r="L1253" s="266"/>
    </row>
    <row r="1254" spans="1:12">
      <c r="A1254" s="686" t="s">
        <v>1138</v>
      </c>
      <c r="B1254" s="688" t="s">
        <v>1045</v>
      </c>
      <c r="C1254" s="688"/>
      <c r="D1254" s="688"/>
      <c r="E1254" s="689"/>
      <c r="F1254" s="620"/>
      <c r="G1254" s="711"/>
      <c r="H1254" s="989">
        <f>SF!H81</f>
        <v>32.345729999999996</v>
      </c>
      <c r="I1254" s="696"/>
      <c r="J1254" s="989">
        <f>SF!J81</f>
        <v>29.111156999999999</v>
      </c>
      <c r="K1254" s="433">
        <v>0.44999999999999996</v>
      </c>
      <c r="L1254" s="266"/>
    </row>
    <row r="1255" spans="1:12">
      <c r="A1255" s="686" t="s">
        <v>1138</v>
      </c>
      <c r="B1255" s="688" t="s">
        <v>1141</v>
      </c>
      <c r="C1255" s="26"/>
      <c r="D1255" s="26"/>
      <c r="E1255" s="27"/>
      <c r="F1255" s="34"/>
      <c r="G1255" s="27"/>
      <c r="H1255" s="989">
        <f>SF!H83</f>
        <v>19.373390077688924</v>
      </c>
      <c r="I1255" s="696"/>
      <c r="J1255" s="989">
        <f>SF!J83</f>
        <v>37.512792074379419</v>
      </c>
      <c r="K1255" s="433">
        <v>0.3</v>
      </c>
      <c r="L1255" s="266"/>
    </row>
    <row r="1256" spans="1:12">
      <c r="A1256" s="990" t="s">
        <v>204</v>
      </c>
      <c r="B1256" s="661"/>
      <c r="C1256" s="661"/>
      <c r="D1256" s="661"/>
      <c r="E1256" s="584"/>
      <c r="F1256" s="991"/>
      <c r="G1256" s="992"/>
      <c r="H1256" s="370"/>
      <c r="I1256" s="991"/>
      <c r="J1256" s="370"/>
      <c r="K1256" s="1583">
        <v>0.44999999999999996</v>
      </c>
      <c r="L1256" s="266"/>
    </row>
    <row r="1257" spans="1:12">
      <c r="A1257" s="25" t="s">
        <v>1007</v>
      </c>
      <c r="B1257" s="26" t="s">
        <v>988</v>
      </c>
      <c r="C1257" s="26"/>
      <c r="D1257" s="26"/>
      <c r="E1257" s="27"/>
      <c r="F1257" s="196">
        <f>SF!F87</f>
        <v>31.607279999999999</v>
      </c>
      <c r="G1257" s="211"/>
      <c r="H1257" s="34"/>
      <c r="I1257" s="196">
        <f>SF!I87</f>
        <v>-15.140358000000003</v>
      </c>
      <c r="J1257" s="196">
        <f>SF!J87</f>
        <v>0</v>
      </c>
      <c r="K1257" s="433">
        <v>-0.44999999999999996</v>
      </c>
      <c r="L1257" s="266"/>
    </row>
    <row r="1258" spans="1:12">
      <c r="A1258" s="25" t="s">
        <v>1008</v>
      </c>
      <c r="B1258" s="26" t="s">
        <v>989</v>
      </c>
      <c r="C1258" s="26"/>
      <c r="D1258" s="26"/>
      <c r="E1258" s="27"/>
      <c r="F1258" s="196">
        <f>SF!F88</f>
        <v>31.607279999999999</v>
      </c>
      <c r="G1258" s="211"/>
      <c r="H1258" s="34"/>
      <c r="I1258" s="196">
        <f>SF!I88</f>
        <v>15.140358000000003</v>
      </c>
      <c r="J1258" s="196">
        <f>SF!J88</f>
        <v>0</v>
      </c>
      <c r="K1258" s="511">
        <v>-0.44999999999999996</v>
      </c>
      <c r="L1258" s="266"/>
    </row>
    <row r="1259" spans="1:12">
      <c r="A1259" s="25" t="s">
        <v>1009</v>
      </c>
      <c r="B1259" s="26" t="s">
        <v>1000</v>
      </c>
      <c r="C1259" s="26"/>
      <c r="D1259" s="26"/>
      <c r="E1259" s="27"/>
      <c r="F1259" s="196">
        <f>SF!F92</f>
        <v>7.0373232000000003</v>
      </c>
      <c r="G1259" s="211"/>
      <c r="H1259" s="34"/>
      <c r="I1259" s="196">
        <f>SF!I92</f>
        <v>-3.5186616000000002</v>
      </c>
      <c r="J1259" s="196">
        <f>SF!J92</f>
        <v>-1.0914190890810807</v>
      </c>
      <c r="K1259" s="511">
        <v>-0.09</v>
      </c>
      <c r="L1259" s="266"/>
    </row>
    <row r="1260" spans="1:12">
      <c r="A1260" s="25" t="s">
        <v>1010</v>
      </c>
      <c r="B1260" s="26" t="s">
        <v>1001</v>
      </c>
      <c r="C1260" s="26"/>
      <c r="D1260" s="26"/>
      <c r="E1260" s="27"/>
      <c r="F1260" s="196">
        <f>SF!F93</f>
        <v>8.1200139428571472</v>
      </c>
      <c r="G1260" s="211"/>
      <c r="H1260" s="34"/>
      <c r="I1260" s="196">
        <f>SF!I93</f>
        <v>4.0600069714285736</v>
      </c>
      <c r="J1260" s="196">
        <f>SF!J93</f>
        <v>-1.259333693930502</v>
      </c>
      <c r="K1260" s="511">
        <v>-0.09</v>
      </c>
      <c r="L1260" s="266"/>
    </row>
    <row r="1261" spans="1:12">
      <c r="A1261" s="25" t="s">
        <v>1011</v>
      </c>
      <c r="B1261" s="26" t="s">
        <v>211</v>
      </c>
      <c r="C1261" s="26"/>
      <c r="D1261" s="26"/>
      <c r="E1261" s="27"/>
      <c r="F1261" s="196">
        <f>SF!F98</f>
        <v>17.865688175801139</v>
      </c>
      <c r="G1261" s="211"/>
      <c r="H1261" s="197"/>
      <c r="I1261" s="196">
        <f>SF!I98</f>
        <v>0</v>
      </c>
      <c r="J1261" s="196">
        <f>SF!J98</f>
        <v>0</v>
      </c>
      <c r="K1261" s="511">
        <v>-0.44999999999999996</v>
      </c>
      <c r="L1261" s="266"/>
    </row>
    <row r="1262" spans="1:12">
      <c r="A1262" s="686" t="s">
        <v>1473</v>
      </c>
      <c r="B1262" s="688" t="s">
        <v>1045</v>
      </c>
      <c r="C1262" s="688"/>
      <c r="D1262" s="688"/>
      <c r="E1262" s="689"/>
      <c r="F1262" s="695">
        <f>SF!F101</f>
        <v>21.56382</v>
      </c>
      <c r="G1262" s="621"/>
      <c r="H1262" s="620"/>
      <c r="I1262" s="695">
        <f>SF!I101</f>
        <v>0</v>
      </c>
      <c r="J1262" s="695">
        <f>SF!J101</f>
        <v>0</v>
      </c>
      <c r="K1262" s="511">
        <v>-0.44999999999999996</v>
      </c>
      <c r="L1262" s="266"/>
    </row>
    <row r="1263" spans="1:12">
      <c r="A1263" s="253"/>
      <c r="B1263" s="15"/>
      <c r="C1263" s="15"/>
      <c r="D1263" s="15"/>
      <c r="E1263" s="22"/>
      <c r="F1263" s="212"/>
      <c r="G1263" s="213"/>
      <c r="H1263" s="198"/>
      <c r="I1263" s="198"/>
      <c r="J1263" s="58"/>
      <c r="K1263" s="208"/>
      <c r="L1263" s="293"/>
    </row>
    <row r="1264" spans="1:12">
      <c r="A1264" s="46"/>
      <c r="B1264" s="46"/>
      <c r="C1264" s="46"/>
      <c r="D1264" s="46"/>
      <c r="E1264" s="46"/>
      <c r="F1264" s="46"/>
      <c r="G1264" s="46"/>
      <c r="H1264" s="46"/>
      <c r="I1264" s="46"/>
      <c r="J1264" s="46"/>
      <c r="K1264" s="87"/>
      <c r="L1264" s="293"/>
    </row>
    <row r="1265" spans="1:12">
      <c r="A1265" s="220" t="s">
        <v>73</v>
      </c>
      <c r="B1265" s="220" t="s">
        <v>74</v>
      </c>
      <c r="C1265" s="200"/>
      <c r="D1265" s="200"/>
      <c r="E1265" s="217"/>
      <c r="F1265" s="1636" t="s">
        <v>72</v>
      </c>
      <c r="G1265" s="1637"/>
      <c r="H1265" s="1637"/>
      <c r="I1265" s="1637"/>
      <c r="J1265" s="1638"/>
      <c r="K1265" s="87"/>
      <c r="L1265" s="293"/>
    </row>
    <row r="1266" spans="1:12" ht="18">
      <c r="A1266" s="221"/>
      <c r="B1266" s="221"/>
      <c r="C1266" s="201"/>
      <c r="D1266" s="201"/>
      <c r="E1266" s="219"/>
      <c r="F1266" s="223" t="s">
        <v>23</v>
      </c>
      <c r="G1266" s="223" t="s">
        <v>87</v>
      </c>
      <c r="H1266" s="223" t="s">
        <v>212</v>
      </c>
      <c r="I1266" s="223" t="s">
        <v>80</v>
      </c>
      <c r="J1266" s="223" t="s">
        <v>81</v>
      </c>
      <c r="K1266" s="87"/>
      <c r="L1266" s="293"/>
    </row>
    <row r="1267" spans="1:12">
      <c r="A1267" s="222"/>
      <c r="B1267" s="222"/>
      <c r="C1267" s="203"/>
      <c r="D1267" s="203"/>
      <c r="E1267" s="218"/>
      <c r="F1267" s="204" t="s">
        <v>34</v>
      </c>
      <c r="G1267" s="204" t="s">
        <v>34</v>
      </c>
      <c r="H1267" s="203" t="s">
        <v>34</v>
      </c>
      <c r="I1267" s="204" t="s">
        <v>77</v>
      </c>
      <c r="J1267" s="204" t="s">
        <v>77</v>
      </c>
      <c r="K1267" s="87"/>
      <c r="L1267" s="293"/>
    </row>
    <row r="1268" spans="1:12">
      <c r="A1268" s="202"/>
      <c r="B1268" s="200"/>
      <c r="C1268" s="200"/>
      <c r="D1268" s="200"/>
      <c r="E1268" s="217"/>
      <c r="F1268" s="205"/>
      <c r="G1268" s="205"/>
      <c r="H1268" s="201"/>
      <c r="I1268" s="205"/>
      <c r="J1268" s="205"/>
      <c r="K1268" s="87"/>
      <c r="L1268" s="293"/>
    </row>
    <row r="1269" spans="1:12">
      <c r="A1269" s="205" t="str">
        <f>A1227</f>
        <v>LC-41</v>
      </c>
      <c r="B1269" s="201" t="str">
        <f>B1227</f>
        <v>LC-23 + Seismic Sx=1,Sz=0.3,Sy=-0.3</v>
      </c>
      <c r="C1269" s="201"/>
      <c r="D1269" s="201"/>
      <c r="E1269" s="219"/>
      <c r="F1269" s="205">
        <f>SUMPRODUCT(F1230:F1262,$K$1230:$K$1262)</f>
        <v>1314.2944750029494</v>
      </c>
      <c r="G1269" s="219">
        <f>SUMPRODUCT(G1230:G1262,$K$1230:$K$1262)</f>
        <v>260.43916816016576</v>
      </c>
      <c r="H1269" s="219">
        <f>SUMPRODUCT(H1230:H1262,$K$1230:$K$1262)</f>
        <v>80.682721805472397</v>
      </c>
      <c r="I1269" s="219">
        <f>SUMPRODUCT(I1230:I1262,$K$1230:$K$1262)</f>
        <v>1550.3132015718897</v>
      </c>
      <c r="J1269" s="219">
        <f>SUMPRODUCT(J1230:J1262,$K$1230:$K$1262)</f>
        <v>504.04725127710589</v>
      </c>
      <c r="K1269" s="87"/>
      <c r="L1269" s="293"/>
    </row>
    <row r="1270" spans="1:12">
      <c r="A1270" s="204"/>
      <c r="B1270" s="203"/>
      <c r="C1270" s="203"/>
      <c r="D1270" s="203"/>
      <c r="E1270" s="218"/>
      <c r="F1270" s="204"/>
      <c r="G1270" s="204"/>
      <c r="H1270" s="203"/>
      <c r="I1270" s="204"/>
      <c r="J1270" s="204"/>
      <c r="K1270" s="87"/>
      <c r="L1270" s="293"/>
    </row>
    <row r="1273" spans="1:12">
      <c r="A1273" s="811" t="str">
        <f>K1273</f>
        <v>LC-42</v>
      </c>
      <c r="B1273" s="31" t="str">
        <f>VLOOKUP(A1273,LC_DEF_2!A45:B92,2,FALSE)</f>
        <v>LC-23 + Seismic Sx=0.3,Sz=1,Sy=-0.3</v>
      </c>
      <c r="C1273" s="31"/>
      <c r="D1273" s="31"/>
      <c r="E1273" s="32"/>
      <c r="F1273" s="1599" t="s">
        <v>742</v>
      </c>
      <c r="G1273" s="1635"/>
      <c r="H1273" s="1635"/>
      <c r="I1273" s="1635"/>
      <c r="J1273" s="1600"/>
      <c r="K1273" s="1580" t="s">
        <v>1423</v>
      </c>
      <c r="L1273" s="293"/>
    </row>
    <row r="1274" spans="1:12" ht="18">
      <c r="A1274" s="25" t="s">
        <v>73</v>
      </c>
      <c r="B1274" s="26" t="s">
        <v>74</v>
      </c>
      <c r="C1274" s="26"/>
      <c r="D1274" s="26"/>
      <c r="E1274" s="27"/>
      <c r="F1274" s="58" t="s">
        <v>23</v>
      </c>
      <c r="G1274" s="58" t="s">
        <v>87</v>
      </c>
      <c r="H1274" s="58" t="s">
        <v>212</v>
      </c>
      <c r="I1274" s="58" t="s">
        <v>80</v>
      </c>
      <c r="J1274" s="58" t="s">
        <v>81</v>
      </c>
      <c r="K1274" s="433"/>
      <c r="L1274" s="293"/>
    </row>
    <row r="1275" spans="1:12">
      <c r="A1275" s="25"/>
      <c r="B1275" s="26"/>
      <c r="C1275" s="26"/>
      <c r="D1275" s="26"/>
      <c r="E1275" s="27"/>
      <c r="F1275" s="36" t="s">
        <v>34</v>
      </c>
      <c r="G1275" s="36" t="s">
        <v>34</v>
      </c>
      <c r="H1275" s="36" t="s">
        <v>34</v>
      </c>
      <c r="I1275" s="36" t="s">
        <v>77</v>
      </c>
      <c r="J1275" s="36" t="s">
        <v>77</v>
      </c>
      <c r="K1275" s="433"/>
      <c r="L1275" s="293"/>
    </row>
    <row r="1276" spans="1:12">
      <c r="A1276" s="25" t="s">
        <v>88</v>
      </c>
      <c r="B1276" s="26" t="s">
        <v>75</v>
      </c>
      <c r="C1276" s="26"/>
      <c r="D1276" s="26"/>
      <c r="E1276" s="27"/>
      <c r="F1276" s="195">
        <f>SF!F14</f>
        <v>365.08803866482532</v>
      </c>
      <c r="G1276" s="210"/>
      <c r="H1276" s="34"/>
      <c r="I1276" s="195">
        <f>SF!I14</f>
        <v>0</v>
      </c>
      <c r="J1276" s="195">
        <f>SF!J14</f>
        <v>0</v>
      </c>
      <c r="K1276" s="511">
        <v>1.35</v>
      </c>
      <c r="L1276" s="266"/>
    </row>
    <row r="1277" spans="1:12">
      <c r="A1277" s="25" t="s">
        <v>90</v>
      </c>
      <c r="B1277" s="26" t="s">
        <v>249</v>
      </c>
      <c r="C1277" s="26"/>
      <c r="D1277" s="26"/>
      <c r="E1277" s="27"/>
      <c r="F1277" s="195">
        <f>SF!F16</f>
        <v>36.639026644707663</v>
      </c>
      <c r="G1277" s="210"/>
      <c r="H1277" s="34"/>
      <c r="I1277" s="195">
        <f>SF!I16</f>
        <v>0</v>
      </c>
      <c r="J1277" s="195">
        <f>SF!J16</f>
        <v>0</v>
      </c>
      <c r="K1277" s="511">
        <v>1.35</v>
      </c>
      <c r="L1277" s="266"/>
    </row>
    <row r="1278" spans="1:12">
      <c r="A1278" s="25" t="s">
        <v>250</v>
      </c>
      <c r="B1278" s="26" t="s">
        <v>967</v>
      </c>
      <c r="C1278" s="26"/>
      <c r="D1278" s="26"/>
      <c r="E1278" s="27"/>
      <c r="F1278" s="195">
        <f>SF!F19</f>
        <v>230</v>
      </c>
      <c r="G1278" s="27"/>
      <c r="H1278" s="34"/>
      <c r="I1278" s="195">
        <f>SF!I19</f>
        <v>-115</v>
      </c>
      <c r="J1278" s="195">
        <f>SF!J19</f>
        <v>0</v>
      </c>
      <c r="K1278" s="433">
        <v>1.35</v>
      </c>
      <c r="L1278" s="11"/>
    </row>
    <row r="1279" spans="1:12">
      <c r="A1279" s="25" t="s">
        <v>251</v>
      </c>
      <c r="B1279" s="26" t="s">
        <v>968</v>
      </c>
      <c r="C1279" s="26"/>
      <c r="D1279" s="26"/>
      <c r="E1279" s="27"/>
      <c r="F1279" s="195">
        <f>SF!F20</f>
        <v>20.660000000000004</v>
      </c>
      <c r="G1279" s="27"/>
      <c r="H1279" s="34"/>
      <c r="I1279" s="195">
        <f>SF!I20</f>
        <v>-10.330000000000002</v>
      </c>
      <c r="J1279" s="195">
        <f>SF!J20</f>
        <v>0</v>
      </c>
      <c r="K1279" s="433">
        <v>1.35</v>
      </c>
      <c r="L1279" s="11"/>
    </row>
    <row r="1280" spans="1:12">
      <c r="A1280" s="25" t="s">
        <v>97</v>
      </c>
      <c r="B1280" s="26" t="s">
        <v>969</v>
      </c>
      <c r="C1280" s="26"/>
      <c r="D1280" s="26"/>
      <c r="E1280" s="27"/>
      <c r="F1280" s="195">
        <f>SF!F21</f>
        <v>42</v>
      </c>
      <c r="G1280" s="27"/>
      <c r="H1280" s="34"/>
      <c r="I1280" s="195">
        <f>SF!I21</f>
        <v>-14.858499999999999</v>
      </c>
      <c r="J1280" s="195">
        <f>SF!J21</f>
        <v>0</v>
      </c>
      <c r="K1280" s="433">
        <v>1.35</v>
      </c>
      <c r="L1280" s="11"/>
    </row>
    <row r="1281" spans="1:12">
      <c r="A1281" s="25" t="s">
        <v>250</v>
      </c>
      <c r="B1281" s="26" t="s">
        <v>970</v>
      </c>
      <c r="C1281" s="26"/>
      <c r="D1281" s="26"/>
      <c r="E1281" s="27"/>
      <c r="F1281" s="195">
        <f>SF!F23</f>
        <v>230</v>
      </c>
      <c r="G1281" s="27"/>
      <c r="H1281" s="34"/>
      <c r="I1281" s="195">
        <f>SF!I23</f>
        <v>115</v>
      </c>
      <c r="J1281" s="195">
        <f>SF!J23</f>
        <v>0</v>
      </c>
      <c r="K1281" s="433">
        <v>1.35</v>
      </c>
      <c r="L1281" s="11"/>
    </row>
    <row r="1282" spans="1:12">
      <c r="A1282" s="25" t="s">
        <v>251</v>
      </c>
      <c r="B1282" s="26" t="s">
        <v>971</v>
      </c>
      <c r="C1282" s="26"/>
      <c r="D1282" s="26"/>
      <c r="E1282" s="27"/>
      <c r="F1282" s="195">
        <f>SF!F24</f>
        <v>20.660000000000004</v>
      </c>
      <c r="G1282" s="27"/>
      <c r="H1282" s="34"/>
      <c r="I1282" s="195">
        <f>SF!I24</f>
        <v>10.330000000000002</v>
      </c>
      <c r="J1282" s="195">
        <f>SF!J24</f>
        <v>0</v>
      </c>
      <c r="K1282" s="433">
        <v>1.35</v>
      </c>
      <c r="L1282" s="266"/>
    </row>
    <row r="1283" spans="1:12">
      <c r="A1283" s="25" t="s">
        <v>97</v>
      </c>
      <c r="B1283" s="26" t="s">
        <v>972</v>
      </c>
      <c r="C1283" s="26"/>
      <c r="D1283" s="26"/>
      <c r="E1283" s="27"/>
      <c r="F1283" s="195">
        <f>SF!F25</f>
        <v>42</v>
      </c>
      <c r="G1283" s="27"/>
      <c r="H1283" s="34"/>
      <c r="I1283" s="195">
        <f>SF!I25</f>
        <v>14.858499999999999</v>
      </c>
      <c r="J1283" s="195">
        <f>SF!J25</f>
        <v>0</v>
      </c>
      <c r="K1283" s="511">
        <v>1.75</v>
      </c>
      <c r="L1283" s="11"/>
    </row>
    <row r="1284" spans="1:12">
      <c r="A1284" s="25" t="s">
        <v>976</v>
      </c>
      <c r="B1284" s="26" t="s">
        <v>978</v>
      </c>
      <c r="C1284" s="26"/>
      <c r="D1284" s="26"/>
      <c r="E1284" s="27"/>
      <c r="F1284" s="195">
        <f>SF!F29</f>
        <v>65.160399999999996</v>
      </c>
      <c r="G1284" s="27"/>
      <c r="H1284" s="34"/>
      <c r="I1284" s="195">
        <f>SF!I29</f>
        <v>-32.580199999999998</v>
      </c>
      <c r="J1284" s="195">
        <f>SF!J29</f>
        <v>-10.105732306306301</v>
      </c>
      <c r="K1284" s="511">
        <v>0.2</v>
      </c>
      <c r="L1284" s="11"/>
    </row>
    <row r="1285" spans="1:12">
      <c r="A1285" s="25" t="s">
        <v>977</v>
      </c>
      <c r="B1285" s="26" t="s">
        <v>979</v>
      </c>
      <c r="C1285" s="26"/>
      <c r="D1285" s="26"/>
      <c r="E1285" s="27"/>
      <c r="F1285" s="195">
        <f>SF!F30</f>
        <v>75.185314285714313</v>
      </c>
      <c r="G1285" s="27"/>
      <c r="H1285" s="34"/>
      <c r="I1285" s="195">
        <f>SF!I30</f>
        <v>37.592657142857156</v>
      </c>
      <c r="J1285" s="195">
        <f>SF!J30</f>
        <v>-11.660497166023164</v>
      </c>
      <c r="K1285" s="511">
        <v>0.2</v>
      </c>
      <c r="L1285" s="266"/>
    </row>
    <row r="1286" spans="1:12">
      <c r="A1286" s="686" t="s">
        <v>1128</v>
      </c>
      <c r="B1286" s="687"/>
      <c r="C1286" s="688"/>
      <c r="D1286" s="688"/>
      <c r="E1286" s="689"/>
      <c r="F1286" s="696">
        <f>SF!F43</f>
        <v>-103.56143333397094</v>
      </c>
      <c r="G1286" s="689"/>
      <c r="H1286" s="690"/>
      <c r="I1286" s="690"/>
      <c r="J1286" s="690"/>
      <c r="K1286" s="433">
        <v>0.15</v>
      </c>
      <c r="L1286" s="266"/>
    </row>
    <row r="1287" spans="1:12">
      <c r="A1287" s="686" t="s">
        <v>1131</v>
      </c>
      <c r="B1287" s="687"/>
      <c r="C1287" s="688"/>
      <c r="D1287" s="688"/>
      <c r="E1287" s="689"/>
      <c r="F1287" s="690"/>
      <c r="G1287" s="696">
        <f>SF!G47</f>
        <v>3.2856246869242693</v>
      </c>
      <c r="H1287" s="696">
        <f>SF!H47</f>
        <v>3.5397182492142409</v>
      </c>
      <c r="I1287" s="696">
        <f>SF!I47</f>
        <v>7.0628515103002814</v>
      </c>
      <c r="J1287" s="696">
        <f>SF!J47</f>
        <v>5.3297614737052639</v>
      </c>
      <c r="K1287" s="433">
        <v>1</v>
      </c>
      <c r="L1287" s="266"/>
    </row>
    <row r="1288" spans="1:12">
      <c r="A1288" s="278" t="s">
        <v>200</v>
      </c>
      <c r="B1288" s="262"/>
      <c r="C1288" s="262"/>
      <c r="D1288" s="262"/>
      <c r="E1288" s="263"/>
      <c r="F1288" s="279"/>
      <c r="G1288" s="280"/>
      <c r="H1288" s="264"/>
      <c r="I1288" s="279"/>
      <c r="J1288" s="264"/>
      <c r="K1288" s="1581">
        <v>1.5</v>
      </c>
      <c r="L1288" s="266"/>
    </row>
    <row r="1289" spans="1:12">
      <c r="A1289" s="25" t="s">
        <v>991</v>
      </c>
      <c r="B1289" s="26" t="s">
        <v>989</v>
      </c>
      <c r="C1289" s="26"/>
      <c r="D1289" s="26"/>
      <c r="E1289" s="27"/>
      <c r="F1289" s="197"/>
      <c r="G1289" s="172">
        <f>SF!G52</f>
        <v>94.821839999999995</v>
      </c>
      <c r="H1289" s="34"/>
      <c r="I1289" s="172">
        <f>SF!I52</f>
        <v>785.12483520000001</v>
      </c>
      <c r="J1289" s="89"/>
      <c r="K1289" s="511">
        <v>0.44999999999999996</v>
      </c>
      <c r="L1289" s="266"/>
    </row>
    <row r="1290" spans="1:12">
      <c r="A1290" s="25" t="s">
        <v>994</v>
      </c>
      <c r="B1290" s="26" t="s">
        <v>996</v>
      </c>
      <c r="C1290" s="26"/>
      <c r="D1290" s="26"/>
      <c r="E1290" s="27"/>
      <c r="F1290" s="197"/>
      <c r="G1290" s="172">
        <f>SF!G56</f>
        <v>4.5540000000000003</v>
      </c>
      <c r="H1290" s="34"/>
      <c r="I1290" s="172">
        <f>SF!I56</f>
        <v>37.70712000000001</v>
      </c>
      <c r="J1290" s="89"/>
      <c r="K1290" s="433">
        <v>1.5</v>
      </c>
      <c r="L1290" s="266"/>
    </row>
    <row r="1291" spans="1:12">
      <c r="A1291" s="25" t="s">
        <v>217</v>
      </c>
      <c r="B1291" s="26" t="s">
        <v>211</v>
      </c>
      <c r="C1291" s="26"/>
      <c r="D1291" s="26"/>
      <c r="E1291" s="27"/>
      <c r="F1291" s="197"/>
      <c r="G1291" s="196">
        <f>SF!G58</f>
        <v>26.798532263701709</v>
      </c>
      <c r="H1291" s="199"/>
      <c r="I1291" s="172">
        <f>SF!I58</f>
        <v>147.28381289471153</v>
      </c>
      <c r="J1291" s="195"/>
      <c r="K1291" s="433">
        <v>0.44999999999999996</v>
      </c>
      <c r="L1291" s="266"/>
    </row>
    <row r="1292" spans="1:12">
      <c r="A1292" s="686" t="s">
        <v>1472</v>
      </c>
      <c r="B1292" s="688" t="s">
        <v>1045</v>
      </c>
      <c r="C1292" s="688"/>
      <c r="D1292" s="688"/>
      <c r="E1292" s="689"/>
      <c r="F1292" s="620"/>
      <c r="G1292" s="695">
        <f>SF!G61</f>
        <v>32.345729999999996</v>
      </c>
      <c r="H1292" s="690"/>
      <c r="I1292" s="695">
        <f>SF!I61</f>
        <v>29.111156999999999</v>
      </c>
      <c r="J1292" s="269"/>
      <c r="K1292" s="433">
        <v>0.44999999999999996</v>
      </c>
      <c r="L1292" s="266"/>
    </row>
    <row r="1293" spans="1:12">
      <c r="A1293" s="686" t="s">
        <v>1139</v>
      </c>
      <c r="B1293" s="688" t="s">
        <v>1140</v>
      </c>
      <c r="C1293" s="688"/>
      <c r="D1293" s="688"/>
      <c r="E1293" s="689"/>
      <c r="F1293" s="620"/>
      <c r="G1293" s="695">
        <f>SF!G63</f>
        <v>19.373390077688924</v>
      </c>
      <c r="H1293" s="690"/>
      <c r="I1293" s="695">
        <f>SF!I63</f>
        <v>37.512792074379419</v>
      </c>
      <c r="J1293" s="269"/>
      <c r="K1293" s="433">
        <v>0.3</v>
      </c>
      <c r="L1293" s="266"/>
    </row>
    <row r="1294" spans="1:12">
      <c r="A1294" s="278" t="s">
        <v>1817</v>
      </c>
      <c r="B1294" s="262"/>
      <c r="C1294" s="262"/>
      <c r="D1294" s="262"/>
      <c r="E1294" s="263"/>
      <c r="F1294" s="279"/>
      <c r="G1294" s="280"/>
      <c r="H1294" s="264"/>
      <c r="I1294" s="279"/>
      <c r="J1294" s="264"/>
      <c r="K1294" s="1582">
        <v>1.5</v>
      </c>
      <c r="L1294" s="266"/>
    </row>
    <row r="1295" spans="1:12">
      <c r="A1295" s="25" t="s">
        <v>997</v>
      </c>
      <c r="B1295" s="26" t="s">
        <v>988</v>
      </c>
      <c r="C1295" s="26"/>
      <c r="D1295" s="26"/>
      <c r="E1295" s="27"/>
      <c r="F1295" s="197"/>
      <c r="G1295" s="211"/>
      <c r="H1295" s="172">
        <f>SF!H67</f>
        <v>47.410919999999997</v>
      </c>
      <c r="I1295" s="197"/>
      <c r="J1295" s="172">
        <f>SF!J67</f>
        <v>433.10062959257624</v>
      </c>
      <c r="K1295" s="511">
        <v>1.5</v>
      </c>
      <c r="L1295" s="266"/>
    </row>
    <row r="1296" spans="1:12">
      <c r="A1296" s="25" t="s">
        <v>998</v>
      </c>
      <c r="B1296" s="26" t="s">
        <v>989</v>
      </c>
      <c r="C1296" s="26"/>
      <c r="D1296" s="26"/>
      <c r="E1296" s="27"/>
      <c r="F1296" s="197"/>
      <c r="G1296" s="211"/>
      <c r="H1296" s="172">
        <f>SF!H68</f>
        <v>47.410919999999997</v>
      </c>
      <c r="I1296" s="197"/>
      <c r="J1296" s="172">
        <f>SF!J68</f>
        <v>433.10062959257624</v>
      </c>
      <c r="K1296" s="433">
        <v>1.5</v>
      </c>
      <c r="L1296" s="266"/>
    </row>
    <row r="1297" spans="1:12">
      <c r="A1297" s="25" t="s">
        <v>1004</v>
      </c>
      <c r="B1297" s="26" t="s">
        <v>1000</v>
      </c>
      <c r="C1297" s="26"/>
      <c r="D1297" s="26"/>
      <c r="E1297" s="27"/>
      <c r="F1297" s="197"/>
      <c r="G1297" s="211"/>
      <c r="H1297" s="172">
        <f>SF!H72</f>
        <v>10.555984799999999</v>
      </c>
      <c r="I1297" s="197"/>
      <c r="J1297" s="172">
        <f>SF!J72</f>
        <v>115.74637333199999</v>
      </c>
      <c r="K1297" s="433">
        <v>0.30000000000000004</v>
      </c>
      <c r="L1297" s="266"/>
    </row>
    <row r="1298" spans="1:12">
      <c r="A1298" s="25" t="s">
        <v>1005</v>
      </c>
      <c r="B1298" s="26" t="s">
        <v>1001</v>
      </c>
      <c r="C1298" s="26"/>
      <c r="D1298" s="26"/>
      <c r="E1298" s="27"/>
      <c r="F1298" s="197"/>
      <c r="G1298" s="211"/>
      <c r="H1298" s="172">
        <f>SF!H73</f>
        <v>12.18002091428572</v>
      </c>
      <c r="I1298" s="197"/>
      <c r="J1298" s="172">
        <f>SF!J73</f>
        <v>133.55392932514292</v>
      </c>
      <c r="K1298" s="433">
        <v>0.30000000000000004</v>
      </c>
      <c r="L1298" s="266"/>
    </row>
    <row r="1299" spans="1:12">
      <c r="A1299" s="25" t="s">
        <v>1006</v>
      </c>
      <c r="B1299" s="26" t="s">
        <v>211</v>
      </c>
      <c r="C1299" s="26"/>
      <c r="D1299" s="26"/>
      <c r="E1299" s="27"/>
      <c r="F1299" s="197"/>
      <c r="G1299" s="195"/>
      <c r="H1299" s="172">
        <f>SF!H78</f>
        <v>26.798532263701709</v>
      </c>
      <c r="I1299" s="195"/>
      <c r="J1299" s="172">
        <f>SF!J78</f>
        <v>147.28381289471153</v>
      </c>
      <c r="K1299" s="433">
        <v>1.5</v>
      </c>
      <c r="L1299" s="266"/>
    </row>
    <row r="1300" spans="1:12">
      <c r="A1300" s="686" t="s">
        <v>1138</v>
      </c>
      <c r="B1300" s="688" t="s">
        <v>1045</v>
      </c>
      <c r="C1300" s="688"/>
      <c r="D1300" s="688"/>
      <c r="E1300" s="689"/>
      <c r="F1300" s="620"/>
      <c r="G1300" s="711"/>
      <c r="H1300" s="989">
        <f>SF!H81</f>
        <v>32.345729999999996</v>
      </c>
      <c r="I1300" s="696"/>
      <c r="J1300" s="989">
        <f>SF!J81</f>
        <v>29.111156999999999</v>
      </c>
      <c r="K1300" s="433">
        <v>1.5</v>
      </c>
      <c r="L1300" s="266"/>
    </row>
    <row r="1301" spans="1:12">
      <c r="A1301" s="686" t="s">
        <v>1138</v>
      </c>
      <c r="B1301" s="688" t="s">
        <v>1141</v>
      </c>
      <c r="C1301" s="26"/>
      <c r="D1301" s="26"/>
      <c r="E1301" s="27"/>
      <c r="F1301" s="34"/>
      <c r="G1301" s="27"/>
      <c r="H1301" s="989">
        <f>SF!H83</f>
        <v>19.373390077688924</v>
      </c>
      <c r="I1301" s="696"/>
      <c r="J1301" s="989">
        <f>SF!J83</f>
        <v>37.512792074379419</v>
      </c>
      <c r="K1301" s="433">
        <v>1</v>
      </c>
      <c r="L1301" s="266"/>
    </row>
    <row r="1302" spans="1:12">
      <c r="A1302" s="990" t="s">
        <v>204</v>
      </c>
      <c r="B1302" s="661"/>
      <c r="C1302" s="661"/>
      <c r="D1302" s="661"/>
      <c r="E1302" s="584"/>
      <c r="F1302" s="991"/>
      <c r="G1302" s="992"/>
      <c r="H1302" s="370"/>
      <c r="I1302" s="991"/>
      <c r="J1302" s="370"/>
      <c r="K1302" s="1583">
        <v>0.44999999999999996</v>
      </c>
      <c r="L1302" s="266"/>
    </row>
    <row r="1303" spans="1:12">
      <c r="A1303" s="25" t="s">
        <v>1007</v>
      </c>
      <c r="B1303" s="26" t="s">
        <v>988</v>
      </c>
      <c r="C1303" s="26"/>
      <c r="D1303" s="26"/>
      <c r="E1303" s="27"/>
      <c r="F1303" s="196">
        <f>SF!F87</f>
        <v>31.607279999999999</v>
      </c>
      <c r="G1303" s="211"/>
      <c r="H1303" s="34"/>
      <c r="I1303" s="196">
        <f>SF!I87</f>
        <v>-15.140358000000003</v>
      </c>
      <c r="J1303" s="196">
        <f>SF!J87</f>
        <v>0</v>
      </c>
      <c r="K1303" s="433">
        <v>-0.44999999999999996</v>
      </c>
      <c r="L1303" s="266"/>
    </row>
    <row r="1304" spans="1:12">
      <c r="A1304" s="25" t="s">
        <v>1008</v>
      </c>
      <c r="B1304" s="26" t="s">
        <v>989</v>
      </c>
      <c r="C1304" s="26"/>
      <c r="D1304" s="26"/>
      <c r="E1304" s="27"/>
      <c r="F1304" s="196">
        <f>SF!F88</f>
        <v>31.607279999999999</v>
      </c>
      <c r="G1304" s="211"/>
      <c r="H1304" s="34"/>
      <c r="I1304" s="196">
        <f>SF!I88</f>
        <v>15.140358000000003</v>
      </c>
      <c r="J1304" s="196">
        <f>SF!J88</f>
        <v>0</v>
      </c>
      <c r="K1304" s="511">
        <v>-0.44999999999999996</v>
      </c>
      <c r="L1304" s="266"/>
    </row>
    <row r="1305" spans="1:12">
      <c r="A1305" s="25" t="s">
        <v>1009</v>
      </c>
      <c r="B1305" s="26" t="s">
        <v>1000</v>
      </c>
      <c r="C1305" s="26"/>
      <c r="D1305" s="26"/>
      <c r="E1305" s="27"/>
      <c r="F1305" s="196">
        <f>SF!F92</f>
        <v>7.0373232000000003</v>
      </c>
      <c r="G1305" s="211"/>
      <c r="H1305" s="34"/>
      <c r="I1305" s="196">
        <f>SF!I92</f>
        <v>-3.5186616000000002</v>
      </c>
      <c r="J1305" s="196">
        <f>SF!J92</f>
        <v>-1.0914190890810807</v>
      </c>
      <c r="K1305" s="511">
        <v>-0.09</v>
      </c>
      <c r="L1305" s="266"/>
    </row>
    <row r="1306" spans="1:12">
      <c r="A1306" s="25" t="s">
        <v>1010</v>
      </c>
      <c r="B1306" s="26" t="s">
        <v>1001</v>
      </c>
      <c r="C1306" s="26"/>
      <c r="D1306" s="26"/>
      <c r="E1306" s="27"/>
      <c r="F1306" s="196">
        <f>SF!F93</f>
        <v>8.1200139428571472</v>
      </c>
      <c r="G1306" s="211"/>
      <c r="H1306" s="34"/>
      <c r="I1306" s="196">
        <f>SF!I93</f>
        <v>4.0600069714285736</v>
      </c>
      <c r="J1306" s="196">
        <f>SF!J93</f>
        <v>-1.259333693930502</v>
      </c>
      <c r="K1306" s="511">
        <v>-0.09</v>
      </c>
      <c r="L1306" s="266"/>
    </row>
    <row r="1307" spans="1:12">
      <c r="A1307" s="25" t="s">
        <v>1011</v>
      </c>
      <c r="B1307" s="26" t="s">
        <v>211</v>
      </c>
      <c r="C1307" s="26"/>
      <c r="D1307" s="26"/>
      <c r="E1307" s="27"/>
      <c r="F1307" s="196">
        <f>SF!F98</f>
        <v>17.865688175801139</v>
      </c>
      <c r="G1307" s="211"/>
      <c r="H1307" s="197"/>
      <c r="I1307" s="196">
        <f>SF!I98</f>
        <v>0</v>
      </c>
      <c r="J1307" s="196">
        <f>SF!J98</f>
        <v>0</v>
      </c>
      <c r="K1307" s="511">
        <v>-0.44999999999999996</v>
      </c>
      <c r="L1307" s="266"/>
    </row>
    <row r="1308" spans="1:12">
      <c r="A1308" s="686" t="s">
        <v>1473</v>
      </c>
      <c r="B1308" s="688" t="s">
        <v>1045</v>
      </c>
      <c r="C1308" s="688"/>
      <c r="D1308" s="688"/>
      <c r="E1308" s="689"/>
      <c r="F1308" s="695">
        <f>SF!F101</f>
        <v>21.56382</v>
      </c>
      <c r="G1308" s="621"/>
      <c r="H1308" s="620"/>
      <c r="I1308" s="695">
        <f>SF!I101</f>
        <v>0</v>
      </c>
      <c r="J1308" s="695">
        <f>SF!J101</f>
        <v>0</v>
      </c>
      <c r="K1308" s="511">
        <v>-0.44999999999999996</v>
      </c>
      <c r="L1308" s="266"/>
    </row>
    <row r="1309" spans="1:12">
      <c r="A1309" s="253"/>
      <c r="B1309" s="15"/>
      <c r="C1309" s="15"/>
      <c r="D1309" s="15"/>
      <c r="E1309" s="22"/>
      <c r="F1309" s="212"/>
      <c r="G1309" s="213"/>
      <c r="H1309" s="198"/>
      <c r="I1309" s="198"/>
      <c r="J1309" s="58"/>
      <c r="K1309" s="208"/>
      <c r="L1309" s="293"/>
    </row>
    <row r="1310" spans="1:12">
      <c r="A1310" s="46"/>
      <c r="B1310" s="46"/>
      <c r="C1310" s="46"/>
      <c r="D1310" s="46"/>
      <c r="E1310" s="46"/>
      <c r="F1310" s="46"/>
      <c r="G1310" s="46"/>
      <c r="H1310" s="46"/>
      <c r="I1310" s="46"/>
      <c r="J1310" s="46"/>
      <c r="K1310" s="87"/>
      <c r="L1310" s="293"/>
    </row>
    <row r="1311" spans="1:12">
      <c r="A1311" s="220" t="s">
        <v>73</v>
      </c>
      <c r="B1311" s="220" t="s">
        <v>74</v>
      </c>
      <c r="C1311" s="200"/>
      <c r="D1311" s="200"/>
      <c r="E1311" s="217"/>
      <c r="F1311" s="1636" t="s">
        <v>72</v>
      </c>
      <c r="G1311" s="1637"/>
      <c r="H1311" s="1637"/>
      <c r="I1311" s="1637"/>
      <c r="J1311" s="1638"/>
      <c r="K1311" s="87"/>
      <c r="L1311" s="293"/>
    </row>
    <row r="1312" spans="1:12" ht="18">
      <c r="A1312" s="221"/>
      <c r="B1312" s="221"/>
      <c r="C1312" s="201"/>
      <c r="D1312" s="201"/>
      <c r="E1312" s="219"/>
      <c r="F1312" s="223" t="s">
        <v>23</v>
      </c>
      <c r="G1312" s="223" t="s">
        <v>87</v>
      </c>
      <c r="H1312" s="223" t="s">
        <v>212</v>
      </c>
      <c r="I1312" s="223" t="s">
        <v>80</v>
      </c>
      <c r="J1312" s="223" t="s">
        <v>81</v>
      </c>
      <c r="K1312" s="87"/>
      <c r="L1312" s="293"/>
    </row>
    <row r="1313" spans="1:12">
      <c r="A1313" s="222"/>
      <c r="B1313" s="222"/>
      <c r="C1313" s="203"/>
      <c r="D1313" s="203"/>
      <c r="E1313" s="218"/>
      <c r="F1313" s="204" t="s">
        <v>34</v>
      </c>
      <c r="G1313" s="204" t="s">
        <v>34</v>
      </c>
      <c r="H1313" s="203" t="s">
        <v>34</v>
      </c>
      <c r="I1313" s="204" t="s">
        <v>77</v>
      </c>
      <c r="J1313" s="204" t="s">
        <v>77</v>
      </c>
      <c r="K1313" s="87"/>
      <c r="L1313" s="293"/>
    </row>
    <row r="1314" spans="1:12">
      <c r="A1314" s="202"/>
      <c r="B1314" s="200"/>
      <c r="C1314" s="200"/>
      <c r="D1314" s="200"/>
      <c r="E1314" s="217"/>
      <c r="F1314" s="205"/>
      <c r="G1314" s="205"/>
      <c r="H1314" s="201"/>
      <c r="I1314" s="205"/>
      <c r="J1314" s="205"/>
      <c r="K1314" s="87"/>
      <c r="L1314" s="293"/>
    </row>
    <row r="1315" spans="1:12">
      <c r="A1315" s="205" t="str">
        <f>A1273</f>
        <v>LC-42</v>
      </c>
      <c r="B1315" s="201" t="str">
        <f>B1273</f>
        <v>LC-23 + Seismic Sx=0.3,Sz=1,Sy=-0.3</v>
      </c>
      <c r="C1315" s="201"/>
      <c r="D1315" s="201"/>
      <c r="E1315" s="219"/>
      <c r="F1315" s="205">
        <f>SUMPRODUCT(F1276:F1308,$K$1276:$K$1308)</f>
        <v>1314.2944750029494</v>
      </c>
      <c r="G1315" s="219">
        <f>SUMPRODUCT(G1276:G1308,$K$1276:$K$1308)</f>
        <v>85.21338772889672</v>
      </c>
      <c r="H1315" s="219">
        <f>SUMPRODUCT(H1276:H1308,$K$1276:$K$1308)</f>
        <v>260.68306343674146</v>
      </c>
      <c r="I1315" s="219">
        <f>SUMPRODUCT(I1276:I1308,$K$1276:$K$1308)</f>
        <v>514.458451770377</v>
      </c>
      <c r="J1315" s="219">
        <f>SUMPRODUCT(J1276:J1308,$K$1276:$K$1308)</f>
        <v>1677.3853098210288</v>
      </c>
      <c r="K1315" s="87"/>
      <c r="L1315" s="293"/>
    </row>
    <row r="1316" spans="1:12">
      <c r="A1316" s="204"/>
      <c r="B1316" s="203"/>
      <c r="C1316" s="203"/>
      <c r="D1316" s="203"/>
      <c r="E1316" s="218"/>
      <c r="F1316" s="204"/>
      <c r="G1316" s="204"/>
      <c r="H1316" s="203"/>
      <c r="I1316" s="204"/>
      <c r="J1316" s="204"/>
      <c r="K1316" s="87"/>
      <c r="L1316" s="293"/>
    </row>
    <row r="1319" spans="1:12">
      <c r="A1319" s="811" t="str">
        <f>K1319</f>
        <v>LC-43</v>
      </c>
      <c r="B1319" s="31" t="str">
        <f>VLOOKUP(A1319,LC_DEF_2!A45:B92,2,FALSE)</f>
        <v>LC-23 + Seismic Sx=1,Sz=0.3,Sy=0.3</v>
      </c>
      <c r="C1319" s="31"/>
      <c r="D1319" s="31"/>
      <c r="E1319" s="32"/>
      <c r="F1319" s="1599" t="s">
        <v>742</v>
      </c>
      <c r="G1319" s="1635"/>
      <c r="H1319" s="1635"/>
      <c r="I1319" s="1635"/>
      <c r="J1319" s="1600"/>
      <c r="K1319" s="1580" t="s">
        <v>1424</v>
      </c>
      <c r="L1319" s="293"/>
    </row>
    <row r="1320" spans="1:12" ht="18">
      <c r="A1320" s="25" t="s">
        <v>73</v>
      </c>
      <c r="B1320" s="26" t="s">
        <v>74</v>
      </c>
      <c r="C1320" s="26"/>
      <c r="D1320" s="26"/>
      <c r="E1320" s="27"/>
      <c r="F1320" s="58" t="s">
        <v>23</v>
      </c>
      <c r="G1320" s="58" t="s">
        <v>87</v>
      </c>
      <c r="H1320" s="58" t="s">
        <v>212</v>
      </c>
      <c r="I1320" s="58" t="s">
        <v>80</v>
      </c>
      <c r="J1320" s="58" t="s">
        <v>81</v>
      </c>
      <c r="K1320" s="433"/>
      <c r="L1320" s="293"/>
    </row>
    <row r="1321" spans="1:12">
      <c r="A1321" s="25"/>
      <c r="B1321" s="26"/>
      <c r="C1321" s="26"/>
      <c r="D1321" s="26"/>
      <c r="E1321" s="27"/>
      <c r="F1321" s="36" t="s">
        <v>34</v>
      </c>
      <c r="G1321" s="36" t="s">
        <v>34</v>
      </c>
      <c r="H1321" s="36" t="s">
        <v>34</v>
      </c>
      <c r="I1321" s="36" t="s">
        <v>77</v>
      </c>
      <c r="J1321" s="36" t="s">
        <v>77</v>
      </c>
      <c r="K1321" s="433"/>
      <c r="L1321" s="293"/>
    </row>
    <row r="1322" spans="1:12">
      <c r="A1322" s="25" t="s">
        <v>88</v>
      </c>
      <c r="B1322" s="26" t="s">
        <v>75</v>
      </c>
      <c r="C1322" s="26"/>
      <c r="D1322" s="26"/>
      <c r="E1322" s="27"/>
      <c r="F1322" s="195">
        <f>SF!F14</f>
        <v>365.08803866482532</v>
      </c>
      <c r="G1322" s="210"/>
      <c r="H1322" s="34"/>
      <c r="I1322" s="195">
        <f>SF!I14</f>
        <v>0</v>
      </c>
      <c r="J1322" s="195">
        <f>SF!J14</f>
        <v>0</v>
      </c>
      <c r="K1322" s="511">
        <v>1.35</v>
      </c>
      <c r="L1322" s="266"/>
    </row>
    <row r="1323" spans="1:12">
      <c r="A1323" s="25" t="s">
        <v>90</v>
      </c>
      <c r="B1323" s="26" t="s">
        <v>249</v>
      </c>
      <c r="C1323" s="26"/>
      <c r="D1323" s="26"/>
      <c r="E1323" s="27"/>
      <c r="F1323" s="195">
        <f>SF!F16</f>
        <v>36.639026644707663</v>
      </c>
      <c r="G1323" s="210"/>
      <c r="H1323" s="34"/>
      <c r="I1323" s="195">
        <f>SF!I16</f>
        <v>0</v>
      </c>
      <c r="J1323" s="195">
        <f>SF!J16</f>
        <v>0</v>
      </c>
      <c r="K1323" s="511">
        <v>1.35</v>
      </c>
      <c r="L1323" s="266"/>
    </row>
    <row r="1324" spans="1:12">
      <c r="A1324" s="25" t="s">
        <v>250</v>
      </c>
      <c r="B1324" s="26" t="s">
        <v>967</v>
      </c>
      <c r="C1324" s="26"/>
      <c r="D1324" s="26"/>
      <c r="E1324" s="27"/>
      <c r="F1324" s="195">
        <f>SF!F19</f>
        <v>230</v>
      </c>
      <c r="G1324" s="27"/>
      <c r="H1324" s="34"/>
      <c r="I1324" s="195">
        <f>SF!I19</f>
        <v>-115</v>
      </c>
      <c r="J1324" s="195">
        <f>SF!J19</f>
        <v>0</v>
      </c>
      <c r="K1324" s="433">
        <v>1.35</v>
      </c>
      <c r="L1324" s="11"/>
    </row>
    <row r="1325" spans="1:12">
      <c r="A1325" s="25" t="s">
        <v>251</v>
      </c>
      <c r="B1325" s="26" t="s">
        <v>968</v>
      </c>
      <c r="C1325" s="26"/>
      <c r="D1325" s="26"/>
      <c r="E1325" s="27"/>
      <c r="F1325" s="195">
        <f>SF!F20</f>
        <v>20.660000000000004</v>
      </c>
      <c r="G1325" s="27"/>
      <c r="H1325" s="34"/>
      <c r="I1325" s="195">
        <f>SF!I20</f>
        <v>-10.330000000000002</v>
      </c>
      <c r="J1325" s="195">
        <f>SF!J20</f>
        <v>0</v>
      </c>
      <c r="K1325" s="433">
        <v>1.35</v>
      </c>
      <c r="L1325" s="11"/>
    </row>
    <row r="1326" spans="1:12">
      <c r="A1326" s="25" t="s">
        <v>97</v>
      </c>
      <c r="B1326" s="26" t="s">
        <v>969</v>
      </c>
      <c r="C1326" s="26"/>
      <c r="D1326" s="26"/>
      <c r="E1326" s="27"/>
      <c r="F1326" s="195">
        <f>SF!F21</f>
        <v>42</v>
      </c>
      <c r="G1326" s="27"/>
      <c r="H1326" s="34"/>
      <c r="I1326" s="195">
        <f>SF!I21</f>
        <v>-14.858499999999999</v>
      </c>
      <c r="J1326" s="195">
        <f>SF!J21</f>
        <v>0</v>
      </c>
      <c r="K1326" s="433">
        <v>1.35</v>
      </c>
      <c r="L1326" s="11"/>
    </row>
    <row r="1327" spans="1:12">
      <c r="A1327" s="25" t="s">
        <v>250</v>
      </c>
      <c r="B1327" s="26" t="s">
        <v>970</v>
      </c>
      <c r="C1327" s="26"/>
      <c r="D1327" s="26"/>
      <c r="E1327" s="27"/>
      <c r="F1327" s="195">
        <f>SF!F23</f>
        <v>230</v>
      </c>
      <c r="G1327" s="27"/>
      <c r="H1327" s="34"/>
      <c r="I1327" s="195">
        <f>SF!I23</f>
        <v>115</v>
      </c>
      <c r="J1327" s="195">
        <f>SF!J23</f>
        <v>0</v>
      </c>
      <c r="K1327" s="433">
        <v>1.35</v>
      </c>
      <c r="L1327" s="11"/>
    </row>
    <row r="1328" spans="1:12">
      <c r="A1328" s="25" t="s">
        <v>251</v>
      </c>
      <c r="B1328" s="26" t="s">
        <v>971</v>
      </c>
      <c r="C1328" s="26"/>
      <c r="D1328" s="26"/>
      <c r="E1328" s="27"/>
      <c r="F1328" s="195">
        <f>SF!F24</f>
        <v>20.660000000000004</v>
      </c>
      <c r="G1328" s="27"/>
      <c r="H1328" s="34"/>
      <c r="I1328" s="195">
        <f>SF!I24</f>
        <v>10.330000000000002</v>
      </c>
      <c r="J1328" s="195">
        <f>SF!J24</f>
        <v>0</v>
      </c>
      <c r="K1328" s="433">
        <v>1.35</v>
      </c>
      <c r="L1328" s="266"/>
    </row>
    <row r="1329" spans="1:12">
      <c r="A1329" s="25" t="s">
        <v>97</v>
      </c>
      <c r="B1329" s="26" t="s">
        <v>972</v>
      </c>
      <c r="C1329" s="26"/>
      <c r="D1329" s="26"/>
      <c r="E1329" s="27"/>
      <c r="F1329" s="195">
        <f>SF!F25</f>
        <v>42</v>
      </c>
      <c r="G1329" s="27"/>
      <c r="H1329" s="34"/>
      <c r="I1329" s="195">
        <f>SF!I25</f>
        <v>14.858499999999999</v>
      </c>
      <c r="J1329" s="195">
        <f>SF!J25</f>
        <v>0</v>
      </c>
      <c r="K1329" s="511">
        <v>1.75</v>
      </c>
      <c r="L1329" s="11"/>
    </row>
    <row r="1330" spans="1:12">
      <c r="A1330" s="25" t="s">
        <v>976</v>
      </c>
      <c r="B1330" s="26" t="s">
        <v>978</v>
      </c>
      <c r="C1330" s="26"/>
      <c r="D1330" s="26"/>
      <c r="E1330" s="27"/>
      <c r="F1330" s="195">
        <f>SF!F29</f>
        <v>65.160399999999996</v>
      </c>
      <c r="G1330" s="27"/>
      <c r="H1330" s="34"/>
      <c r="I1330" s="195">
        <f>SF!I29</f>
        <v>-32.580199999999998</v>
      </c>
      <c r="J1330" s="195">
        <f>SF!J29</f>
        <v>-10.105732306306301</v>
      </c>
      <c r="K1330" s="511">
        <v>0.2</v>
      </c>
      <c r="L1330" s="11"/>
    </row>
    <row r="1331" spans="1:12">
      <c r="A1331" s="25" t="s">
        <v>977</v>
      </c>
      <c r="B1331" s="26" t="s">
        <v>979</v>
      </c>
      <c r="C1331" s="26"/>
      <c r="D1331" s="26"/>
      <c r="E1331" s="27"/>
      <c r="F1331" s="195">
        <f>SF!F30</f>
        <v>75.185314285714313</v>
      </c>
      <c r="G1331" s="27"/>
      <c r="H1331" s="34"/>
      <c r="I1331" s="195">
        <f>SF!I30</f>
        <v>37.592657142857156</v>
      </c>
      <c r="J1331" s="195">
        <f>SF!J30</f>
        <v>-11.660497166023164</v>
      </c>
      <c r="K1331" s="511">
        <v>0.2</v>
      </c>
      <c r="L1331" s="266"/>
    </row>
    <row r="1332" spans="1:12">
      <c r="A1332" s="686" t="s">
        <v>1128</v>
      </c>
      <c r="B1332" s="687"/>
      <c r="C1332" s="688"/>
      <c r="D1332" s="688"/>
      <c r="E1332" s="689"/>
      <c r="F1332" s="696">
        <f>SF!F43</f>
        <v>-103.56143333397094</v>
      </c>
      <c r="G1332" s="689"/>
      <c r="H1332" s="690"/>
      <c r="I1332" s="690"/>
      <c r="J1332" s="690"/>
      <c r="K1332" s="433">
        <v>0.15</v>
      </c>
      <c r="L1332" s="266"/>
    </row>
    <row r="1333" spans="1:12">
      <c r="A1333" s="686" t="s">
        <v>1131</v>
      </c>
      <c r="B1333" s="687"/>
      <c r="C1333" s="688"/>
      <c r="D1333" s="688"/>
      <c r="E1333" s="689"/>
      <c r="F1333" s="690"/>
      <c r="G1333" s="696">
        <f>SF!G47</f>
        <v>3.2856246869242693</v>
      </c>
      <c r="H1333" s="696">
        <f>SF!H47</f>
        <v>3.5397182492142409</v>
      </c>
      <c r="I1333" s="696">
        <f>SF!I47</f>
        <v>7.0628515103002814</v>
      </c>
      <c r="J1333" s="696">
        <f>SF!J47</f>
        <v>5.3297614737052639</v>
      </c>
      <c r="K1333" s="433">
        <v>1</v>
      </c>
      <c r="L1333" s="266"/>
    </row>
    <row r="1334" spans="1:12">
      <c r="A1334" s="278" t="s">
        <v>200</v>
      </c>
      <c r="B1334" s="262"/>
      <c r="C1334" s="262"/>
      <c r="D1334" s="262"/>
      <c r="E1334" s="263"/>
      <c r="F1334" s="279"/>
      <c r="G1334" s="280"/>
      <c r="H1334" s="264"/>
      <c r="I1334" s="279"/>
      <c r="J1334" s="264"/>
      <c r="K1334" s="1581">
        <v>1.5</v>
      </c>
      <c r="L1334" s="266"/>
    </row>
    <row r="1335" spans="1:12">
      <c r="A1335" s="25" t="s">
        <v>991</v>
      </c>
      <c r="B1335" s="26" t="s">
        <v>989</v>
      </c>
      <c r="C1335" s="26"/>
      <c r="D1335" s="26"/>
      <c r="E1335" s="27"/>
      <c r="F1335" s="197"/>
      <c r="G1335" s="172">
        <f>SF!G52</f>
        <v>94.821839999999995</v>
      </c>
      <c r="H1335" s="34"/>
      <c r="I1335" s="172">
        <f>SF!I52</f>
        <v>785.12483520000001</v>
      </c>
      <c r="J1335" s="89"/>
      <c r="K1335" s="511">
        <v>1.5</v>
      </c>
      <c r="L1335" s="266"/>
    </row>
    <row r="1336" spans="1:12">
      <c r="A1336" s="25" t="s">
        <v>994</v>
      </c>
      <c r="B1336" s="26" t="s">
        <v>996</v>
      </c>
      <c r="C1336" s="26"/>
      <c r="D1336" s="26"/>
      <c r="E1336" s="27"/>
      <c r="F1336" s="197"/>
      <c r="G1336" s="172">
        <f>SF!G56</f>
        <v>4.5540000000000003</v>
      </c>
      <c r="H1336" s="34"/>
      <c r="I1336" s="172">
        <f>SF!I56</f>
        <v>37.70712000000001</v>
      </c>
      <c r="J1336" s="89"/>
      <c r="K1336" s="433">
        <v>1.5</v>
      </c>
      <c r="L1336" s="266"/>
    </row>
    <row r="1337" spans="1:12">
      <c r="A1337" s="25" t="s">
        <v>217</v>
      </c>
      <c r="B1337" s="26" t="s">
        <v>211</v>
      </c>
      <c r="C1337" s="26"/>
      <c r="D1337" s="26"/>
      <c r="E1337" s="27"/>
      <c r="F1337" s="197"/>
      <c r="G1337" s="196">
        <f>SF!G58</f>
        <v>26.798532263701709</v>
      </c>
      <c r="H1337" s="199"/>
      <c r="I1337" s="172">
        <f>SF!I58</f>
        <v>147.28381289471153</v>
      </c>
      <c r="J1337" s="195"/>
      <c r="K1337" s="433">
        <v>1.5</v>
      </c>
      <c r="L1337" s="266"/>
    </row>
    <row r="1338" spans="1:12">
      <c r="A1338" s="686" t="s">
        <v>1472</v>
      </c>
      <c r="B1338" s="688" t="s">
        <v>1045</v>
      </c>
      <c r="C1338" s="688"/>
      <c r="D1338" s="688"/>
      <c r="E1338" s="689"/>
      <c r="F1338" s="620"/>
      <c r="G1338" s="695">
        <f>SF!G61</f>
        <v>32.345729999999996</v>
      </c>
      <c r="H1338" s="690"/>
      <c r="I1338" s="695">
        <f>SF!I61</f>
        <v>29.111156999999999</v>
      </c>
      <c r="J1338" s="269"/>
      <c r="K1338" s="433">
        <v>1.5</v>
      </c>
      <c r="L1338" s="266"/>
    </row>
    <row r="1339" spans="1:12">
      <c r="A1339" s="686" t="s">
        <v>1139</v>
      </c>
      <c r="B1339" s="688" t="s">
        <v>1140</v>
      </c>
      <c r="C1339" s="688"/>
      <c r="D1339" s="688"/>
      <c r="E1339" s="689"/>
      <c r="F1339" s="620"/>
      <c r="G1339" s="695">
        <f>SF!G63</f>
        <v>19.373390077688924</v>
      </c>
      <c r="H1339" s="690"/>
      <c r="I1339" s="695">
        <f>SF!I63</f>
        <v>37.512792074379419</v>
      </c>
      <c r="J1339" s="269"/>
      <c r="K1339" s="433">
        <v>1</v>
      </c>
      <c r="L1339" s="266"/>
    </row>
    <row r="1340" spans="1:12">
      <c r="A1340" s="278" t="s">
        <v>1817</v>
      </c>
      <c r="B1340" s="262"/>
      <c r="C1340" s="262"/>
      <c r="D1340" s="262"/>
      <c r="E1340" s="263"/>
      <c r="F1340" s="279"/>
      <c r="G1340" s="280"/>
      <c r="H1340" s="264"/>
      <c r="I1340" s="279"/>
      <c r="J1340" s="264"/>
      <c r="K1340" s="1582">
        <v>0.44999999999999996</v>
      </c>
      <c r="L1340" s="266"/>
    </row>
    <row r="1341" spans="1:12">
      <c r="A1341" s="25" t="s">
        <v>997</v>
      </c>
      <c r="B1341" s="26" t="s">
        <v>988</v>
      </c>
      <c r="C1341" s="26"/>
      <c r="D1341" s="26"/>
      <c r="E1341" s="27"/>
      <c r="F1341" s="197"/>
      <c r="G1341" s="211"/>
      <c r="H1341" s="172">
        <f>SF!H67</f>
        <v>47.410919999999997</v>
      </c>
      <c r="I1341" s="197"/>
      <c r="J1341" s="172">
        <f>SF!J67</f>
        <v>433.10062959257624</v>
      </c>
      <c r="K1341" s="511">
        <v>0.44999999999999996</v>
      </c>
      <c r="L1341" s="266"/>
    </row>
    <row r="1342" spans="1:12">
      <c r="A1342" s="25" t="s">
        <v>998</v>
      </c>
      <c r="B1342" s="26" t="s">
        <v>989</v>
      </c>
      <c r="C1342" s="26"/>
      <c r="D1342" s="26"/>
      <c r="E1342" s="27"/>
      <c r="F1342" s="197"/>
      <c r="G1342" s="211"/>
      <c r="H1342" s="172">
        <f>SF!H68</f>
        <v>47.410919999999997</v>
      </c>
      <c r="I1342" s="197"/>
      <c r="J1342" s="172">
        <f>SF!J68</f>
        <v>433.10062959257624</v>
      </c>
      <c r="K1342" s="433">
        <v>0.44999999999999996</v>
      </c>
      <c r="L1342" s="266"/>
    </row>
    <row r="1343" spans="1:12">
      <c r="A1343" s="25" t="s">
        <v>1004</v>
      </c>
      <c r="B1343" s="26" t="s">
        <v>1000</v>
      </c>
      <c r="C1343" s="26"/>
      <c r="D1343" s="26"/>
      <c r="E1343" s="27"/>
      <c r="F1343" s="197"/>
      <c r="G1343" s="211"/>
      <c r="H1343" s="172">
        <f>SF!H72</f>
        <v>10.555984799999999</v>
      </c>
      <c r="I1343" s="197"/>
      <c r="J1343" s="172">
        <f>SF!J72</f>
        <v>115.74637333199999</v>
      </c>
      <c r="K1343" s="433">
        <v>0.09</v>
      </c>
      <c r="L1343" s="266"/>
    </row>
    <row r="1344" spans="1:12">
      <c r="A1344" s="25" t="s">
        <v>1005</v>
      </c>
      <c r="B1344" s="26" t="s">
        <v>1001</v>
      </c>
      <c r="C1344" s="26"/>
      <c r="D1344" s="26"/>
      <c r="E1344" s="27"/>
      <c r="F1344" s="197"/>
      <c r="G1344" s="211"/>
      <c r="H1344" s="172">
        <f>SF!H73</f>
        <v>12.18002091428572</v>
      </c>
      <c r="I1344" s="197"/>
      <c r="J1344" s="172">
        <f>SF!J73</f>
        <v>133.55392932514292</v>
      </c>
      <c r="K1344" s="433">
        <v>0.09</v>
      </c>
      <c r="L1344" s="266"/>
    </row>
    <row r="1345" spans="1:12">
      <c r="A1345" s="25" t="s">
        <v>1006</v>
      </c>
      <c r="B1345" s="26" t="s">
        <v>211</v>
      </c>
      <c r="C1345" s="26"/>
      <c r="D1345" s="26"/>
      <c r="E1345" s="27"/>
      <c r="F1345" s="197"/>
      <c r="G1345" s="195"/>
      <c r="H1345" s="172">
        <f>SF!H78</f>
        <v>26.798532263701709</v>
      </c>
      <c r="I1345" s="195"/>
      <c r="J1345" s="172">
        <f>SF!J78</f>
        <v>147.28381289471153</v>
      </c>
      <c r="K1345" s="433">
        <v>0.44999999999999996</v>
      </c>
      <c r="L1345" s="266"/>
    </row>
    <row r="1346" spans="1:12">
      <c r="A1346" s="686" t="s">
        <v>1138</v>
      </c>
      <c r="B1346" s="688" t="s">
        <v>1045</v>
      </c>
      <c r="C1346" s="688"/>
      <c r="D1346" s="688"/>
      <c r="E1346" s="689"/>
      <c r="F1346" s="620"/>
      <c r="G1346" s="711"/>
      <c r="H1346" s="989">
        <f>SF!H81</f>
        <v>32.345729999999996</v>
      </c>
      <c r="I1346" s="696"/>
      <c r="J1346" s="989">
        <f>SF!J81</f>
        <v>29.111156999999999</v>
      </c>
      <c r="K1346" s="433">
        <v>0.44999999999999996</v>
      </c>
      <c r="L1346" s="266"/>
    </row>
    <row r="1347" spans="1:12">
      <c r="A1347" s="686" t="s">
        <v>1138</v>
      </c>
      <c r="B1347" s="688" t="s">
        <v>1141</v>
      </c>
      <c r="C1347" s="26"/>
      <c r="D1347" s="26"/>
      <c r="E1347" s="27"/>
      <c r="F1347" s="34"/>
      <c r="G1347" s="27"/>
      <c r="H1347" s="989">
        <f>SF!H83</f>
        <v>19.373390077688924</v>
      </c>
      <c r="I1347" s="696"/>
      <c r="J1347" s="989">
        <f>SF!J83</f>
        <v>37.512792074379419</v>
      </c>
      <c r="K1347" s="433">
        <v>0.3</v>
      </c>
      <c r="L1347" s="266"/>
    </row>
    <row r="1348" spans="1:12">
      <c r="A1348" s="990" t="s">
        <v>204</v>
      </c>
      <c r="B1348" s="661"/>
      <c r="C1348" s="661"/>
      <c r="D1348" s="661"/>
      <c r="E1348" s="584"/>
      <c r="F1348" s="991"/>
      <c r="G1348" s="992"/>
      <c r="H1348" s="370"/>
      <c r="I1348" s="991"/>
      <c r="J1348" s="370"/>
      <c r="K1348" s="1583">
        <v>0.44999999999999996</v>
      </c>
      <c r="L1348" s="266"/>
    </row>
    <row r="1349" spans="1:12">
      <c r="A1349" s="25" t="s">
        <v>1007</v>
      </c>
      <c r="B1349" s="26" t="s">
        <v>988</v>
      </c>
      <c r="C1349" s="26"/>
      <c r="D1349" s="26"/>
      <c r="E1349" s="27"/>
      <c r="F1349" s="196">
        <f>SF!F87</f>
        <v>31.607279999999999</v>
      </c>
      <c r="G1349" s="211"/>
      <c r="H1349" s="34"/>
      <c r="I1349" s="196">
        <f>SF!I87</f>
        <v>-15.140358000000003</v>
      </c>
      <c r="J1349" s="196">
        <f>SF!J87</f>
        <v>0</v>
      </c>
      <c r="K1349" s="433">
        <v>0.44999999999999996</v>
      </c>
      <c r="L1349" s="266"/>
    </row>
    <row r="1350" spans="1:12">
      <c r="A1350" s="25" t="s">
        <v>1008</v>
      </c>
      <c r="B1350" s="26" t="s">
        <v>989</v>
      </c>
      <c r="C1350" s="26"/>
      <c r="D1350" s="26"/>
      <c r="E1350" s="27"/>
      <c r="F1350" s="196">
        <f>SF!F88</f>
        <v>31.607279999999999</v>
      </c>
      <c r="G1350" s="211"/>
      <c r="H1350" s="34"/>
      <c r="I1350" s="196">
        <f>SF!I88</f>
        <v>15.140358000000003</v>
      </c>
      <c r="J1350" s="196">
        <f>SF!J88</f>
        <v>0</v>
      </c>
      <c r="K1350" s="511">
        <v>0.44999999999999996</v>
      </c>
      <c r="L1350" s="266"/>
    </row>
    <row r="1351" spans="1:12">
      <c r="A1351" s="25" t="s">
        <v>1009</v>
      </c>
      <c r="B1351" s="26" t="s">
        <v>1000</v>
      </c>
      <c r="C1351" s="26"/>
      <c r="D1351" s="26"/>
      <c r="E1351" s="27"/>
      <c r="F1351" s="196">
        <f>SF!F92</f>
        <v>7.0373232000000003</v>
      </c>
      <c r="G1351" s="211"/>
      <c r="H1351" s="34"/>
      <c r="I1351" s="196">
        <f>SF!I92</f>
        <v>-3.5186616000000002</v>
      </c>
      <c r="J1351" s="196">
        <f>SF!J92</f>
        <v>-1.0914190890810807</v>
      </c>
      <c r="K1351" s="511">
        <v>0.09</v>
      </c>
      <c r="L1351" s="266"/>
    </row>
    <row r="1352" spans="1:12">
      <c r="A1352" s="25" t="s">
        <v>1010</v>
      </c>
      <c r="B1352" s="26" t="s">
        <v>1001</v>
      </c>
      <c r="C1352" s="26"/>
      <c r="D1352" s="26"/>
      <c r="E1352" s="27"/>
      <c r="F1352" s="196">
        <f>SF!F93</f>
        <v>8.1200139428571472</v>
      </c>
      <c r="G1352" s="211"/>
      <c r="H1352" s="34"/>
      <c r="I1352" s="196">
        <f>SF!I93</f>
        <v>4.0600069714285736</v>
      </c>
      <c r="J1352" s="196">
        <f>SF!J93</f>
        <v>-1.259333693930502</v>
      </c>
      <c r="K1352" s="511">
        <v>0.09</v>
      </c>
      <c r="L1352" s="266"/>
    </row>
    <row r="1353" spans="1:12">
      <c r="A1353" s="25" t="s">
        <v>1011</v>
      </c>
      <c r="B1353" s="26" t="s">
        <v>211</v>
      </c>
      <c r="C1353" s="26"/>
      <c r="D1353" s="26"/>
      <c r="E1353" s="27"/>
      <c r="F1353" s="196">
        <f>SF!F98</f>
        <v>17.865688175801139</v>
      </c>
      <c r="G1353" s="211"/>
      <c r="H1353" s="197"/>
      <c r="I1353" s="196">
        <f>SF!I98</f>
        <v>0</v>
      </c>
      <c r="J1353" s="196">
        <f>SF!J98</f>
        <v>0</v>
      </c>
      <c r="K1353" s="511">
        <v>0.44999999999999996</v>
      </c>
      <c r="L1353" s="266"/>
    </row>
    <row r="1354" spans="1:12">
      <c r="A1354" s="686" t="s">
        <v>1473</v>
      </c>
      <c r="B1354" s="688" t="s">
        <v>1045</v>
      </c>
      <c r="C1354" s="688"/>
      <c r="D1354" s="688"/>
      <c r="E1354" s="689"/>
      <c r="F1354" s="695">
        <f>SF!F101</f>
        <v>21.56382</v>
      </c>
      <c r="G1354" s="621"/>
      <c r="H1354" s="620"/>
      <c r="I1354" s="695">
        <f>SF!I101</f>
        <v>0</v>
      </c>
      <c r="J1354" s="695">
        <f>SF!J101</f>
        <v>0</v>
      </c>
      <c r="K1354" s="511">
        <v>0.44999999999999996</v>
      </c>
      <c r="L1354" s="266"/>
    </row>
    <row r="1355" spans="1:12">
      <c r="A1355" s="253"/>
      <c r="B1355" s="15"/>
      <c r="C1355" s="15"/>
      <c r="D1355" s="15"/>
      <c r="E1355" s="22"/>
      <c r="F1355" s="212"/>
      <c r="G1355" s="213"/>
      <c r="H1355" s="198"/>
      <c r="I1355" s="198"/>
      <c r="J1355" s="58"/>
      <c r="K1355" s="208"/>
      <c r="L1355" s="293"/>
    </row>
    <row r="1356" spans="1:12">
      <c r="A1356" s="46"/>
      <c r="B1356" s="46"/>
      <c r="C1356" s="46"/>
      <c r="D1356" s="46"/>
      <c r="E1356" s="46"/>
      <c r="F1356" s="46"/>
      <c r="G1356" s="46"/>
      <c r="H1356" s="46"/>
      <c r="I1356" s="46"/>
      <c r="J1356" s="46"/>
      <c r="K1356" s="87"/>
      <c r="L1356" s="293"/>
    </row>
    <row r="1357" spans="1:12">
      <c r="A1357" s="220" t="s">
        <v>73</v>
      </c>
      <c r="B1357" s="220" t="s">
        <v>74</v>
      </c>
      <c r="C1357" s="200"/>
      <c r="D1357" s="200"/>
      <c r="E1357" s="217"/>
      <c r="F1357" s="1636" t="s">
        <v>72</v>
      </c>
      <c r="G1357" s="1637"/>
      <c r="H1357" s="1637"/>
      <c r="I1357" s="1637"/>
      <c r="J1357" s="1638"/>
      <c r="K1357" s="87"/>
      <c r="L1357" s="293"/>
    </row>
    <row r="1358" spans="1:12" ht="18">
      <c r="A1358" s="221"/>
      <c r="B1358" s="221"/>
      <c r="C1358" s="201"/>
      <c r="D1358" s="201"/>
      <c r="E1358" s="219"/>
      <c r="F1358" s="223" t="s">
        <v>23</v>
      </c>
      <c r="G1358" s="223" t="s">
        <v>87</v>
      </c>
      <c r="H1358" s="223" t="s">
        <v>212</v>
      </c>
      <c r="I1358" s="223" t="s">
        <v>80</v>
      </c>
      <c r="J1358" s="223" t="s">
        <v>81</v>
      </c>
      <c r="K1358" s="87"/>
      <c r="L1358" s="293"/>
    </row>
    <row r="1359" spans="1:12">
      <c r="A1359" s="222"/>
      <c r="B1359" s="222"/>
      <c r="C1359" s="203"/>
      <c r="D1359" s="203"/>
      <c r="E1359" s="218"/>
      <c r="F1359" s="204" t="s">
        <v>34</v>
      </c>
      <c r="G1359" s="204" t="s">
        <v>34</v>
      </c>
      <c r="H1359" s="203" t="s">
        <v>34</v>
      </c>
      <c r="I1359" s="204" t="s">
        <v>77</v>
      </c>
      <c r="J1359" s="204" t="s">
        <v>77</v>
      </c>
      <c r="K1359" s="87"/>
      <c r="L1359" s="293"/>
    </row>
    <row r="1360" spans="1:12">
      <c r="A1360" s="202"/>
      <c r="B1360" s="200"/>
      <c r="C1360" s="200"/>
      <c r="D1360" s="200"/>
      <c r="E1360" s="217"/>
      <c r="F1360" s="205"/>
      <c r="G1360" s="205"/>
      <c r="H1360" s="201"/>
      <c r="I1360" s="205"/>
      <c r="J1360" s="205"/>
      <c r="K1360" s="87"/>
      <c r="L1360" s="293"/>
    </row>
    <row r="1361" spans="1:12">
      <c r="A1361" s="205" t="str">
        <f>A1319</f>
        <v>LC-43</v>
      </c>
      <c r="B1361" s="201" t="str">
        <f>B1319</f>
        <v>LC-23 + Seismic Sx=1,Sz=0.3,Sy=0.3</v>
      </c>
      <c r="C1361" s="201"/>
      <c r="D1361" s="201"/>
      <c r="E1361" s="219"/>
      <c r="F1361" s="205">
        <f>SUMPRODUCT(F1322:F1354,$K$1322:$K$1354)</f>
        <v>1409.4024570468844</v>
      </c>
      <c r="G1361" s="219">
        <f>SUMPRODUCT(G1322:G1354,$K$1322:$K$1354)</f>
        <v>260.43916816016576</v>
      </c>
      <c r="H1361" s="219">
        <f>SUMPRODUCT(H1322:H1354,$K$1322:$K$1354)</f>
        <v>80.682721805472397</v>
      </c>
      <c r="I1361" s="219">
        <f>SUMPRODUCT(I1322:I1354,$K$1322:$K$1354)</f>
        <v>1550.4106437387468</v>
      </c>
      <c r="J1361" s="219">
        <f>SUMPRODUCT(J1322:J1354,$K$1322:$K$1354)</f>
        <v>503.62411577616382</v>
      </c>
      <c r="K1361" s="87"/>
      <c r="L1361" s="293"/>
    </row>
    <row r="1362" spans="1:12">
      <c r="A1362" s="204"/>
      <c r="B1362" s="203"/>
      <c r="C1362" s="203"/>
      <c r="D1362" s="203"/>
      <c r="E1362" s="218"/>
      <c r="F1362" s="204"/>
      <c r="G1362" s="204"/>
      <c r="H1362" s="203"/>
      <c r="I1362" s="204"/>
      <c r="J1362" s="204"/>
      <c r="K1362" s="87"/>
      <c r="L1362" s="293"/>
    </row>
    <row r="1365" spans="1:12">
      <c r="A1365" s="811" t="str">
        <f>K1365</f>
        <v>LC-44</v>
      </c>
      <c r="B1365" s="31" t="str">
        <f>VLOOKUP(A1365,LC_DEF_2!A45:B92,2,FALSE)</f>
        <v>LC-23 + Seismic Sx=0.3,Sz=1,Sy=0.3</v>
      </c>
      <c r="C1365" s="31"/>
      <c r="D1365" s="31"/>
      <c r="E1365" s="32"/>
      <c r="F1365" s="1599" t="s">
        <v>742</v>
      </c>
      <c r="G1365" s="1635"/>
      <c r="H1365" s="1635"/>
      <c r="I1365" s="1635"/>
      <c r="J1365" s="1600"/>
      <c r="K1365" s="1580" t="s">
        <v>1425</v>
      </c>
      <c r="L1365" s="293"/>
    </row>
    <row r="1366" spans="1:12" ht="18">
      <c r="A1366" s="25" t="s">
        <v>73</v>
      </c>
      <c r="B1366" s="26" t="s">
        <v>74</v>
      </c>
      <c r="C1366" s="26"/>
      <c r="D1366" s="26"/>
      <c r="E1366" s="27"/>
      <c r="F1366" s="58" t="s">
        <v>23</v>
      </c>
      <c r="G1366" s="58" t="s">
        <v>87</v>
      </c>
      <c r="H1366" s="58" t="s">
        <v>212</v>
      </c>
      <c r="I1366" s="58" t="s">
        <v>80</v>
      </c>
      <c r="J1366" s="58" t="s">
        <v>81</v>
      </c>
      <c r="K1366" s="433"/>
      <c r="L1366" s="293"/>
    </row>
    <row r="1367" spans="1:12">
      <c r="A1367" s="25"/>
      <c r="B1367" s="26"/>
      <c r="C1367" s="26"/>
      <c r="D1367" s="26"/>
      <c r="E1367" s="27"/>
      <c r="F1367" s="36" t="s">
        <v>34</v>
      </c>
      <c r="G1367" s="36" t="s">
        <v>34</v>
      </c>
      <c r="H1367" s="36" t="s">
        <v>34</v>
      </c>
      <c r="I1367" s="36" t="s">
        <v>77</v>
      </c>
      <c r="J1367" s="36" t="s">
        <v>77</v>
      </c>
      <c r="K1367" s="433"/>
      <c r="L1367" s="293"/>
    </row>
    <row r="1368" spans="1:12">
      <c r="A1368" s="25" t="s">
        <v>88</v>
      </c>
      <c r="B1368" s="26" t="s">
        <v>75</v>
      </c>
      <c r="C1368" s="26"/>
      <c r="D1368" s="26"/>
      <c r="E1368" s="27"/>
      <c r="F1368" s="195">
        <f>SF!F14</f>
        <v>365.08803866482532</v>
      </c>
      <c r="G1368" s="210"/>
      <c r="H1368" s="34"/>
      <c r="I1368" s="195">
        <f>SF!I14</f>
        <v>0</v>
      </c>
      <c r="J1368" s="195">
        <f>SF!J14</f>
        <v>0</v>
      </c>
      <c r="K1368" s="511">
        <v>1.35</v>
      </c>
      <c r="L1368" s="266"/>
    </row>
    <row r="1369" spans="1:12">
      <c r="A1369" s="25" t="s">
        <v>90</v>
      </c>
      <c r="B1369" s="26" t="s">
        <v>249</v>
      </c>
      <c r="C1369" s="26"/>
      <c r="D1369" s="26"/>
      <c r="E1369" s="27"/>
      <c r="F1369" s="195">
        <f>SF!F16</f>
        <v>36.639026644707663</v>
      </c>
      <c r="G1369" s="210"/>
      <c r="H1369" s="34"/>
      <c r="I1369" s="195">
        <f>SF!I16</f>
        <v>0</v>
      </c>
      <c r="J1369" s="195">
        <f>SF!J16</f>
        <v>0</v>
      </c>
      <c r="K1369" s="511">
        <v>1.35</v>
      </c>
      <c r="L1369" s="266"/>
    </row>
    <row r="1370" spans="1:12">
      <c r="A1370" s="25" t="s">
        <v>250</v>
      </c>
      <c r="B1370" s="26" t="s">
        <v>967</v>
      </c>
      <c r="C1370" s="26"/>
      <c r="D1370" s="26"/>
      <c r="E1370" s="27"/>
      <c r="F1370" s="195">
        <f>SF!F19</f>
        <v>230</v>
      </c>
      <c r="G1370" s="27"/>
      <c r="H1370" s="34"/>
      <c r="I1370" s="195">
        <f>SF!I19</f>
        <v>-115</v>
      </c>
      <c r="J1370" s="195">
        <f>SF!J19</f>
        <v>0</v>
      </c>
      <c r="K1370" s="433">
        <v>1.35</v>
      </c>
      <c r="L1370" s="11"/>
    </row>
    <row r="1371" spans="1:12">
      <c r="A1371" s="25" t="s">
        <v>251</v>
      </c>
      <c r="B1371" s="26" t="s">
        <v>968</v>
      </c>
      <c r="C1371" s="26"/>
      <c r="D1371" s="26"/>
      <c r="E1371" s="27"/>
      <c r="F1371" s="195">
        <f>SF!F20</f>
        <v>20.660000000000004</v>
      </c>
      <c r="G1371" s="27"/>
      <c r="H1371" s="34"/>
      <c r="I1371" s="195">
        <f>SF!I20</f>
        <v>-10.330000000000002</v>
      </c>
      <c r="J1371" s="195">
        <f>SF!J20</f>
        <v>0</v>
      </c>
      <c r="K1371" s="433">
        <v>1.35</v>
      </c>
      <c r="L1371" s="11"/>
    </row>
    <row r="1372" spans="1:12">
      <c r="A1372" s="25" t="s">
        <v>97</v>
      </c>
      <c r="B1372" s="26" t="s">
        <v>969</v>
      </c>
      <c r="C1372" s="26"/>
      <c r="D1372" s="26"/>
      <c r="E1372" s="27"/>
      <c r="F1372" s="195">
        <f>SF!F21</f>
        <v>42</v>
      </c>
      <c r="G1372" s="27"/>
      <c r="H1372" s="34"/>
      <c r="I1372" s="195">
        <f>SF!I21</f>
        <v>-14.858499999999999</v>
      </c>
      <c r="J1372" s="195">
        <f>SF!J21</f>
        <v>0</v>
      </c>
      <c r="K1372" s="433">
        <v>1.35</v>
      </c>
      <c r="L1372" s="11"/>
    </row>
    <row r="1373" spans="1:12">
      <c r="A1373" s="25" t="s">
        <v>250</v>
      </c>
      <c r="B1373" s="26" t="s">
        <v>970</v>
      </c>
      <c r="C1373" s="26"/>
      <c r="D1373" s="26"/>
      <c r="E1373" s="27"/>
      <c r="F1373" s="195">
        <f>SF!F23</f>
        <v>230</v>
      </c>
      <c r="G1373" s="27"/>
      <c r="H1373" s="34"/>
      <c r="I1373" s="195">
        <f>SF!I23</f>
        <v>115</v>
      </c>
      <c r="J1373" s="195">
        <f>SF!J23</f>
        <v>0</v>
      </c>
      <c r="K1373" s="433">
        <v>1.35</v>
      </c>
      <c r="L1373" s="11"/>
    </row>
    <row r="1374" spans="1:12">
      <c r="A1374" s="25" t="s">
        <v>251</v>
      </c>
      <c r="B1374" s="26" t="s">
        <v>971</v>
      </c>
      <c r="C1374" s="26"/>
      <c r="D1374" s="26"/>
      <c r="E1374" s="27"/>
      <c r="F1374" s="195">
        <f>SF!F24</f>
        <v>20.660000000000004</v>
      </c>
      <c r="G1374" s="27"/>
      <c r="H1374" s="34"/>
      <c r="I1374" s="195">
        <f>SF!I24</f>
        <v>10.330000000000002</v>
      </c>
      <c r="J1374" s="195">
        <f>SF!J24</f>
        <v>0</v>
      </c>
      <c r="K1374" s="433">
        <v>1.35</v>
      </c>
      <c r="L1374" s="266"/>
    </row>
    <row r="1375" spans="1:12">
      <c r="A1375" s="25" t="s">
        <v>97</v>
      </c>
      <c r="B1375" s="26" t="s">
        <v>972</v>
      </c>
      <c r="C1375" s="26"/>
      <c r="D1375" s="26"/>
      <c r="E1375" s="27"/>
      <c r="F1375" s="195">
        <f>SF!F25</f>
        <v>42</v>
      </c>
      <c r="G1375" s="27"/>
      <c r="H1375" s="34"/>
      <c r="I1375" s="195">
        <f>SF!I25</f>
        <v>14.858499999999999</v>
      </c>
      <c r="J1375" s="195">
        <f>SF!J25</f>
        <v>0</v>
      </c>
      <c r="K1375" s="511">
        <v>1.75</v>
      </c>
      <c r="L1375" s="11"/>
    </row>
    <row r="1376" spans="1:12">
      <c r="A1376" s="25" t="s">
        <v>976</v>
      </c>
      <c r="B1376" s="26" t="s">
        <v>978</v>
      </c>
      <c r="C1376" s="26"/>
      <c r="D1376" s="26"/>
      <c r="E1376" s="27"/>
      <c r="F1376" s="195">
        <f>SF!F29</f>
        <v>65.160399999999996</v>
      </c>
      <c r="G1376" s="27"/>
      <c r="H1376" s="34"/>
      <c r="I1376" s="195">
        <f>SF!I29</f>
        <v>-32.580199999999998</v>
      </c>
      <c r="J1376" s="195">
        <f>SF!J29</f>
        <v>-10.105732306306301</v>
      </c>
      <c r="K1376" s="511">
        <v>0.2</v>
      </c>
      <c r="L1376" s="11"/>
    </row>
    <row r="1377" spans="1:12">
      <c r="A1377" s="25" t="s">
        <v>977</v>
      </c>
      <c r="B1377" s="26" t="s">
        <v>979</v>
      </c>
      <c r="C1377" s="26"/>
      <c r="D1377" s="26"/>
      <c r="E1377" s="27"/>
      <c r="F1377" s="195">
        <f>SF!F30</f>
        <v>75.185314285714313</v>
      </c>
      <c r="G1377" s="27"/>
      <c r="H1377" s="34"/>
      <c r="I1377" s="195">
        <f>SF!I30</f>
        <v>37.592657142857156</v>
      </c>
      <c r="J1377" s="195">
        <f>SF!J30</f>
        <v>-11.660497166023164</v>
      </c>
      <c r="K1377" s="511">
        <v>0.2</v>
      </c>
      <c r="L1377" s="266"/>
    </row>
    <row r="1378" spans="1:12">
      <c r="A1378" s="686" t="s">
        <v>1128</v>
      </c>
      <c r="B1378" s="687"/>
      <c r="C1378" s="688"/>
      <c r="D1378" s="688"/>
      <c r="E1378" s="689"/>
      <c r="F1378" s="696">
        <f>SF!F43</f>
        <v>-103.56143333397094</v>
      </c>
      <c r="G1378" s="689"/>
      <c r="H1378" s="690"/>
      <c r="I1378" s="690"/>
      <c r="J1378" s="690"/>
      <c r="K1378" s="433">
        <v>0.15</v>
      </c>
      <c r="L1378" s="266"/>
    </row>
    <row r="1379" spans="1:12">
      <c r="A1379" s="686" t="s">
        <v>1131</v>
      </c>
      <c r="B1379" s="687"/>
      <c r="C1379" s="688"/>
      <c r="D1379" s="688"/>
      <c r="E1379" s="689"/>
      <c r="F1379" s="690"/>
      <c r="G1379" s="696">
        <f>SF!G47</f>
        <v>3.2856246869242693</v>
      </c>
      <c r="H1379" s="696">
        <f>SF!H47</f>
        <v>3.5397182492142409</v>
      </c>
      <c r="I1379" s="696">
        <f>SF!I47</f>
        <v>7.0628515103002814</v>
      </c>
      <c r="J1379" s="696">
        <f>SF!J47</f>
        <v>5.3297614737052639</v>
      </c>
      <c r="K1379" s="433">
        <v>1</v>
      </c>
      <c r="L1379" s="266"/>
    </row>
    <row r="1380" spans="1:12">
      <c r="A1380" s="278" t="s">
        <v>200</v>
      </c>
      <c r="B1380" s="262"/>
      <c r="C1380" s="262"/>
      <c r="D1380" s="262"/>
      <c r="E1380" s="263"/>
      <c r="F1380" s="279"/>
      <c r="G1380" s="280"/>
      <c r="H1380" s="264"/>
      <c r="I1380" s="279"/>
      <c r="J1380" s="264"/>
      <c r="K1380" s="1581">
        <v>1.5</v>
      </c>
      <c r="L1380" s="266"/>
    </row>
    <row r="1381" spans="1:12">
      <c r="A1381" s="25" t="s">
        <v>991</v>
      </c>
      <c r="B1381" s="26" t="s">
        <v>989</v>
      </c>
      <c r="C1381" s="26"/>
      <c r="D1381" s="26"/>
      <c r="E1381" s="27"/>
      <c r="F1381" s="197"/>
      <c r="G1381" s="172">
        <f>SF!G52</f>
        <v>94.821839999999995</v>
      </c>
      <c r="H1381" s="34"/>
      <c r="I1381" s="172">
        <f>SF!I52</f>
        <v>785.12483520000001</v>
      </c>
      <c r="J1381" s="89"/>
      <c r="K1381" s="511">
        <v>0.44999999999999996</v>
      </c>
      <c r="L1381" s="266"/>
    </row>
    <row r="1382" spans="1:12">
      <c r="A1382" s="25" t="s">
        <v>994</v>
      </c>
      <c r="B1382" s="26" t="s">
        <v>996</v>
      </c>
      <c r="C1382" s="26"/>
      <c r="D1382" s="26"/>
      <c r="E1382" s="27"/>
      <c r="F1382" s="197"/>
      <c r="G1382" s="172">
        <f>SF!G56</f>
        <v>4.5540000000000003</v>
      </c>
      <c r="H1382" s="34"/>
      <c r="I1382" s="172">
        <f>SF!I56</f>
        <v>37.70712000000001</v>
      </c>
      <c r="J1382" s="89"/>
      <c r="K1382" s="433">
        <v>1.5</v>
      </c>
      <c r="L1382" s="266"/>
    </row>
    <row r="1383" spans="1:12">
      <c r="A1383" s="25" t="s">
        <v>217</v>
      </c>
      <c r="B1383" s="26" t="s">
        <v>211</v>
      </c>
      <c r="C1383" s="26"/>
      <c r="D1383" s="26"/>
      <c r="E1383" s="27"/>
      <c r="F1383" s="197"/>
      <c r="G1383" s="196">
        <f>SF!G58</f>
        <v>26.798532263701709</v>
      </c>
      <c r="H1383" s="199"/>
      <c r="I1383" s="172">
        <f>SF!I58</f>
        <v>147.28381289471153</v>
      </c>
      <c r="J1383" s="195"/>
      <c r="K1383" s="433">
        <v>0.44999999999999996</v>
      </c>
      <c r="L1383" s="266"/>
    </row>
    <row r="1384" spans="1:12">
      <c r="A1384" s="686" t="s">
        <v>1472</v>
      </c>
      <c r="B1384" s="688" t="s">
        <v>1045</v>
      </c>
      <c r="C1384" s="688"/>
      <c r="D1384" s="688"/>
      <c r="E1384" s="689"/>
      <c r="F1384" s="620"/>
      <c r="G1384" s="695">
        <f>SF!G61</f>
        <v>32.345729999999996</v>
      </c>
      <c r="H1384" s="690"/>
      <c r="I1384" s="695">
        <f>SF!I61</f>
        <v>29.111156999999999</v>
      </c>
      <c r="J1384" s="269"/>
      <c r="K1384" s="433">
        <v>0.44999999999999996</v>
      </c>
      <c r="L1384" s="266"/>
    </row>
    <row r="1385" spans="1:12">
      <c r="A1385" s="686" t="s">
        <v>1139</v>
      </c>
      <c r="B1385" s="688" t="s">
        <v>1140</v>
      </c>
      <c r="C1385" s="688"/>
      <c r="D1385" s="688"/>
      <c r="E1385" s="689"/>
      <c r="F1385" s="620"/>
      <c r="G1385" s="695">
        <f>SF!G63</f>
        <v>19.373390077688924</v>
      </c>
      <c r="H1385" s="690"/>
      <c r="I1385" s="695">
        <f>SF!I63</f>
        <v>37.512792074379419</v>
      </c>
      <c r="J1385" s="269"/>
      <c r="K1385" s="433">
        <v>0.3</v>
      </c>
      <c r="L1385" s="266"/>
    </row>
    <row r="1386" spans="1:12">
      <c r="A1386" s="278" t="s">
        <v>1817</v>
      </c>
      <c r="B1386" s="262"/>
      <c r="C1386" s="262"/>
      <c r="D1386" s="262"/>
      <c r="E1386" s="263"/>
      <c r="F1386" s="279"/>
      <c r="G1386" s="280"/>
      <c r="H1386" s="264"/>
      <c r="I1386" s="279"/>
      <c r="J1386" s="264"/>
      <c r="K1386" s="1582">
        <v>1.5</v>
      </c>
      <c r="L1386" s="266"/>
    </row>
    <row r="1387" spans="1:12">
      <c r="A1387" s="25" t="s">
        <v>997</v>
      </c>
      <c r="B1387" s="26" t="s">
        <v>988</v>
      </c>
      <c r="C1387" s="26"/>
      <c r="D1387" s="26"/>
      <c r="E1387" s="27"/>
      <c r="F1387" s="197"/>
      <c r="G1387" s="211"/>
      <c r="H1387" s="172">
        <f>SF!H67</f>
        <v>47.410919999999997</v>
      </c>
      <c r="I1387" s="197"/>
      <c r="J1387" s="172">
        <f>SF!J67</f>
        <v>433.10062959257624</v>
      </c>
      <c r="K1387" s="511">
        <v>1.5</v>
      </c>
      <c r="L1387" s="266"/>
    </row>
    <row r="1388" spans="1:12">
      <c r="A1388" s="25" t="s">
        <v>998</v>
      </c>
      <c r="B1388" s="26" t="s">
        <v>989</v>
      </c>
      <c r="C1388" s="26"/>
      <c r="D1388" s="26"/>
      <c r="E1388" s="27"/>
      <c r="F1388" s="197"/>
      <c r="G1388" s="211"/>
      <c r="H1388" s="172">
        <f>SF!H68</f>
        <v>47.410919999999997</v>
      </c>
      <c r="I1388" s="197"/>
      <c r="J1388" s="172">
        <f>SF!J68</f>
        <v>433.10062959257624</v>
      </c>
      <c r="K1388" s="433">
        <v>1.5</v>
      </c>
      <c r="L1388" s="266"/>
    </row>
    <row r="1389" spans="1:12">
      <c r="A1389" s="25" t="s">
        <v>1004</v>
      </c>
      <c r="B1389" s="26" t="s">
        <v>1000</v>
      </c>
      <c r="C1389" s="26"/>
      <c r="D1389" s="26"/>
      <c r="E1389" s="27"/>
      <c r="F1389" s="197"/>
      <c r="G1389" s="211"/>
      <c r="H1389" s="172">
        <f>SF!H72</f>
        <v>10.555984799999999</v>
      </c>
      <c r="I1389" s="197"/>
      <c r="J1389" s="172">
        <f>SF!J72</f>
        <v>115.74637333199999</v>
      </c>
      <c r="K1389" s="433">
        <v>0.30000000000000004</v>
      </c>
      <c r="L1389" s="266"/>
    </row>
    <row r="1390" spans="1:12">
      <c r="A1390" s="25" t="s">
        <v>1005</v>
      </c>
      <c r="B1390" s="26" t="s">
        <v>1001</v>
      </c>
      <c r="C1390" s="26"/>
      <c r="D1390" s="26"/>
      <c r="E1390" s="27"/>
      <c r="F1390" s="197"/>
      <c r="G1390" s="211"/>
      <c r="H1390" s="172">
        <f>SF!H73</f>
        <v>12.18002091428572</v>
      </c>
      <c r="I1390" s="197"/>
      <c r="J1390" s="172">
        <f>SF!J73</f>
        <v>133.55392932514292</v>
      </c>
      <c r="K1390" s="433">
        <v>0.30000000000000004</v>
      </c>
      <c r="L1390" s="266"/>
    </row>
    <row r="1391" spans="1:12">
      <c r="A1391" s="25" t="s">
        <v>1006</v>
      </c>
      <c r="B1391" s="26" t="s">
        <v>211</v>
      </c>
      <c r="C1391" s="26"/>
      <c r="D1391" s="26"/>
      <c r="E1391" s="27"/>
      <c r="F1391" s="197"/>
      <c r="G1391" s="195"/>
      <c r="H1391" s="172">
        <f>SF!H78</f>
        <v>26.798532263701709</v>
      </c>
      <c r="I1391" s="195"/>
      <c r="J1391" s="172">
        <f>SF!J78</f>
        <v>147.28381289471153</v>
      </c>
      <c r="K1391" s="433">
        <v>1.5</v>
      </c>
      <c r="L1391" s="266"/>
    </row>
    <row r="1392" spans="1:12">
      <c r="A1392" s="686" t="s">
        <v>1138</v>
      </c>
      <c r="B1392" s="688" t="s">
        <v>1045</v>
      </c>
      <c r="C1392" s="688"/>
      <c r="D1392" s="688"/>
      <c r="E1392" s="689"/>
      <c r="F1392" s="620"/>
      <c r="G1392" s="711"/>
      <c r="H1392" s="989">
        <f>SF!H81</f>
        <v>32.345729999999996</v>
      </c>
      <c r="I1392" s="696"/>
      <c r="J1392" s="989">
        <f>SF!J81</f>
        <v>29.111156999999999</v>
      </c>
      <c r="K1392" s="433">
        <v>1.5</v>
      </c>
      <c r="L1392" s="266"/>
    </row>
    <row r="1393" spans="1:12">
      <c r="A1393" s="686" t="s">
        <v>1138</v>
      </c>
      <c r="B1393" s="688" t="s">
        <v>1141</v>
      </c>
      <c r="C1393" s="26"/>
      <c r="D1393" s="26"/>
      <c r="E1393" s="27"/>
      <c r="F1393" s="34"/>
      <c r="G1393" s="27"/>
      <c r="H1393" s="989">
        <f>SF!H83</f>
        <v>19.373390077688924</v>
      </c>
      <c r="I1393" s="696"/>
      <c r="J1393" s="989">
        <f>SF!J83</f>
        <v>37.512792074379419</v>
      </c>
      <c r="K1393" s="433">
        <v>1</v>
      </c>
      <c r="L1393" s="266"/>
    </row>
    <row r="1394" spans="1:12">
      <c r="A1394" s="990" t="s">
        <v>204</v>
      </c>
      <c r="B1394" s="661"/>
      <c r="C1394" s="661"/>
      <c r="D1394" s="661"/>
      <c r="E1394" s="584"/>
      <c r="F1394" s="991"/>
      <c r="G1394" s="992"/>
      <c r="H1394" s="370"/>
      <c r="I1394" s="991"/>
      <c r="J1394" s="370"/>
      <c r="K1394" s="1583">
        <v>0.44999999999999996</v>
      </c>
      <c r="L1394" s="266"/>
    </row>
    <row r="1395" spans="1:12">
      <c r="A1395" s="25" t="s">
        <v>1007</v>
      </c>
      <c r="B1395" s="26" t="s">
        <v>988</v>
      </c>
      <c r="C1395" s="26"/>
      <c r="D1395" s="26"/>
      <c r="E1395" s="27"/>
      <c r="F1395" s="196">
        <f>SF!F87</f>
        <v>31.607279999999999</v>
      </c>
      <c r="G1395" s="211"/>
      <c r="H1395" s="34"/>
      <c r="I1395" s="196">
        <f>SF!I87</f>
        <v>-15.140358000000003</v>
      </c>
      <c r="J1395" s="196">
        <f>SF!J87</f>
        <v>0</v>
      </c>
      <c r="K1395" s="433">
        <v>0.44999999999999996</v>
      </c>
      <c r="L1395" s="266"/>
    </row>
    <row r="1396" spans="1:12">
      <c r="A1396" s="25" t="s">
        <v>1008</v>
      </c>
      <c r="B1396" s="26" t="s">
        <v>989</v>
      </c>
      <c r="C1396" s="26"/>
      <c r="D1396" s="26"/>
      <c r="E1396" s="27"/>
      <c r="F1396" s="196">
        <f>SF!F88</f>
        <v>31.607279999999999</v>
      </c>
      <c r="G1396" s="211"/>
      <c r="H1396" s="34"/>
      <c r="I1396" s="196">
        <f>SF!I88</f>
        <v>15.140358000000003</v>
      </c>
      <c r="J1396" s="196">
        <f>SF!J88</f>
        <v>0</v>
      </c>
      <c r="K1396" s="511">
        <v>0.44999999999999996</v>
      </c>
      <c r="L1396" s="266"/>
    </row>
    <row r="1397" spans="1:12">
      <c r="A1397" s="25" t="s">
        <v>1009</v>
      </c>
      <c r="B1397" s="26" t="s">
        <v>1000</v>
      </c>
      <c r="C1397" s="26"/>
      <c r="D1397" s="26"/>
      <c r="E1397" s="27"/>
      <c r="F1397" s="196">
        <f>SF!F92</f>
        <v>7.0373232000000003</v>
      </c>
      <c r="G1397" s="211"/>
      <c r="H1397" s="34"/>
      <c r="I1397" s="196">
        <f>SF!I92</f>
        <v>-3.5186616000000002</v>
      </c>
      <c r="J1397" s="196">
        <f>SF!J92</f>
        <v>-1.0914190890810807</v>
      </c>
      <c r="K1397" s="511">
        <v>0.09</v>
      </c>
      <c r="L1397" s="266"/>
    </row>
    <row r="1398" spans="1:12">
      <c r="A1398" s="25" t="s">
        <v>1010</v>
      </c>
      <c r="B1398" s="26" t="s">
        <v>1001</v>
      </c>
      <c r="C1398" s="26"/>
      <c r="D1398" s="26"/>
      <c r="E1398" s="27"/>
      <c r="F1398" s="196">
        <f>SF!F93</f>
        <v>8.1200139428571472</v>
      </c>
      <c r="G1398" s="211"/>
      <c r="H1398" s="34"/>
      <c r="I1398" s="196">
        <f>SF!I93</f>
        <v>4.0600069714285736</v>
      </c>
      <c r="J1398" s="196">
        <f>SF!J93</f>
        <v>-1.259333693930502</v>
      </c>
      <c r="K1398" s="511">
        <v>0.09</v>
      </c>
      <c r="L1398" s="266"/>
    </row>
    <row r="1399" spans="1:12">
      <c r="A1399" s="25" t="s">
        <v>1011</v>
      </c>
      <c r="B1399" s="26" t="s">
        <v>211</v>
      </c>
      <c r="C1399" s="26"/>
      <c r="D1399" s="26"/>
      <c r="E1399" s="27"/>
      <c r="F1399" s="196">
        <f>SF!F98</f>
        <v>17.865688175801139</v>
      </c>
      <c r="G1399" s="211"/>
      <c r="H1399" s="197"/>
      <c r="I1399" s="196">
        <f>SF!I98</f>
        <v>0</v>
      </c>
      <c r="J1399" s="196">
        <f>SF!J98</f>
        <v>0</v>
      </c>
      <c r="K1399" s="511">
        <v>0.44999999999999996</v>
      </c>
      <c r="L1399" s="266"/>
    </row>
    <row r="1400" spans="1:12">
      <c r="A1400" s="686" t="s">
        <v>1473</v>
      </c>
      <c r="B1400" s="688" t="s">
        <v>1045</v>
      </c>
      <c r="C1400" s="688"/>
      <c r="D1400" s="688"/>
      <c r="E1400" s="689"/>
      <c r="F1400" s="695">
        <f>SF!F101</f>
        <v>21.56382</v>
      </c>
      <c r="G1400" s="621"/>
      <c r="H1400" s="620"/>
      <c r="I1400" s="695">
        <f>SF!I101</f>
        <v>0</v>
      </c>
      <c r="J1400" s="695">
        <f>SF!J101</f>
        <v>0</v>
      </c>
      <c r="K1400" s="511">
        <v>0.44999999999999996</v>
      </c>
      <c r="L1400" s="266"/>
    </row>
    <row r="1401" spans="1:12">
      <c r="A1401" s="253"/>
      <c r="B1401" s="15"/>
      <c r="C1401" s="15"/>
      <c r="D1401" s="15"/>
      <c r="E1401" s="22"/>
      <c r="F1401" s="212"/>
      <c r="G1401" s="213"/>
      <c r="H1401" s="198"/>
      <c r="I1401" s="198"/>
      <c r="J1401" s="58"/>
      <c r="K1401" s="208"/>
      <c r="L1401" s="293"/>
    </row>
    <row r="1402" spans="1:12">
      <c r="A1402" s="46"/>
      <c r="B1402" s="46"/>
      <c r="C1402" s="46"/>
      <c r="D1402" s="46"/>
      <c r="E1402" s="46"/>
      <c r="F1402" s="46"/>
      <c r="G1402" s="46"/>
      <c r="H1402" s="46"/>
      <c r="I1402" s="46"/>
      <c r="J1402" s="46"/>
      <c r="K1402" s="87"/>
      <c r="L1402" s="293"/>
    </row>
    <row r="1403" spans="1:12">
      <c r="A1403" s="220" t="s">
        <v>73</v>
      </c>
      <c r="B1403" s="220" t="s">
        <v>74</v>
      </c>
      <c r="C1403" s="200"/>
      <c r="D1403" s="200"/>
      <c r="E1403" s="217"/>
      <c r="F1403" s="1636" t="s">
        <v>72</v>
      </c>
      <c r="G1403" s="1637"/>
      <c r="H1403" s="1637"/>
      <c r="I1403" s="1637"/>
      <c r="J1403" s="1638"/>
      <c r="K1403" s="87"/>
      <c r="L1403" s="293"/>
    </row>
    <row r="1404" spans="1:12" ht="18">
      <c r="A1404" s="221"/>
      <c r="B1404" s="221"/>
      <c r="C1404" s="201"/>
      <c r="D1404" s="201"/>
      <c r="E1404" s="219"/>
      <c r="F1404" s="223" t="s">
        <v>23</v>
      </c>
      <c r="G1404" s="223" t="s">
        <v>87</v>
      </c>
      <c r="H1404" s="223" t="s">
        <v>212</v>
      </c>
      <c r="I1404" s="223" t="s">
        <v>80</v>
      </c>
      <c r="J1404" s="223" t="s">
        <v>81</v>
      </c>
      <c r="K1404" s="87"/>
      <c r="L1404" s="293"/>
    </row>
    <row r="1405" spans="1:12">
      <c r="A1405" s="222"/>
      <c r="B1405" s="222"/>
      <c r="C1405" s="203"/>
      <c r="D1405" s="203"/>
      <c r="E1405" s="218"/>
      <c r="F1405" s="204" t="s">
        <v>34</v>
      </c>
      <c r="G1405" s="204" t="s">
        <v>34</v>
      </c>
      <c r="H1405" s="203" t="s">
        <v>34</v>
      </c>
      <c r="I1405" s="204" t="s">
        <v>77</v>
      </c>
      <c r="J1405" s="204" t="s">
        <v>77</v>
      </c>
      <c r="K1405" s="87"/>
      <c r="L1405" s="293"/>
    </row>
    <row r="1406" spans="1:12">
      <c r="A1406" s="202"/>
      <c r="B1406" s="200"/>
      <c r="C1406" s="200"/>
      <c r="D1406" s="200"/>
      <c r="E1406" s="217"/>
      <c r="F1406" s="205"/>
      <c r="G1406" s="205"/>
      <c r="H1406" s="201"/>
      <c r="I1406" s="205"/>
      <c r="J1406" s="205"/>
      <c r="K1406" s="87"/>
      <c r="L1406" s="293"/>
    </row>
    <row r="1407" spans="1:12">
      <c r="A1407" s="205" t="str">
        <f>A1365</f>
        <v>LC-44</v>
      </c>
      <c r="B1407" s="201" t="str">
        <f>B1365</f>
        <v>LC-23 + Seismic Sx=0.3,Sz=1,Sy=0.3</v>
      </c>
      <c r="C1407" s="201"/>
      <c r="D1407" s="201"/>
      <c r="E1407" s="219"/>
      <c r="F1407" s="205">
        <f>SUMPRODUCT(F1368:F1400,$K$1368:$K$1400)</f>
        <v>1409.4024570468844</v>
      </c>
      <c r="G1407" s="219">
        <f>SUMPRODUCT(G1368:G1400,$K$1368:$K$1400)</f>
        <v>85.21338772889672</v>
      </c>
      <c r="H1407" s="219">
        <f>SUMPRODUCT(H1368:H1400,$K$1368:$K$1400)</f>
        <v>260.68306343674146</v>
      </c>
      <c r="I1407" s="219">
        <f>SUMPRODUCT(I1368:I1400,$K$1368:$K$1400)</f>
        <v>514.55589393723426</v>
      </c>
      <c r="J1407" s="219">
        <f>SUMPRODUCT(J1368:J1400,$K$1368:$K$1400)</f>
        <v>1676.9621743200864</v>
      </c>
      <c r="K1407" s="87"/>
      <c r="L1407" s="293"/>
    </row>
    <row r="1408" spans="1:12">
      <c r="A1408" s="204"/>
      <c r="B1408" s="203"/>
      <c r="C1408" s="203"/>
      <c r="D1408" s="203"/>
      <c r="E1408" s="218"/>
      <c r="F1408" s="204"/>
      <c r="G1408" s="204"/>
      <c r="H1408" s="203"/>
      <c r="I1408" s="204"/>
      <c r="J1408" s="204"/>
      <c r="K1408" s="87"/>
      <c r="L1408" s="293"/>
    </row>
    <row r="1411" spans="1:12">
      <c r="A1411" s="811" t="str">
        <f>K1411</f>
        <v>LC-45</v>
      </c>
      <c r="B1411" s="31" t="str">
        <f>VLOOKUP(A1411,LC_DEF_2!A45:B92,2,FALSE)</f>
        <v>LC-24 + Seismic Sx=1,Sz=0.3,Sy=-0.3</v>
      </c>
      <c r="C1411" s="31"/>
      <c r="D1411" s="31"/>
      <c r="E1411" s="32"/>
      <c r="F1411" s="1599" t="s">
        <v>742</v>
      </c>
      <c r="G1411" s="1635"/>
      <c r="H1411" s="1635"/>
      <c r="I1411" s="1635"/>
      <c r="J1411" s="1600"/>
      <c r="K1411" s="1580" t="s">
        <v>1426</v>
      </c>
      <c r="L1411" s="293"/>
    </row>
    <row r="1412" spans="1:12" ht="18">
      <c r="A1412" s="25" t="s">
        <v>73</v>
      </c>
      <c r="B1412" s="26" t="s">
        <v>74</v>
      </c>
      <c r="C1412" s="26"/>
      <c r="D1412" s="26"/>
      <c r="E1412" s="27"/>
      <c r="F1412" s="58" t="s">
        <v>23</v>
      </c>
      <c r="G1412" s="58" t="s">
        <v>87</v>
      </c>
      <c r="H1412" s="58" t="s">
        <v>212</v>
      </c>
      <c r="I1412" s="58" t="s">
        <v>80</v>
      </c>
      <c r="J1412" s="58" t="s">
        <v>81</v>
      </c>
      <c r="K1412" s="433"/>
      <c r="L1412" s="293"/>
    </row>
    <row r="1413" spans="1:12">
      <c r="A1413" s="25"/>
      <c r="B1413" s="26"/>
      <c r="C1413" s="26"/>
      <c r="D1413" s="26"/>
      <c r="E1413" s="27"/>
      <c r="F1413" s="36" t="s">
        <v>34</v>
      </c>
      <c r="G1413" s="36" t="s">
        <v>34</v>
      </c>
      <c r="H1413" s="36" t="s">
        <v>34</v>
      </c>
      <c r="I1413" s="36" t="s">
        <v>77</v>
      </c>
      <c r="J1413" s="36" t="s">
        <v>77</v>
      </c>
      <c r="K1413" s="433"/>
      <c r="L1413" s="293"/>
    </row>
    <row r="1414" spans="1:12">
      <c r="A1414" s="25" t="s">
        <v>88</v>
      </c>
      <c r="B1414" s="26" t="s">
        <v>75</v>
      </c>
      <c r="C1414" s="26"/>
      <c r="D1414" s="26"/>
      <c r="E1414" s="27"/>
      <c r="F1414" s="195">
        <f>SF!F14</f>
        <v>365.08803866482532</v>
      </c>
      <c r="G1414" s="210"/>
      <c r="H1414" s="34"/>
      <c r="I1414" s="195">
        <f>SF!I14</f>
        <v>0</v>
      </c>
      <c r="J1414" s="195">
        <f>SF!J14</f>
        <v>0</v>
      </c>
      <c r="K1414" s="511">
        <v>1.35</v>
      </c>
      <c r="L1414" s="266"/>
    </row>
    <row r="1415" spans="1:12">
      <c r="A1415" s="25" t="s">
        <v>90</v>
      </c>
      <c r="B1415" s="26" t="s">
        <v>249</v>
      </c>
      <c r="C1415" s="26"/>
      <c r="D1415" s="26"/>
      <c r="E1415" s="27"/>
      <c r="F1415" s="195">
        <f>SF!F16</f>
        <v>36.639026644707663</v>
      </c>
      <c r="G1415" s="210"/>
      <c r="H1415" s="34"/>
      <c r="I1415" s="195">
        <f>SF!I16</f>
        <v>0</v>
      </c>
      <c r="J1415" s="195">
        <f>SF!J16</f>
        <v>0</v>
      </c>
      <c r="K1415" s="511">
        <v>1.35</v>
      </c>
      <c r="L1415" s="266"/>
    </row>
    <row r="1416" spans="1:12">
      <c r="A1416" s="25" t="s">
        <v>250</v>
      </c>
      <c r="B1416" s="26" t="s">
        <v>967</v>
      </c>
      <c r="C1416" s="26"/>
      <c r="D1416" s="26"/>
      <c r="E1416" s="27"/>
      <c r="F1416" s="195">
        <f>SF!F19</f>
        <v>230</v>
      </c>
      <c r="G1416" s="27"/>
      <c r="H1416" s="34"/>
      <c r="I1416" s="195">
        <f>SF!I19</f>
        <v>-115</v>
      </c>
      <c r="J1416" s="195">
        <f>SF!J19</f>
        <v>0</v>
      </c>
      <c r="K1416" s="433">
        <v>1.35</v>
      </c>
      <c r="L1416" s="11"/>
    </row>
    <row r="1417" spans="1:12">
      <c r="A1417" s="25" t="s">
        <v>251</v>
      </c>
      <c r="B1417" s="26" t="s">
        <v>968</v>
      </c>
      <c r="C1417" s="26"/>
      <c r="D1417" s="26"/>
      <c r="E1417" s="27"/>
      <c r="F1417" s="195">
        <f>SF!F20</f>
        <v>20.660000000000004</v>
      </c>
      <c r="G1417" s="27"/>
      <c r="H1417" s="34"/>
      <c r="I1417" s="195">
        <f>SF!I20</f>
        <v>-10.330000000000002</v>
      </c>
      <c r="J1417" s="195">
        <f>SF!J20</f>
        <v>0</v>
      </c>
      <c r="K1417" s="433">
        <v>1.35</v>
      </c>
      <c r="L1417" s="11"/>
    </row>
    <row r="1418" spans="1:12">
      <c r="A1418" s="25" t="s">
        <v>97</v>
      </c>
      <c r="B1418" s="26" t="s">
        <v>969</v>
      </c>
      <c r="C1418" s="26"/>
      <c r="D1418" s="26"/>
      <c r="E1418" s="27"/>
      <c r="F1418" s="195">
        <f>SF!F21</f>
        <v>42</v>
      </c>
      <c r="G1418" s="27"/>
      <c r="H1418" s="34"/>
      <c r="I1418" s="195">
        <f>SF!I21</f>
        <v>-14.858499999999999</v>
      </c>
      <c r="J1418" s="195">
        <f>SF!J21</f>
        <v>0</v>
      </c>
      <c r="K1418" s="433">
        <v>1.35</v>
      </c>
      <c r="L1418" s="11"/>
    </row>
    <row r="1419" spans="1:12">
      <c r="A1419" s="25" t="s">
        <v>250</v>
      </c>
      <c r="B1419" s="26" t="s">
        <v>970</v>
      </c>
      <c r="C1419" s="26"/>
      <c r="D1419" s="26"/>
      <c r="E1419" s="27"/>
      <c r="F1419" s="195">
        <f>SF!F23</f>
        <v>230</v>
      </c>
      <c r="G1419" s="27"/>
      <c r="H1419" s="34"/>
      <c r="I1419" s="195">
        <f>SF!I23</f>
        <v>115</v>
      </c>
      <c r="J1419" s="195">
        <f>SF!J23</f>
        <v>0</v>
      </c>
      <c r="K1419" s="433">
        <v>1.35</v>
      </c>
      <c r="L1419" s="11"/>
    </row>
    <row r="1420" spans="1:12">
      <c r="A1420" s="25" t="s">
        <v>251</v>
      </c>
      <c r="B1420" s="26" t="s">
        <v>971</v>
      </c>
      <c r="C1420" s="26"/>
      <c r="D1420" s="26"/>
      <c r="E1420" s="27"/>
      <c r="F1420" s="195">
        <f>SF!F24</f>
        <v>20.660000000000004</v>
      </c>
      <c r="G1420" s="27"/>
      <c r="H1420" s="34"/>
      <c r="I1420" s="195">
        <f>SF!I24</f>
        <v>10.330000000000002</v>
      </c>
      <c r="J1420" s="195">
        <f>SF!J24</f>
        <v>0</v>
      </c>
      <c r="K1420" s="433">
        <v>1.35</v>
      </c>
      <c r="L1420" s="266"/>
    </row>
    <row r="1421" spans="1:12">
      <c r="A1421" s="25" t="s">
        <v>97</v>
      </c>
      <c r="B1421" s="26" t="s">
        <v>972</v>
      </c>
      <c r="C1421" s="26"/>
      <c r="D1421" s="26"/>
      <c r="E1421" s="27"/>
      <c r="F1421" s="195">
        <f>SF!F25</f>
        <v>42</v>
      </c>
      <c r="G1421" s="27"/>
      <c r="H1421" s="34"/>
      <c r="I1421" s="195">
        <f>SF!I25</f>
        <v>14.858499999999999</v>
      </c>
      <c r="J1421" s="195">
        <f>SF!J25</f>
        <v>0</v>
      </c>
      <c r="K1421" s="511">
        <v>1.75</v>
      </c>
      <c r="L1421" s="11"/>
    </row>
    <row r="1422" spans="1:12">
      <c r="A1422" s="25" t="s">
        <v>976</v>
      </c>
      <c r="B1422" s="26" t="s">
        <v>981</v>
      </c>
      <c r="C1422" s="26"/>
      <c r="D1422" s="26"/>
      <c r="E1422" s="27"/>
      <c r="F1422" s="195">
        <f>SF!F33</f>
        <v>0</v>
      </c>
      <c r="G1422" s="27"/>
      <c r="H1422" s="34"/>
      <c r="I1422" s="195">
        <f>SF!I33</f>
        <v>0</v>
      </c>
      <c r="J1422" s="195">
        <f>SF!J33</f>
        <v>0</v>
      </c>
      <c r="K1422" s="433">
        <v>0.2</v>
      </c>
      <c r="L1422" s="266"/>
    </row>
    <row r="1423" spans="1:12">
      <c r="A1423" s="25" t="s">
        <v>977</v>
      </c>
      <c r="B1423" s="26" t="s">
        <v>982</v>
      </c>
      <c r="C1423" s="26"/>
      <c r="D1423" s="26"/>
      <c r="E1423" s="27"/>
      <c r="F1423" s="195">
        <f>SF!F34</f>
        <v>127.89948571428575</v>
      </c>
      <c r="G1423" s="27"/>
      <c r="H1423" s="34"/>
      <c r="I1423" s="195">
        <f>SF!I34</f>
        <v>63.949742857142873</v>
      </c>
      <c r="J1423" s="195">
        <f>SF!J34</f>
        <v>-19.835942761904757</v>
      </c>
      <c r="K1423" s="433">
        <v>0.2</v>
      </c>
      <c r="L1423" s="266"/>
    </row>
    <row r="1424" spans="1:12">
      <c r="A1424" s="686" t="s">
        <v>1128</v>
      </c>
      <c r="B1424" s="687"/>
      <c r="C1424" s="688"/>
      <c r="D1424" s="688"/>
      <c r="E1424" s="689"/>
      <c r="F1424" s="696">
        <f>SF!F43</f>
        <v>-103.56143333397094</v>
      </c>
      <c r="G1424" s="689"/>
      <c r="H1424" s="690"/>
      <c r="I1424" s="690"/>
      <c r="J1424" s="690"/>
      <c r="K1424" s="433">
        <v>0.15</v>
      </c>
      <c r="L1424" s="266"/>
    </row>
    <row r="1425" spans="1:12">
      <c r="A1425" s="686" t="s">
        <v>1131</v>
      </c>
      <c r="B1425" s="687"/>
      <c r="C1425" s="688"/>
      <c r="D1425" s="688"/>
      <c r="E1425" s="689"/>
      <c r="F1425" s="690"/>
      <c r="G1425" s="696">
        <f>SF!G47</f>
        <v>3.2856246869242693</v>
      </c>
      <c r="H1425" s="696">
        <f>SF!H47</f>
        <v>3.5397182492142409</v>
      </c>
      <c r="I1425" s="696">
        <f>SF!I47</f>
        <v>7.0628515103002814</v>
      </c>
      <c r="J1425" s="696">
        <f>SF!J47</f>
        <v>5.3297614737052639</v>
      </c>
      <c r="K1425" s="433">
        <v>1</v>
      </c>
      <c r="L1425" s="266"/>
    </row>
    <row r="1426" spans="1:12">
      <c r="A1426" s="278" t="s">
        <v>200</v>
      </c>
      <c r="B1426" s="262"/>
      <c r="C1426" s="262"/>
      <c r="D1426" s="262"/>
      <c r="E1426" s="263"/>
      <c r="F1426" s="279"/>
      <c r="G1426" s="280"/>
      <c r="H1426" s="264"/>
      <c r="I1426" s="279"/>
      <c r="J1426" s="264"/>
      <c r="K1426" s="1581">
        <v>1.5</v>
      </c>
      <c r="L1426" s="266"/>
    </row>
    <row r="1427" spans="1:12">
      <c r="A1427" s="25" t="s">
        <v>991</v>
      </c>
      <c r="B1427" s="26" t="s">
        <v>989</v>
      </c>
      <c r="C1427" s="26"/>
      <c r="D1427" s="26"/>
      <c r="E1427" s="27"/>
      <c r="F1427" s="197"/>
      <c r="G1427" s="172">
        <f>SF!G52</f>
        <v>94.821839999999995</v>
      </c>
      <c r="H1427" s="34"/>
      <c r="I1427" s="172">
        <f>SF!I52</f>
        <v>785.12483520000001</v>
      </c>
      <c r="J1427" s="89"/>
      <c r="K1427" s="511">
        <v>1.5</v>
      </c>
      <c r="L1427" s="266"/>
    </row>
    <row r="1428" spans="1:12">
      <c r="A1428" s="25" t="s">
        <v>994</v>
      </c>
      <c r="B1428" s="26" t="s">
        <v>996</v>
      </c>
      <c r="C1428" s="26"/>
      <c r="D1428" s="26"/>
      <c r="E1428" s="27"/>
      <c r="F1428" s="197"/>
      <c r="G1428" s="172">
        <f>SF!G56</f>
        <v>4.5540000000000003</v>
      </c>
      <c r="H1428" s="34"/>
      <c r="I1428" s="172">
        <f>SF!I56</f>
        <v>37.70712000000001</v>
      </c>
      <c r="J1428" s="89"/>
      <c r="K1428" s="433">
        <v>1.5</v>
      </c>
      <c r="L1428" s="266"/>
    </row>
    <row r="1429" spans="1:12">
      <c r="A1429" s="25" t="s">
        <v>217</v>
      </c>
      <c r="B1429" s="26" t="s">
        <v>211</v>
      </c>
      <c r="C1429" s="26"/>
      <c r="D1429" s="26"/>
      <c r="E1429" s="27"/>
      <c r="F1429" s="197"/>
      <c r="G1429" s="196">
        <f>SF!G58</f>
        <v>26.798532263701709</v>
      </c>
      <c r="H1429" s="199"/>
      <c r="I1429" s="172">
        <f>SF!I58</f>
        <v>147.28381289471153</v>
      </c>
      <c r="J1429" s="195"/>
      <c r="K1429" s="433">
        <v>1.5</v>
      </c>
      <c r="L1429" s="266"/>
    </row>
    <row r="1430" spans="1:12">
      <c r="A1430" s="686" t="s">
        <v>1472</v>
      </c>
      <c r="B1430" s="688" t="s">
        <v>1045</v>
      </c>
      <c r="C1430" s="688"/>
      <c r="D1430" s="688"/>
      <c r="E1430" s="689"/>
      <c r="F1430" s="620"/>
      <c r="G1430" s="695">
        <f>SF!G61</f>
        <v>32.345729999999996</v>
      </c>
      <c r="H1430" s="690"/>
      <c r="I1430" s="695">
        <f>SF!I61</f>
        <v>29.111156999999999</v>
      </c>
      <c r="J1430" s="269"/>
      <c r="K1430" s="433">
        <v>1.5</v>
      </c>
      <c r="L1430" s="266"/>
    </row>
    <row r="1431" spans="1:12">
      <c r="A1431" s="686" t="s">
        <v>1139</v>
      </c>
      <c r="B1431" s="688" t="s">
        <v>1140</v>
      </c>
      <c r="C1431" s="688"/>
      <c r="D1431" s="688"/>
      <c r="E1431" s="689"/>
      <c r="F1431" s="620"/>
      <c r="G1431" s="695">
        <f>SF!G63</f>
        <v>19.373390077688924</v>
      </c>
      <c r="H1431" s="690"/>
      <c r="I1431" s="695">
        <f>SF!I63</f>
        <v>37.512792074379419</v>
      </c>
      <c r="J1431" s="269"/>
      <c r="K1431" s="433">
        <v>1</v>
      </c>
      <c r="L1431" s="266"/>
    </row>
    <row r="1432" spans="1:12">
      <c r="A1432" s="278" t="s">
        <v>1817</v>
      </c>
      <c r="B1432" s="262"/>
      <c r="C1432" s="262"/>
      <c r="D1432" s="262"/>
      <c r="E1432" s="263"/>
      <c r="F1432" s="279"/>
      <c r="G1432" s="280"/>
      <c r="H1432" s="264"/>
      <c r="I1432" s="279"/>
      <c r="J1432" s="264"/>
      <c r="K1432" s="1582">
        <v>0.44999999999999996</v>
      </c>
      <c r="L1432" s="266"/>
    </row>
    <row r="1433" spans="1:12">
      <c r="A1433" s="25" t="s">
        <v>997</v>
      </c>
      <c r="B1433" s="26" t="s">
        <v>988</v>
      </c>
      <c r="C1433" s="26"/>
      <c r="D1433" s="26"/>
      <c r="E1433" s="27"/>
      <c r="F1433" s="197"/>
      <c r="G1433" s="211"/>
      <c r="H1433" s="172">
        <f>SF!H67</f>
        <v>47.410919999999997</v>
      </c>
      <c r="I1433" s="197"/>
      <c r="J1433" s="172">
        <f>SF!J67</f>
        <v>433.10062959257624</v>
      </c>
      <c r="K1433" s="511">
        <v>0.44999999999999996</v>
      </c>
      <c r="L1433" s="266"/>
    </row>
    <row r="1434" spans="1:12">
      <c r="A1434" s="25" t="s">
        <v>998</v>
      </c>
      <c r="B1434" s="26" t="s">
        <v>989</v>
      </c>
      <c r="C1434" s="26"/>
      <c r="D1434" s="26"/>
      <c r="E1434" s="27"/>
      <c r="F1434" s="197"/>
      <c r="G1434" s="211"/>
      <c r="H1434" s="172">
        <f>SF!H68</f>
        <v>47.410919999999997</v>
      </c>
      <c r="I1434" s="197"/>
      <c r="J1434" s="172">
        <f>SF!J68</f>
        <v>433.10062959257624</v>
      </c>
      <c r="K1434" s="433">
        <v>0.44999999999999996</v>
      </c>
      <c r="L1434" s="266"/>
    </row>
    <row r="1435" spans="1:12">
      <c r="A1435" s="25" t="s">
        <v>1004</v>
      </c>
      <c r="B1435" s="26" t="s">
        <v>1000</v>
      </c>
      <c r="C1435" s="26"/>
      <c r="D1435" s="26"/>
      <c r="E1435" s="27"/>
      <c r="F1435" s="197"/>
      <c r="G1435" s="211"/>
      <c r="H1435" s="172">
        <f>SF!H75</f>
        <v>0</v>
      </c>
      <c r="I1435" s="197"/>
      <c r="J1435" s="172">
        <f>SF!J75</f>
        <v>0</v>
      </c>
      <c r="K1435" s="433">
        <v>0.09</v>
      </c>
      <c r="L1435" s="266"/>
    </row>
    <row r="1436" spans="1:12">
      <c r="A1436" s="25" t="s">
        <v>1005</v>
      </c>
      <c r="B1436" s="26" t="s">
        <v>1001</v>
      </c>
      <c r="C1436" s="26"/>
      <c r="D1436" s="26"/>
      <c r="E1436" s="27"/>
      <c r="F1436" s="197"/>
      <c r="G1436" s="211"/>
      <c r="H1436" s="172">
        <f>SF!H76</f>
        <v>20.719716685714292</v>
      </c>
      <c r="I1436" s="197"/>
      <c r="J1436" s="172">
        <f>SF!J76</f>
        <v>227.1916934588572</v>
      </c>
      <c r="K1436" s="433">
        <v>0.09</v>
      </c>
      <c r="L1436" s="266"/>
    </row>
    <row r="1437" spans="1:12">
      <c r="A1437" s="25" t="s">
        <v>1006</v>
      </c>
      <c r="B1437" s="26" t="s">
        <v>211</v>
      </c>
      <c r="C1437" s="26"/>
      <c r="D1437" s="26"/>
      <c r="E1437" s="27"/>
      <c r="F1437" s="197"/>
      <c r="G1437" s="195"/>
      <c r="H1437" s="172">
        <f>SF!H78</f>
        <v>26.798532263701709</v>
      </c>
      <c r="I1437" s="195"/>
      <c r="J1437" s="172">
        <f>SF!J78</f>
        <v>147.28381289471153</v>
      </c>
      <c r="K1437" s="433">
        <v>0.44999999999999996</v>
      </c>
      <c r="L1437" s="266"/>
    </row>
    <row r="1438" spans="1:12">
      <c r="A1438" s="686" t="s">
        <v>1138</v>
      </c>
      <c r="B1438" s="688" t="s">
        <v>1045</v>
      </c>
      <c r="C1438" s="688"/>
      <c r="D1438" s="688"/>
      <c r="E1438" s="689"/>
      <c r="F1438" s="620"/>
      <c r="G1438" s="711"/>
      <c r="H1438" s="989">
        <f>SF!H81</f>
        <v>32.345729999999996</v>
      </c>
      <c r="I1438" s="696"/>
      <c r="J1438" s="989">
        <f>SF!J81</f>
        <v>29.111156999999999</v>
      </c>
      <c r="K1438" s="433">
        <v>0.44999999999999996</v>
      </c>
      <c r="L1438" s="266"/>
    </row>
    <row r="1439" spans="1:12">
      <c r="A1439" s="686" t="s">
        <v>1138</v>
      </c>
      <c r="B1439" s="688" t="s">
        <v>1141</v>
      </c>
      <c r="C1439" s="26"/>
      <c r="D1439" s="26"/>
      <c r="E1439" s="27"/>
      <c r="F1439" s="34"/>
      <c r="G1439" s="27"/>
      <c r="H1439" s="989">
        <f>SF!H83</f>
        <v>19.373390077688924</v>
      </c>
      <c r="I1439" s="696"/>
      <c r="J1439" s="989">
        <f>SF!J83</f>
        <v>37.512792074379419</v>
      </c>
      <c r="K1439" s="433">
        <v>0.3</v>
      </c>
      <c r="L1439" s="266"/>
    </row>
    <row r="1440" spans="1:12">
      <c r="A1440" s="990" t="s">
        <v>204</v>
      </c>
      <c r="B1440" s="661"/>
      <c r="C1440" s="661"/>
      <c r="D1440" s="661"/>
      <c r="E1440" s="584"/>
      <c r="F1440" s="991"/>
      <c r="G1440" s="992"/>
      <c r="H1440" s="370"/>
      <c r="I1440" s="991"/>
      <c r="J1440" s="370"/>
      <c r="K1440" s="1583">
        <v>0.44999999999999996</v>
      </c>
      <c r="L1440" s="266"/>
    </row>
    <row r="1441" spans="1:12">
      <c r="A1441" s="25" t="s">
        <v>1007</v>
      </c>
      <c r="B1441" s="26" t="s">
        <v>988</v>
      </c>
      <c r="C1441" s="26"/>
      <c r="D1441" s="26"/>
      <c r="E1441" s="27"/>
      <c r="F1441" s="196">
        <f>SF!F87</f>
        <v>31.607279999999999</v>
      </c>
      <c r="G1441" s="211"/>
      <c r="H1441" s="34"/>
      <c r="I1441" s="196">
        <f>SF!I87</f>
        <v>-15.140358000000003</v>
      </c>
      <c r="J1441" s="196">
        <f>SF!J87</f>
        <v>0</v>
      </c>
      <c r="K1441" s="433">
        <v>-0.44999999999999996</v>
      </c>
      <c r="L1441" s="266"/>
    </row>
    <row r="1442" spans="1:12">
      <c r="A1442" s="25" t="s">
        <v>1008</v>
      </c>
      <c r="B1442" s="26" t="s">
        <v>989</v>
      </c>
      <c r="C1442" s="26"/>
      <c r="D1442" s="26"/>
      <c r="E1442" s="27"/>
      <c r="F1442" s="196">
        <f>SF!F88</f>
        <v>31.607279999999999</v>
      </c>
      <c r="G1442" s="211"/>
      <c r="H1442" s="34"/>
      <c r="I1442" s="196">
        <f>SF!I88</f>
        <v>15.140358000000003</v>
      </c>
      <c r="J1442" s="196">
        <f>SF!J88</f>
        <v>0</v>
      </c>
      <c r="K1442" s="511">
        <v>-0.44999999999999996</v>
      </c>
      <c r="L1442" s="266"/>
    </row>
    <row r="1443" spans="1:12">
      <c r="A1443" s="25" t="s">
        <v>1009</v>
      </c>
      <c r="B1443" s="26" t="s">
        <v>1000</v>
      </c>
      <c r="C1443" s="26"/>
      <c r="D1443" s="26"/>
      <c r="E1443" s="27"/>
      <c r="F1443" s="196">
        <f>SF!F95</f>
        <v>0</v>
      </c>
      <c r="G1443" s="211"/>
      <c r="H1443" s="34"/>
      <c r="I1443" s="196">
        <f>SF!I95</f>
        <v>0</v>
      </c>
      <c r="J1443" s="196">
        <f>SF!J95</f>
        <v>0</v>
      </c>
      <c r="K1443" s="511">
        <v>-0.09</v>
      </c>
      <c r="L1443" s="266"/>
    </row>
    <row r="1444" spans="1:12">
      <c r="A1444" s="25" t="s">
        <v>1010</v>
      </c>
      <c r="B1444" s="26" t="s">
        <v>1001</v>
      </c>
      <c r="C1444" s="26"/>
      <c r="D1444" s="26"/>
      <c r="E1444" s="27"/>
      <c r="F1444" s="196">
        <f>SF!F96</f>
        <v>13.813144457142862</v>
      </c>
      <c r="G1444" s="211"/>
      <c r="H1444" s="34"/>
      <c r="I1444" s="196">
        <f>SF!I96</f>
        <v>6.9065722285714308</v>
      </c>
      <c r="J1444" s="196">
        <f>SF!J96</f>
        <v>-2.142281818285714</v>
      </c>
      <c r="K1444" s="511">
        <v>-0.09</v>
      </c>
      <c r="L1444" s="266"/>
    </row>
    <row r="1445" spans="1:12">
      <c r="A1445" s="25" t="s">
        <v>1011</v>
      </c>
      <c r="B1445" s="26" t="s">
        <v>211</v>
      </c>
      <c r="C1445" s="26"/>
      <c r="D1445" s="26"/>
      <c r="E1445" s="27"/>
      <c r="F1445" s="196">
        <f>SF!F98</f>
        <v>17.865688175801139</v>
      </c>
      <c r="G1445" s="211"/>
      <c r="H1445" s="197"/>
      <c r="I1445" s="196">
        <f>SF!I98</f>
        <v>0</v>
      </c>
      <c r="J1445" s="196">
        <f>SF!J98</f>
        <v>0</v>
      </c>
      <c r="K1445" s="511">
        <v>-0.44999999999999996</v>
      </c>
      <c r="L1445" s="266"/>
    </row>
    <row r="1446" spans="1:12">
      <c r="A1446" s="686" t="s">
        <v>1473</v>
      </c>
      <c r="B1446" s="688" t="s">
        <v>1045</v>
      </c>
      <c r="C1446" s="688"/>
      <c r="D1446" s="688"/>
      <c r="E1446" s="689"/>
      <c r="F1446" s="695">
        <f>SF!F101</f>
        <v>21.56382</v>
      </c>
      <c r="G1446" s="621"/>
      <c r="H1446" s="620"/>
      <c r="I1446" s="695">
        <f>SF!I101</f>
        <v>0</v>
      </c>
      <c r="J1446" s="695">
        <f>SF!J101</f>
        <v>0</v>
      </c>
      <c r="K1446" s="511">
        <v>-0.44999999999999996</v>
      </c>
      <c r="L1446" s="266"/>
    </row>
    <row r="1447" spans="1:12">
      <c r="A1447" s="253"/>
      <c r="B1447" s="15"/>
      <c r="C1447" s="15"/>
      <c r="D1447" s="15"/>
      <c r="E1447" s="22"/>
      <c r="F1447" s="212"/>
      <c r="G1447" s="213"/>
      <c r="H1447" s="198"/>
      <c r="I1447" s="198"/>
      <c r="J1447" s="58"/>
      <c r="K1447" s="208"/>
      <c r="L1447" s="293"/>
    </row>
    <row r="1448" spans="1:12">
      <c r="A1448" s="46"/>
      <c r="B1448" s="46"/>
      <c r="C1448" s="46"/>
      <c r="D1448" s="46"/>
      <c r="E1448" s="46"/>
      <c r="F1448" s="46"/>
      <c r="G1448" s="46"/>
      <c r="H1448" s="46"/>
      <c r="I1448" s="46"/>
      <c r="J1448" s="46"/>
      <c r="K1448" s="87"/>
      <c r="L1448" s="293"/>
    </row>
    <row r="1449" spans="1:12">
      <c r="A1449" s="220" t="s">
        <v>73</v>
      </c>
      <c r="B1449" s="220" t="s">
        <v>74</v>
      </c>
      <c r="C1449" s="200"/>
      <c r="D1449" s="200"/>
      <c r="E1449" s="217"/>
      <c r="F1449" s="1636" t="s">
        <v>72</v>
      </c>
      <c r="G1449" s="1637"/>
      <c r="H1449" s="1637"/>
      <c r="I1449" s="1637"/>
      <c r="J1449" s="1638"/>
      <c r="K1449" s="87"/>
      <c r="L1449" s="293"/>
    </row>
    <row r="1450" spans="1:12" ht="18">
      <c r="A1450" s="221"/>
      <c r="B1450" s="221"/>
      <c r="C1450" s="201"/>
      <c r="D1450" s="201"/>
      <c r="E1450" s="219"/>
      <c r="F1450" s="223" t="s">
        <v>23</v>
      </c>
      <c r="G1450" s="223" t="s">
        <v>87</v>
      </c>
      <c r="H1450" s="223" t="s">
        <v>212</v>
      </c>
      <c r="I1450" s="223" t="s">
        <v>80</v>
      </c>
      <c r="J1450" s="223" t="s">
        <v>81</v>
      </c>
      <c r="K1450" s="87"/>
      <c r="L1450" s="293"/>
    </row>
    <row r="1451" spans="1:12">
      <c r="A1451" s="222"/>
      <c r="B1451" s="222"/>
      <c r="C1451" s="203"/>
      <c r="D1451" s="203"/>
      <c r="E1451" s="218"/>
      <c r="F1451" s="204" t="s">
        <v>34</v>
      </c>
      <c r="G1451" s="204" t="s">
        <v>34</v>
      </c>
      <c r="H1451" s="203" t="s">
        <v>34</v>
      </c>
      <c r="I1451" s="204" t="s">
        <v>77</v>
      </c>
      <c r="J1451" s="204" t="s">
        <v>77</v>
      </c>
      <c r="K1451" s="87"/>
      <c r="L1451" s="293"/>
    </row>
    <row r="1452" spans="1:12">
      <c r="A1452" s="202"/>
      <c r="B1452" s="200"/>
      <c r="C1452" s="200"/>
      <c r="D1452" s="200"/>
      <c r="E1452" s="217"/>
      <c r="F1452" s="205"/>
      <c r="G1452" s="205"/>
      <c r="H1452" s="201"/>
      <c r="I1452" s="205"/>
      <c r="J1452" s="205"/>
      <c r="K1452" s="87"/>
      <c r="L1452" s="293"/>
    </row>
    <row r="1453" spans="1:12">
      <c r="A1453" s="205" t="str">
        <f>A1411</f>
        <v>LC-45</v>
      </c>
      <c r="B1453" s="201" t="str">
        <f>B1411</f>
        <v>LC-24 + Seismic Sx=1,Sz=0.3,Sy=-0.3</v>
      </c>
      <c r="C1453" s="201"/>
      <c r="D1453" s="201"/>
      <c r="E1453" s="219"/>
      <c r="F1453" s="205">
        <f>SUMPRODUCT(F1414:F1446,$K$1414:$K$1446)</f>
        <v>1311.9262066303779</v>
      </c>
      <c r="G1453" s="219">
        <f>SUMPRODUCT(G1414:G1446,$K$1414:$K$1446)</f>
        <v>260.43916816016576</v>
      </c>
      <c r="H1453" s="219">
        <f>SUMPRODUCT(H1414:H1446,$K$1414:$K$1446)</f>
        <v>80.501255792900963</v>
      </c>
      <c r="I1453" s="219">
        <f>SUMPRODUCT(I1414:I1446,$K$1414:$K$1446)</f>
        <v>1561.5277882976038</v>
      </c>
      <c r="J1453" s="219">
        <f>SUMPRODUCT(J1414:J1446,$K$1414:$K$1446)</f>
        <v>502.42477140451973</v>
      </c>
      <c r="K1453" s="87"/>
      <c r="L1453" s="293"/>
    </row>
    <row r="1454" spans="1:12">
      <c r="A1454" s="204"/>
      <c r="B1454" s="203"/>
      <c r="C1454" s="203"/>
      <c r="D1454" s="203"/>
      <c r="E1454" s="218"/>
      <c r="F1454" s="204"/>
      <c r="G1454" s="204"/>
      <c r="H1454" s="203"/>
      <c r="I1454" s="204"/>
      <c r="J1454" s="204"/>
      <c r="K1454" s="87"/>
      <c r="L1454" s="293"/>
    </row>
    <row r="1457" spans="1:12">
      <c r="A1457" s="811" t="str">
        <f>K1457</f>
        <v>LC-46</v>
      </c>
      <c r="B1457" s="31" t="str">
        <f>VLOOKUP(A1457,LC_DEF_2!A45:B92,2,FALSE)</f>
        <v>LC-24 + Seismic Sx=0.3,Sz=1,Sy=-0.3</v>
      </c>
      <c r="C1457" s="31"/>
      <c r="D1457" s="31"/>
      <c r="E1457" s="32"/>
      <c r="F1457" s="1599" t="s">
        <v>742</v>
      </c>
      <c r="G1457" s="1635"/>
      <c r="H1457" s="1635"/>
      <c r="I1457" s="1635"/>
      <c r="J1457" s="1600"/>
      <c r="K1457" s="1580" t="s">
        <v>1427</v>
      </c>
      <c r="L1457" s="293"/>
    </row>
    <row r="1458" spans="1:12" ht="18">
      <c r="A1458" s="25" t="s">
        <v>73</v>
      </c>
      <c r="B1458" s="26" t="s">
        <v>74</v>
      </c>
      <c r="C1458" s="26"/>
      <c r="D1458" s="26"/>
      <c r="E1458" s="27"/>
      <c r="F1458" s="58" t="s">
        <v>23</v>
      </c>
      <c r="G1458" s="58" t="s">
        <v>87</v>
      </c>
      <c r="H1458" s="58" t="s">
        <v>212</v>
      </c>
      <c r="I1458" s="58" t="s">
        <v>80</v>
      </c>
      <c r="J1458" s="58" t="s">
        <v>81</v>
      </c>
      <c r="K1458" s="433"/>
      <c r="L1458" s="293"/>
    </row>
    <row r="1459" spans="1:12">
      <c r="A1459" s="25"/>
      <c r="B1459" s="26"/>
      <c r="C1459" s="26"/>
      <c r="D1459" s="26"/>
      <c r="E1459" s="27"/>
      <c r="F1459" s="36" t="s">
        <v>34</v>
      </c>
      <c r="G1459" s="36" t="s">
        <v>34</v>
      </c>
      <c r="H1459" s="36" t="s">
        <v>34</v>
      </c>
      <c r="I1459" s="36" t="s">
        <v>77</v>
      </c>
      <c r="J1459" s="36" t="s">
        <v>77</v>
      </c>
      <c r="K1459" s="433"/>
      <c r="L1459" s="293"/>
    </row>
    <row r="1460" spans="1:12">
      <c r="A1460" s="25" t="s">
        <v>88</v>
      </c>
      <c r="B1460" s="26" t="s">
        <v>75</v>
      </c>
      <c r="C1460" s="26"/>
      <c r="D1460" s="26"/>
      <c r="E1460" s="27"/>
      <c r="F1460" s="195">
        <f>SF!F14</f>
        <v>365.08803866482532</v>
      </c>
      <c r="G1460" s="210"/>
      <c r="H1460" s="34"/>
      <c r="I1460" s="195">
        <f>SF!I14</f>
        <v>0</v>
      </c>
      <c r="J1460" s="195">
        <f>SF!J14</f>
        <v>0</v>
      </c>
      <c r="K1460" s="511">
        <v>1.35</v>
      </c>
      <c r="L1460" s="266"/>
    </row>
    <row r="1461" spans="1:12">
      <c r="A1461" s="25" t="s">
        <v>90</v>
      </c>
      <c r="B1461" s="26" t="s">
        <v>249</v>
      </c>
      <c r="C1461" s="26"/>
      <c r="D1461" s="26"/>
      <c r="E1461" s="27"/>
      <c r="F1461" s="195">
        <f>SF!F16</f>
        <v>36.639026644707663</v>
      </c>
      <c r="G1461" s="210"/>
      <c r="H1461" s="34"/>
      <c r="I1461" s="195">
        <f>SF!I16</f>
        <v>0</v>
      </c>
      <c r="J1461" s="195">
        <f>SF!J16</f>
        <v>0</v>
      </c>
      <c r="K1461" s="511">
        <v>1.35</v>
      </c>
      <c r="L1461" s="266"/>
    </row>
    <row r="1462" spans="1:12">
      <c r="A1462" s="25" t="s">
        <v>250</v>
      </c>
      <c r="B1462" s="26" t="s">
        <v>967</v>
      </c>
      <c r="C1462" s="26"/>
      <c r="D1462" s="26"/>
      <c r="E1462" s="27"/>
      <c r="F1462" s="195">
        <f>SF!F19</f>
        <v>230</v>
      </c>
      <c r="G1462" s="27"/>
      <c r="H1462" s="34"/>
      <c r="I1462" s="195">
        <f>SF!I19</f>
        <v>-115</v>
      </c>
      <c r="J1462" s="195">
        <f>SF!J19</f>
        <v>0</v>
      </c>
      <c r="K1462" s="433">
        <v>1.35</v>
      </c>
      <c r="L1462" s="11"/>
    </row>
    <row r="1463" spans="1:12">
      <c r="A1463" s="25" t="s">
        <v>251</v>
      </c>
      <c r="B1463" s="26" t="s">
        <v>968</v>
      </c>
      <c r="C1463" s="26"/>
      <c r="D1463" s="26"/>
      <c r="E1463" s="27"/>
      <c r="F1463" s="195">
        <f>SF!F20</f>
        <v>20.660000000000004</v>
      </c>
      <c r="G1463" s="27"/>
      <c r="H1463" s="34"/>
      <c r="I1463" s="195">
        <f>SF!I20</f>
        <v>-10.330000000000002</v>
      </c>
      <c r="J1463" s="195">
        <f>SF!J20</f>
        <v>0</v>
      </c>
      <c r="K1463" s="433">
        <v>1.35</v>
      </c>
      <c r="L1463" s="11"/>
    </row>
    <row r="1464" spans="1:12">
      <c r="A1464" s="25" t="s">
        <v>97</v>
      </c>
      <c r="B1464" s="26" t="s">
        <v>969</v>
      </c>
      <c r="C1464" s="26"/>
      <c r="D1464" s="26"/>
      <c r="E1464" s="27"/>
      <c r="F1464" s="195">
        <f>SF!F21</f>
        <v>42</v>
      </c>
      <c r="G1464" s="27"/>
      <c r="H1464" s="34"/>
      <c r="I1464" s="195">
        <f>SF!I21</f>
        <v>-14.858499999999999</v>
      </c>
      <c r="J1464" s="195">
        <f>SF!J21</f>
        <v>0</v>
      </c>
      <c r="K1464" s="433">
        <v>1.35</v>
      </c>
      <c r="L1464" s="11"/>
    </row>
    <row r="1465" spans="1:12">
      <c r="A1465" s="25" t="s">
        <v>250</v>
      </c>
      <c r="B1465" s="26" t="s">
        <v>970</v>
      </c>
      <c r="C1465" s="26"/>
      <c r="D1465" s="26"/>
      <c r="E1465" s="27"/>
      <c r="F1465" s="195">
        <f>SF!F23</f>
        <v>230</v>
      </c>
      <c r="G1465" s="27"/>
      <c r="H1465" s="34"/>
      <c r="I1465" s="195">
        <f>SF!I23</f>
        <v>115</v>
      </c>
      <c r="J1465" s="195">
        <f>SF!J23</f>
        <v>0</v>
      </c>
      <c r="K1465" s="433">
        <v>1.35</v>
      </c>
      <c r="L1465" s="11"/>
    </row>
    <row r="1466" spans="1:12">
      <c r="A1466" s="25" t="s">
        <v>251</v>
      </c>
      <c r="B1466" s="26" t="s">
        <v>971</v>
      </c>
      <c r="C1466" s="26"/>
      <c r="D1466" s="26"/>
      <c r="E1466" s="27"/>
      <c r="F1466" s="195">
        <f>SF!F24</f>
        <v>20.660000000000004</v>
      </c>
      <c r="G1466" s="27"/>
      <c r="H1466" s="34"/>
      <c r="I1466" s="195">
        <f>SF!I24</f>
        <v>10.330000000000002</v>
      </c>
      <c r="J1466" s="195">
        <f>SF!J24</f>
        <v>0</v>
      </c>
      <c r="K1466" s="433">
        <v>1.35</v>
      </c>
      <c r="L1466" s="266"/>
    </row>
    <row r="1467" spans="1:12">
      <c r="A1467" s="25" t="s">
        <v>97</v>
      </c>
      <c r="B1467" s="26" t="s">
        <v>972</v>
      </c>
      <c r="C1467" s="26"/>
      <c r="D1467" s="26"/>
      <c r="E1467" s="27"/>
      <c r="F1467" s="195">
        <f>SF!F25</f>
        <v>42</v>
      </c>
      <c r="G1467" s="27"/>
      <c r="H1467" s="34"/>
      <c r="I1467" s="195">
        <f>SF!I25</f>
        <v>14.858499999999999</v>
      </c>
      <c r="J1467" s="195">
        <f>SF!J25</f>
        <v>0</v>
      </c>
      <c r="K1467" s="511">
        <v>1.75</v>
      </c>
      <c r="L1467" s="11"/>
    </row>
    <row r="1468" spans="1:12">
      <c r="A1468" s="25" t="s">
        <v>976</v>
      </c>
      <c r="B1468" s="26" t="s">
        <v>981</v>
      </c>
      <c r="C1468" s="26"/>
      <c r="D1468" s="26"/>
      <c r="E1468" s="27"/>
      <c r="F1468" s="195">
        <f>SF!F33</f>
        <v>0</v>
      </c>
      <c r="G1468" s="27"/>
      <c r="H1468" s="34"/>
      <c r="I1468" s="195">
        <f>SF!I33</f>
        <v>0</v>
      </c>
      <c r="J1468" s="195">
        <f>SF!J33</f>
        <v>0</v>
      </c>
      <c r="K1468" s="433">
        <v>0.2</v>
      </c>
      <c r="L1468" s="266"/>
    </row>
    <row r="1469" spans="1:12">
      <c r="A1469" s="25" t="s">
        <v>977</v>
      </c>
      <c r="B1469" s="26" t="s">
        <v>982</v>
      </c>
      <c r="C1469" s="26"/>
      <c r="D1469" s="26"/>
      <c r="E1469" s="27"/>
      <c r="F1469" s="195">
        <f>SF!F34</f>
        <v>127.89948571428575</v>
      </c>
      <c r="G1469" s="27"/>
      <c r="H1469" s="34"/>
      <c r="I1469" s="195">
        <f>SF!I34</f>
        <v>63.949742857142873</v>
      </c>
      <c r="J1469" s="195">
        <f>SF!J34</f>
        <v>-19.835942761904757</v>
      </c>
      <c r="K1469" s="433">
        <v>0.2</v>
      </c>
      <c r="L1469" s="266"/>
    </row>
    <row r="1470" spans="1:12">
      <c r="A1470" s="686" t="s">
        <v>1128</v>
      </c>
      <c r="B1470" s="687"/>
      <c r="C1470" s="688"/>
      <c r="D1470" s="688"/>
      <c r="E1470" s="689"/>
      <c r="F1470" s="696">
        <f>SF!F43</f>
        <v>-103.56143333397094</v>
      </c>
      <c r="G1470" s="689"/>
      <c r="H1470" s="690"/>
      <c r="I1470" s="690"/>
      <c r="J1470" s="690"/>
      <c r="K1470" s="433">
        <v>0.15</v>
      </c>
      <c r="L1470" s="266"/>
    </row>
    <row r="1471" spans="1:12">
      <c r="A1471" s="686" t="s">
        <v>1131</v>
      </c>
      <c r="B1471" s="687"/>
      <c r="C1471" s="688"/>
      <c r="D1471" s="688"/>
      <c r="E1471" s="689"/>
      <c r="F1471" s="690"/>
      <c r="G1471" s="696">
        <f>SF!G47</f>
        <v>3.2856246869242693</v>
      </c>
      <c r="H1471" s="696">
        <f>SF!H47</f>
        <v>3.5397182492142409</v>
      </c>
      <c r="I1471" s="696">
        <f>SF!I47</f>
        <v>7.0628515103002814</v>
      </c>
      <c r="J1471" s="696">
        <f>SF!J47</f>
        <v>5.3297614737052639</v>
      </c>
      <c r="K1471" s="433">
        <v>1</v>
      </c>
      <c r="L1471" s="266"/>
    </row>
    <row r="1472" spans="1:12">
      <c r="A1472" s="278" t="s">
        <v>200</v>
      </c>
      <c r="B1472" s="262"/>
      <c r="C1472" s="262"/>
      <c r="D1472" s="262"/>
      <c r="E1472" s="263"/>
      <c r="F1472" s="279"/>
      <c r="G1472" s="280"/>
      <c r="H1472" s="264"/>
      <c r="I1472" s="279"/>
      <c r="J1472" s="264"/>
      <c r="K1472" s="1581">
        <v>1.5</v>
      </c>
      <c r="L1472" s="266"/>
    </row>
    <row r="1473" spans="1:12">
      <c r="A1473" s="25" t="s">
        <v>991</v>
      </c>
      <c r="B1473" s="26" t="s">
        <v>989</v>
      </c>
      <c r="C1473" s="26"/>
      <c r="D1473" s="26"/>
      <c r="E1473" s="27"/>
      <c r="F1473" s="197"/>
      <c r="G1473" s="172">
        <f>SF!G52</f>
        <v>94.821839999999995</v>
      </c>
      <c r="H1473" s="34"/>
      <c r="I1473" s="172">
        <f>SF!I52</f>
        <v>785.12483520000001</v>
      </c>
      <c r="J1473" s="89"/>
      <c r="K1473" s="511">
        <v>0.44999999999999996</v>
      </c>
      <c r="L1473" s="266"/>
    </row>
    <row r="1474" spans="1:12">
      <c r="A1474" s="25" t="s">
        <v>994</v>
      </c>
      <c r="B1474" s="26" t="s">
        <v>996</v>
      </c>
      <c r="C1474" s="26"/>
      <c r="D1474" s="26"/>
      <c r="E1474" s="27"/>
      <c r="F1474" s="197"/>
      <c r="G1474" s="172">
        <f>SF!G56</f>
        <v>4.5540000000000003</v>
      </c>
      <c r="H1474" s="34"/>
      <c r="I1474" s="172">
        <f>SF!I56</f>
        <v>37.70712000000001</v>
      </c>
      <c r="J1474" s="89"/>
      <c r="K1474" s="433">
        <v>1.5</v>
      </c>
      <c r="L1474" s="266"/>
    </row>
    <row r="1475" spans="1:12">
      <c r="A1475" s="25" t="s">
        <v>217</v>
      </c>
      <c r="B1475" s="26" t="s">
        <v>211</v>
      </c>
      <c r="C1475" s="26"/>
      <c r="D1475" s="26"/>
      <c r="E1475" s="27"/>
      <c r="F1475" s="197"/>
      <c r="G1475" s="196">
        <f>SF!G58</f>
        <v>26.798532263701709</v>
      </c>
      <c r="H1475" s="199"/>
      <c r="I1475" s="172">
        <f>SF!I58</f>
        <v>147.28381289471153</v>
      </c>
      <c r="J1475" s="195"/>
      <c r="K1475" s="433">
        <v>0.44999999999999996</v>
      </c>
      <c r="L1475" s="266"/>
    </row>
    <row r="1476" spans="1:12">
      <c r="A1476" s="686" t="s">
        <v>1472</v>
      </c>
      <c r="B1476" s="688" t="s">
        <v>1045</v>
      </c>
      <c r="C1476" s="688"/>
      <c r="D1476" s="688"/>
      <c r="E1476" s="689"/>
      <c r="F1476" s="620"/>
      <c r="G1476" s="695">
        <f>SF!G61</f>
        <v>32.345729999999996</v>
      </c>
      <c r="H1476" s="690"/>
      <c r="I1476" s="695">
        <f>SF!I61</f>
        <v>29.111156999999999</v>
      </c>
      <c r="J1476" s="269"/>
      <c r="K1476" s="433">
        <v>0.44999999999999996</v>
      </c>
      <c r="L1476" s="266"/>
    </row>
    <row r="1477" spans="1:12">
      <c r="A1477" s="686" t="s">
        <v>1139</v>
      </c>
      <c r="B1477" s="688" t="s">
        <v>1140</v>
      </c>
      <c r="C1477" s="688"/>
      <c r="D1477" s="688"/>
      <c r="E1477" s="689"/>
      <c r="F1477" s="620"/>
      <c r="G1477" s="695">
        <f>SF!G63</f>
        <v>19.373390077688924</v>
      </c>
      <c r="H1477" s="690"/>
      <c r="I1477" s="695">
        <f>SF!I63</f>
        <v>37.512792074379419</v>
      </c>
      <c r="J1477" s="269"/>
      <c r="K1477" s="433">
        <v>0.3</v>
      </c>
      <c r="L1477" s="266"/>
    </row>
    <row r="1478" spans="1:12">
      <c r="A1478" s="278" t="s">
        <v>1817</v>
      </c>
      <c r="B1478" s="262"/>
      <c r="C1478" s="262"/>
      <c r="D1478" s="262"/>
      <c r="E1478" s="263"/>
      <c r="F1478" s="279"/>
      <c r="G1478" s="280"/>
      <c r="H1478" s="264"/>
      <c r="I1478" s="279"/>
      <c r="J1478" s="264"/>
      <c r="K1478" s="1582">
        <v>1.5</v>
      </c>
      <c r="L1478" s="266"/>
    </row>
    <row r="1479" spans="1:12">
      <c r="A1479" s="25" t="s">
        <v>997</v>
      </c>
      <c r="B1479" s="26" t="s">
        <v>988</v>
      </c>
      <c r="C1479" s="26"/>
      <c r="D1479" s="26"/>
      <c r="E1479" s="27"/>
      <c r="F1479" s="197"/>
      <c r="G1479" s="211"/>
      <c r="H1479" s="172">
        <f>SF!H67</f>
        <v>47.410919999999997</v>
      </c>
      <c r="I1479" s="197"/>
      <c r="J1479" s="172">
        <f>SF!J67</f>
        <v>433.10062959257624</v>
      </c>
      <c r="K1479" s="511">
        <v>1.5</v>
      </c>
      <c r="L1479" s="266"/>
    </row>
    <row r="1480" spans="1:12">
      <c r="A1480" s="25" t="s">
        <v>998</v>
      </c>
      <c r="B1480" s="26" t="s">
        <v>989</v>
      </c>
      <c r="C1480" s="26"/>
      <c r="D1480" s="26"/>
      <c r="E1480" s="27"/>
      <c r="F1480" s="197"/>
      <c r="G1480" s="211"/>
      <c r="H1480" s="172">
        <f>SF!H68</f>
        <v>47.410919999999997</v>
      </c>
      <c r="I1480" s="197"/>
      <c r="J1480" s="172">
        <f>SF!J68</f>
        <v>433.10062959257624</v>
      </c>
      <c r="K1480" s="433">
        <v>1.5</v>
      </c>
      <c r="L1480" s="266"/>
    </row>
    <row r="1481" spans="1:12">
      <c r="A1481" s="25" t="s">
        <v>1004</v>
      </c>
      <c r="B1481" s="26" t="s">
        <v>1000</v>
      </c>
      <c r="C1481" s="26"/>
      <c r="D1481" s="26"/>
      <c r="E1481" s="27"/>
      <c r="F1481" s="197"/>
      <c r="G1481" s="211"/>
      <c r="H1481" s="172">
        <f>SF!H75</f>
        <v>0</v>
      </c>
      <c r="I1481" s="197"/>
      <c r="J1481" s="172">
        <f>SF!J75</f>
        <v>0</v>
      </c>
      <c r="K1481" s="433">
        <v>0.30000000000000004</v>
      </c>
      <c r="L1481" s="266"/>
    </row>
    <row r="1482" spans="1:12">
      <c r="A1482" s="25" t="s">
        <v>1005</v>
      </c>
      <c r="B1482" s="26" t="s">
        <v>1001</v>
      </c>
      <c r="C1482" s="26"/>
      <c r="D1482" s="26"/>
      <c r="E1482" s="27"/>
      <c r="F1482" s="197"/>
      <c r="G1482" s="211"/>
      <c r="H1482" s="172">
        <f>SF!H76</f>
        <v>20.719716685714292</v>
      </c>
      <c r="I1482" s="197"/>
      <c r="J1482" s="172">
        <f>SF!J76</f>
        <v>227.1916934588572</v>
      </c>
      <c r="K1482" s="433">
        <v>0.30000000000000004</v>
      </c>
      <c r="L1482" s="266"/>
    </row>
    <row r="1483" spans="1:12">
      <c r="A1483" s="25" t="s">
        <v>1006</v>
      </c>
      <c r="B1483" s="26" t="s">
        <v>211</v>
      </c>
      <c r="C1483" s="26"/>
      <c r="D1483" s="26"/>
      <c r="E1483" s="27"/>
      <c r="F1483" s="197"/>
      <c r="G1483" s="195"/>
      <c r="H1483" s="172">
        <f>SF!H78</f>
        <v>26.798532263701709</v>
      </c>
      <c r="I1483" s="195"/>
      <c r="J1483" s="172">
        <f>SF!J78</f>
        <v>147.28381289471153</v>
      </c>
      <c r="K1483" s="433">
        <v>1.5</v>
      </c>
      <c r="L1483" s="266"/>
    </row>
    <row r="1484" spans="1:12">
      <c r="A1484" s="686" t="s">
        <v>1138</v>
      </c>
      <c r="B1484" s="688" t="s">
        <v>1045</v>
      </c>
      <c r="C1484" s="688"/>
      <c r="D1484" s="688"/>
      <c r="E1484" s="689"/>
      <c r="F1484" s="620"/>
      <c r="G1484" s="711"/>
      <c r="H1484" s="989">
        <f>SF!H81</f>
        <v>32.345729999999996</v>
      </c>
      <c r="I1484" s="696"/>
      <c r="J1484" s="989">
        <f>SF!J81</f>
        <v>29.111156999999999</v>
      </c>
      <c r="K1484" s="433">
        <v>1.5</v>
      </c>
      <c r="L1484" s="266"/>
    </row>
    <row r="1485" spans="1:12">
      <c r="A1485" s="686" t="s">
        <v>1138</v>
      </c>
      <c r="B1485" s="688" t="s">
        <v>1141</v>
      </c>
      <c r="C1485" s="26"/>
      <c r="D1485" s="26"/>
      <c r="E1485" s="27"/>
      <c r="F1485" s="34"/>
      <c r="G1485" s="27"/>
      <c r="H1485" s="989">
        <f>SF!H83</f>
        <v>19.373390077688924</v>
      </c>
      <c r="I1485" s="696"/>
      <c r="J1485" s="989">
        <f>SF!J83</f>
        <v>37.512792074379419</v>
      </c>
      <c r="K1485" s="433">
        <v>1</v>
      </c>
      <c r="L1485" s="266"/>
    </row>
    <row r="1486" spans="1:12">
      <c r="A1486" s="990" t="s">
        <v>204</v>
      </c>
      <c r="B1486" s="661"/>
      <c r="C1486" s="661"/>
      <c r="D1486" s="661"/>
      <c r="E1486" s="584"/>
      <c r="F1486" s="991"/>
      <c r="G1486" s="992"/>
      <c r="H1486" s="370"/>
      <c r="I1486" s="991"/>
      <c r="J1486" s="370"/>
      <c r="K1486" s="1583">
        <v>0.44999999999999996</v>
      </c>
      <c r="L1486" s="266"/>
    </row>
    <row r="1487" spans="1:12">
      <c r="A1487" s="25" t="s">
        <v>1007</v>
      </c>
      <c r="B1487" s="26" t="s">
        <v>988</v>
      </c>
      <c r="C1487" s="26"/>
      <c r="D1487" s="26"/>
      <c r="E1487" s="27"/>
      <c r="F1487" s="196">
        <f>SF!F87</f>
        <v>31.607279999999999</v>
      </c>
      <c r="G1487" s="211"/>
      <c r="H1487" s="34"/>
      <c r="I1487" s="196">
        <f>SF!I87</f>
        <v>-15.140358000000003</v>
      </c>
      <c r="J1487" s="196">
        <f>SF!J87</f>
        <v>0</v>
      </c>
      <c r="K1487" s="433">
        <v>-0.44999999999999996</v>
      </c>
      <c r="L1487" s="266"/>
    </row>
    <row r="1488" spans="1:12">
      <c r="A1488" s="25" t="s">
        <v>1008</v>
      </c>
      <c r="B1488" s="26" t="s">
        <v>989</v>
      </c>
      <c r="C1488" s="26"/>
      <c r="D1488" s="26"/>
      <c r="E1488" s="27"/>
      <c r="F1488" s="196">
        <f>SF!F88</f>
        <v>31.607279999999999</v>
      </c>
      <c r="G1488" s="211"/>
      <c r="H1488" s="34"/>
      <c r="I1488" s="196">
        <f>SF!I88</f>
        <v>15.140358000000003</v>
      </c>
      <c r="J1488" s="196">
        <f>SF!J88</f>
        <v>0</v>
      </c>
      <c r="K1488" s="511">
        <v>-0.44999999999999996</v>
      </c>
      <c r="L1488" s="266"/>
    </row>
    <row r="1489" spans="1:12">
      <c r="A1489" s="25" t="s">
        <v>1009</v>
      </c>
      <c r="B1489" s="26" t="s">
        <v>1000</v>
      </c>
      <c r="C1489" s="26"/>
      <c r="D1489" s="26"/>
      <c r="E1489" s="27"/>
      <c r="F1489" s="196">
        <f>SF!F95</f>
        <v>0</v>
      </c>
      <c r="G1489" s="211"/>
      <c r="H1489" s="34"/>
      <c r="I1489" s="196">
        <f>SF!I95</f>
        <v>0</v>
      </c>
      <c r="J1489" s="196">
        <f>SF!J95</f>
        <v>0</v>
      </c>
      <c r="K1489" s="511">
        <v>-0.09</v>
      </c>
      <c r="L1489" s="266"/>
    </row>
    <row r="1490" spans="1:12">
      <c r="A1490" s="25" t="s">
        <v>1010</v>
      </c>
      <c r="B1490" s="26" t="s">
        <v>1001</v>
      </c>
      <c r="C1490" s="26"/>
      <c r="D1490" s="26"/>
      <c r="E1490" s="27"/>
      <c r="F1490" s="196">
        <f>SF!F96</f>
        <v>13.813144457142862</v>
      </c>
      <c r="G1490" s="211"/>
      <c r="H1490" s="34"/>
      <c r="I1490" s="196">
        <f>SF!I96</f>
        <v>6.9065722285714308</v>
      </c>
      <c r="J1490" s="196">
        <f>SF!J96</f>
        <v>-2.142281818285714</v>
      </c>
      <c r="K1490" s="511">
        <v>-0.09</v>
      </c>
      <c r="L1490" s="266"/>
    </row>
    <row r="1491" spans="1:12">
      <c r="A1491" s="25" t="s">
        <v>1011</v>
      </c>
      <c r="B1491" s="26" t="s">
        <v>211</v>
      </c>
      <c r="C1491" s="26"/>
      <c r="D1491" s="26"/>
      <c r="E1491" s="27"/>
      <c r="F1491" s="196">
        <f>SF!F98</f>
        <v>17.865688175801139</v>
      </c>
      <c r="G1491" s="211"/>
      <c r="H1491" s="197"/>
      <c r="I1491" s="196">
        <f>SF!I98</f>
        <v>0</v>
      </c>
      <c r="J1491" s="196">
        <f>SF!J98</f>
        <v>0</v>
      </c>
      <c r="K1491" s="511">
        <v>-0.44999999999999996</v>
      </c>
      <c r="L1491" s="266"/>
    </row>
    <row r="1492" spans="1:12">
      <c r="A1492" s="686" t="s">
        <v>1473</v>
      </c>
      <c r="B1492" s="688" t="s">
        <v>1045</v>
      </c>
      <c r="C1492" s="688"/>
      <c r="D1492" s="688"/>
      <c r="E1492" s="689"/>
      <c r="F1492" s="695">
        <f>SF!F101</f>
        <v>21.56382</v>
      </c>
      <c r="G1492" s="621"/>
      <c r="H1492" s="620"/>
      <c r="I1492" s="695">
        <f>SF!I101</f>
        <v>0</v>
      </c>
      <c r="J1492" s="695">
        <f>SF!J101</f>
        <v>0</v>
      </c>
      <c r="K1492" s="511">
        <v>-0.44999999999999996</v>
      </c>
      <c r="L1492" s="266"/>
    </row>
    <row r="1493" spans="1:12">
      <c r="A1493" s="253"/>
      <c r="B1493" s="15"/>
      <c r="C1493" s="15"/>
      <c r="D1493" s="15"/>
      <c r="E1493" s="22"/>
      <c r="F1493" s="212"/>
      <c r="G1493" s="213"/>
      <c r="H1493" s="198"/>
      <c r="I1493" s="198"/>
      <c r="J1493" s="58"/>
      <c r="K1493" s="208"/>
      <c r="L1493" s="293"/>
    </row>
    <row r="1494" spans="1:12">
      <c r="A1494" s="46"/>
      <c r="B1494" s="46"/>
      <c r="C1494" s="46"/>
      <c r="D1494" s="46"/>
      <c r="E1494" s="46"/>
      <c r="F1494" s="46"/>
      <c r="G1494" s="46"/>
      <c r="H1494" s="46"/>
      <c r="I1494" s="46"/>
      <c r="J1494" s="46"/>
      <c r="K1494" s="87"/>
      <c r="L1494" s="293"/>
    </row>
    <row r="1495" spans="1:12">
      <c r="A1495" s="220" t="s">
        <v>73</v>
      </c>
      <c r="B1495" s="220" t="s">
        <v>74</v>
      </c>
      <c r="C1495" s="200"/>
      <c r="D1495" s="200"/>
      <c r="E1495" s="217"/>
      <c r="F1495" s="1636" t="s">
        <v>72</v>
      </c>
      <c r="G1495" s="1637"/>
      <c r="H1495" s="1637"/>
      <c r="I1495" s="1637"/>
      <c r="J1495" s="1638"/>
      <c r="K1495" s="87"/>
      <c r="L1495" s="293"/>
    </row>
    <row r="1496" spans="1:12" ht="18">
      <c r="A1496" s="221"/>
      <c r="B1496" s="221"/>
      <c r="C1496" s="201"/>
      <c r="D1496" s="201"/>
      <c r="E1496" s="219"/>
      <c r="F1496" s="223" t="s">
        <v>23</v>
      </c>
      <c r="G1496" s="223" t="s">
        <v>87</v>
      </c>
      <c r="H1496" s="223" t="s">
        <v>212</v>
      </c>
      <c r="I1496" s="223" t="s">
        <v>80</v>
      </c>
      <c r="J1496" s="223" t="s">
        <v>81</v>
      </c>
      <c r="K1496" s="87"/>
      <c r="L1496" s="293"/>
    </row>
    <row r="1497" spans="1:12">
      <c r="A1497" s="222"/>
      <c r="B1497" s="222"/>
      <c r="C1497" s="203"/>
      <c r="D1497" s="203"/>
      <c r="E1497" s="218"/>
      <c r="F1497" s="204" t="s">
        <v>34</v>
      </c>
      <c r="G1497" s="204" t="s">
        <v>34</v>
      </c>
      <c r="H1497" s="203" t="s">
        <v>34</v>
      </c>
      <c r="I1497" s="204" t="s">
        <v>77</v>
      </c>
      <c r="J1497" s="204" t="s">
        <v>77</v>
      </c>
      <c r="K1497" s="87"/>
      <c r="L1497" s="293"/>
    </row>
    <row r="1498" spans="1:12">
      <c r="A1498" s="202"/>
      <c r="B1498" s="200"/>
      <c r="C1498" s="200"/>
      <c r="D1498" s="200"/>
      <c r="E1498" s="217"/>
      <c r="F1498" s="205"/>
      <c r="G1498" s="205"/>
      <c r="H1498" s="201"/>
      <c r="I1498" s="205"/>
      <c r="J1498" s="205"/>
      <c r="K1498" s="87"/>
      <c r="L1498" s="293"/>
    </row>
    <row r="1499" spans="1:12">
      <c r="A1499" s="205" t="str">
        <f>A1457</f>
        <v>LC-46</v>
      </c>
      <c r="B1499" s="201" t="str">
        <f>B1457</f>
        <v>LC-24 + Seismic Sx=0.3,Sz=1,Sy=-0.3</v>
      </c>
      <c r="C1499" s="201"/>
      <c r="D1499" s="201"/>
      <c r="E1499" s="219"/>
      <c r="F1499" s="205">
        <f>SUMPRODUCT(F1460:F1492,$K$1460:$K$1492)</f>
        <v>1311.9262066303779</v>
      </c>
      <c r="G1499" s="219">
        <f>SUMPRODUCT(G1460:G1492,$K$1460:$K$1492)</f>
        <v>85.21338772889672</v>
      </c>
      <c r="H1499" s="219">
        <f>SUMPRODUCT(H1460:H1492,$K$1460:$K$1492)</f>
        <v>260.07817672816998</v>
      </c>
      <c r="I1499" s="219">
        <f>SUMPRODUCT(I1460:I1492,$K$1460:$K$1492)</f>
        <v>525.67303849609152</v>
      </c>
      <c r="J1499" s="219">
        <f>SUMPRODUCT(J1460:J1492,$K$1460:$K$1492)</f>
        <v>1671.1200220168025</v>
      </c>
      <c r="K1499" s="87"/>
      <c r="L1499" s="293"/>
    </row>
    <row r="1500" spans="1:12">
      <c r="A1500" s="204"/>
      <c r="B1500" s="203"/>
      <c r="C1500" s="203"/>
      <c r="D1500" s="203"/>
      <c r="E1500" s="218"/>
      <c r="F1500" s="204"/>
      <c r="G1500" s="204"/>
      <c r="H1500" s="203"/>
      <c r="I1500" s="204"/>
      <c r="J1500" s="204"/>
      <c r="K1500" s="87"/>
      <c r="L1500" s="293"/>
    </row>
    <row r="1503" spans="1:12">
      <c r="A1503" s="811" t="str">
        <f>K1503</f>
        <v>LC-47</v>
      </c>
      <c r="B1503" s="31" t="str">
        <f>VLOOKUP(A1503,LC_DEF_2!A45:B92,2,FALSE)</f>
        <v>LC-24 + Seismic Sx=1,Sz=0.3,Sy=0.3</v>
      </c>
      <c r="C1503" s="31"/>
      <c r="D1503" s="31"/>
      <c r="E1503" s="32"/>
      <c r="F1503" s="1599" t="s">
        <v>742</v>
      </c>
      <c r="G1503" s="1635"/>
      <c r="H1503" s="1635"/>
      <c r="I1503" s="1635"/>
      <c r="J1503" s="1600"/>
      <c r="K1503" s="1580" t="s">
        <v>1428</v>
      </c>
      <c r="L1503" s="293"/>
    </row>
    <row r="1504" spans="1:12" ht="18">
      <c r="A1504" s="25" t="s">
        <v>73</v>
      </c>
      <c r="B1504" s="26" t="s">
        <v>74</v>
      </c>
      <c r="C1504" s="26"/>
      <c r="D1504" s="26"/>
      <c r="E1504" s="27"/>
      <c r="F1504" s="58" t="s">
        <v>23</v>
      </c>
      <c r="G1504" s="58" t="s">
        <v>87</v>
      </c>
      <c r="H1504" s="58" t="s">
        <v>212</v>
      </c>
      <c r="I1504" s="58" t="s">
        <v>80</v>
      </c>
      <c r="J1504" s="58" t="s">
        <v>81</v>
      </c>
      <c r="K1504" s="433"/>
      <c r="L1504" s="293"/>
    </row>
    <row r="1505" spans="1:12">
      <c r="A1505" s="25"/>
      <c r="B1505" s="26"/>
      <c r="C1505" s="26"/>
      <c r="D1505" s="26"/>
      <c r="E1505" s="27"/>
      <c r="F1505" s="36" t="s">
        <v>34</v>
      </c>
      <c r="G1505" s="36" t="s">
        <v>34</v>
      </c>
      <c r="H1505" s="36" t="s">
        <v>34</v>
      </c>
      <c r="I1505" s="36" t="s">
        <v>77</v>
      </c>
      <c r="J1505" s="36" t="s">
        <v>77</v>
      </c>
      <c r="K1505" s="433"/>
      <c r="L1505" s="293"/>
    </row>
    <row r="1506" spans="1:12">
      <c r="A1506" s="25" t="s">
        <v>88</v>
      </c>
      <c r="B1506" s="26" t="s">
        <v>75</v>
      </c>
      <c r="C1506" s="26"/>
      <c r="D1506" s="26"/>
      <c r="E1506" s="27"/>
      <c r="F1506" s="195">
        <f>SF!F14</f>
        <v>365.08803866482532</v>
      </c>
      <c r="G1506" s="210"/>
      <c r="H1506" s="34"/>
      <c r="I1506" s="195">
        <f>SF!I14</f>
        <v>0</v>
      </c>
      <c r="J1506" s="195">
        <f>SF!J14</f>
        <v>0</v>
      </c>
      <c r="K1506" s="511">
        <v>1.35</v>
      </c>
      <c r="L1506" s="266"/>
    </row>
    <row r="1507" spans="1:12">
      <c r="A1507" s="25" t="s">
        <v>90</v>
      </c>
      <c r="B1507" s="26" t="s">
        <v>249</v>
      </c>
      <c r="C1507" s="26"/>
      <c r="D1507" s="26"/>
      <c r="E1507" s="27"/>
      <c r="F1507" s="195">
        <f>SF!F16</f>
        <v>36.639026644707663</v>
      </c>
      <c r="G1507" s="210"/>
      <c r="H1507" s="34"/>
      <c r="I1507" s="195">
        <f>SF!I16</f>
        <v>0</v>
      </c>
      <c r="J1507" s="195">
        <f>SF!J16</f>
        <v>0</v>
      </c>
      <c r="K1507" s="511">
        <v>1.35</v>
      </c>
      <c r="L1507" s="266"/>
    </row>
    <row r="1508" spans="1:12">
      <c r="A1508" s="25" t="s">
        <v>250</v>
      </c>
      <c r="B1508" s="26" t="s">
        <v>967</v>
      </c>
      <c r="C1508" s="26"/>
      <c r="D1508" s="26"/>
      <c r="E1508" s="27"/>
      <c r="F1508" s="195">
        <f>SF!F19</f>
        <v>230</v>
      </c>
      <c r="G1508" s="27"/>
      <c r="H1508" s="34"/>
      <c r="I1508" s="195">
        <f>SF!I19</f>
        <v>-115</v>
      </c>
      <c r="J1508" s="195">
        <f>SF!J19</f>
        <v>0</v>
      </c>
      <c r="K1508" s="433">
        <v>1.35</v>
      </c>
      <c r="L1508" s="11"/>
    </row>
    <row r="1509" spans="1:12">
      <c r="A1509" s="25" t="s">
        <v>251</v>
      </c>
      <c r="B1509" s="26" t="s">
        <v>968</v>
      </c>
      <c r="C1509" s="26"/>
      <c r="D1509" s="26"/>
      <c r="E1509" s="27"/>
      <c r="F1509" s="195">
        <f>SF!F20</f>
        <v>20.660000000000004</v>
      </c>
      <c r="G1509" s="27"/>
      <c r="H1509" s="34"/>
      <c r="I1509" s="195">
        <f>SF!I20</f>
        <v>-10.330000000000002</v>
      </c>
      <c r="J1509" s="195">
        <f>SF!J20</f>
        <v>0</v>
      </c>
      <c r="K1509" s="433">
        <v>1.35</v>
      </c>
      <c r="L1509" s="11"/>
    </row>
    <row r="1510" spans="1:12">
      <c r="A1510" s="25" t="s">
        <v>97</v>
      </c>
      <c r="B1510" s="26" t="s">
        <v>969</v>
      </c>
      <c r="C1510" s="26"/>
      <c r="D1510" s="26"/>
      <c r="E1510" s="27"/>
      <c r="F1510" s="195">
        <f>SF!F21</f>
        <v>42</v>
      </c>
      <c r="G1510" s="27"/>
      <c r="H1510" s="34"/>
      <c r="I1510" s="195">
        <f>SF!I21</f>
        <v>-14.858499999999999</v>
      </c>
      <c r="J1510" s="195">
        <f>SF!J21</f>
        <v>0</v>
      </c>
      <c r="K1510" s="433">
        <v>1.35</v>
      </c>
      <c r="L1510" s="11"/>
    </row>
    <row r="1511" spans="1:12">
      <c r="A1511" s="25" t="s">
        <v>250</v>
      </c>
      <c r="B1511" s="26" t="s">
        <v>970</v>
      </c>
      <c r="C1511" s="26"/>
      <c r="D1511" s="26"/>
      <c r="E1511" s="27"/>
      <c r="F1511" s="195">
        <f>SF!F23</f>
        <v>230</v>
      </c>
      <c r="G1511" s="27"/>
      <c r="H1511" s="34"/>
      <c r="I1511" s="195">
        <f>SF!I23</f>
        <v>115</v>
      </c>
      <c r="J1511" s="195">
        <f>SF!J23</f>
        <v>0</v>
      </c>
      <c r="K1511" s="433">
        <v>1.35</v>
      </c>
      <c r="L1511" s="11"/>
    </row>
    <row r="1512" spans="1:12">
      <c r="A1512" s="25" t="s">
        <v>251</v>
      </c>
      <c r="B1512" s="26" t="s">
        <v>971</v>
      </c>
      <c r="C1512" s="26"/>
      <c r="D1512" s="26"/>
      <c r="E1512" s="27"/>
      <c r="F1512" s="195">
        <f>SF!F24</f>
        <v>20.660000000000004</v>
      </c>
      <c r="G1512" s="27"/>
      <c r="H1512" s="34"/>
      <c r="I1512" s="195">
        <f>SF!I24</f>
        <v>10.330000000000002</v>
      </c>
      <c r="J1512" s="195">
        <f>SF!J24</f>
        <v>0</v>
      </c>
      <c r="K1512" s="433">
        <v>1.35</v>
      </c>
      <c r="L1512" s="266"/>
    </row>
    <row r="1513" spans="1:12">
      <c r="A1513" s="25" t="s">
        <v>97</v>
      </c>
      <c r="B1513" s="26" t="s">
        <v>972</v>
      </c>
      <c r="C1513" s="26"/>
      <c r="D1513" s="26"/>
      <c r="E1513" s="27"/>
      <c r="F1513" s="195">
        <f>SF!F25</f>
        <v>42</v>
      </c>
      <c r="G1513" s="27"/>
      <c r="H1513" s="34"/>
      <c r="I1513" s="195">
        <f>SF!I25</f>
        <v>14.858499999999999</v>
      </c>
      <c r="J1513" s="195">
        <f>SF!J25</f>
        <v>0</v>
      </c>
      <c r="K1513" s="511">
        <v>1.75</v>
      </c>
      <c r="L1513" s="11"/>
    </row>
    <row r="1514" spans="1:12">
      <c r="A1514" s="25" t="s">
        <v>976</v>
      </c>
      <c r="B1514" s="26" t="s">
        <v>981</v>
      </c>
      <c r="C1514" s="26"/>
      <c r="D1514" s="26"/>
      <c r="E1514" s="27"/>
      <c r="F1514" s="195">
        <f>SF!F33</f>
        <v>0</v>
      </c>
      <c r="G1514" s="27"/>
      <c r="H1514" s="34"/>
      <c r="I1514" s="195">
        <f>SF!I33</f>
        <v>0</v>
      </c>
      <c r="J1514" s="195">
        <f>SF!J33</f>
        <v>0</v>
      </c>
      <c r="K1514" s="433">
        <v>0.2</v>
      </c>
      <c r="L1514" s="266"/>
    </row>
    <row r="1515" spans="1:12">
      <c r="A1515" s="25" t="s">
        <v>977</v>
      </c>
      <c r="B1515" s="26" t="s">
        <v>982</v>
      </c>
      <c r="C1515" s="26"/>
      <c r="D1515" s="26"/>
      <c r="E1515" s="27"/>
      <c r="F1515" s="195">
        <f>SF!F34</f>
        <v>127.89948571428575</v>
      </c>
      <c r="G1515" s="27"/>
      <c r="H1515" s="34"/>
      <c r="I1515" s="195">
        <f>SF!I34</f>
        <v>63.949742857142873</v>
      </c>
      <c r="J1515" s="195">
        <f>SF!J34</f>
        <v>-19.835942761904757</v>
      </c>
      <c r="K1515" s="433">
        <v>0.2</v>
      </c>
      <c r="L1515" s="266"/>
    </row>
    <row r="1516" spans="1:12">
      <c r="A1516" s="686" t="s">
        <v>1128</v>
      </c>
      <c r="B1516" s="687"/>
      <c r="C1516" s="688"/>
      <c r="D1516" s="688"/>
      <c r="E1516" s="689"/>
      <c r="F1516" s="696">
        <f>SF!F43</f>
        <v>-103.56143333397094</v>
      </c>
      <c r="G1516" s="689"/>
      <c r="H1516" s="690"/>
      <c r="I1516" s="690"/>
      <c r="J1516" s="690"/>
      <c r="K1516" s="433">
        <v>0.15</v>
      </c>
      <c r="L1516" s="266"/>
    </row>
    <row r="1517" spans="1:12">
      <c r="A1517" s="686" t="s">
        <v>1131</v>
      </c>
      <c r="B1517" s="687"/>
      <c r="C1517" s="688"/>
      <c r="D1517" s="688"/>
      <c r="E1517" s="689"/>
      <c r="F1517" s="690"/>
      <c r="G1517" s="696">
        <f>SF!G47</f>
        <v>3.2856246869242693</v>
      </c>
      <c r="H1517" s="696">
        <f>SF!H47</f>
        <v>3.5397182492142409</v>
      </c>
      <c r="I1517" s="696">
        <f>SF!I47</f>
        <v>7.0628515103002814</v>
      </c>
      <c r="J1517" s="696">
        <f>SF!J47</f>
        <v>5.3297614737052639</v>
      </c>
      <c r="K1517" s="433">
        <v>1</v>
      </c>
      <c r="L1517" s="266"/>
    </row>
    <row r="1518" spans="1:12">
      <c r="A1518" s="278" t="s">
        <v>200</v>
      </c>
      <c r="B1518" s="262"/>
      <c r="C1518" s="262"/>
      <c r="D1518" s="262"/>
      <c r="E1518" s="263"/>
      <c r="F1518" s="279"/>
      <c r="G1518" s="280"/>
      <c r="H1518" s="264"/>
      <c r="I1518" s="279"/>
      <c r="J1518" s="264"/>
      <c r="K1518" s="1581">
        <v>1.5</v>
      </c>
      <c r="L1518" s="266"/>
    </row>
    <row r="1519" spans="1:12">
      <c r="A1519" s="25" t="s">
        <v>991</v>
      </c>
      <c r="B1519" s="26" t="s">
        <v>989</v>
      </c>
      <c r="C1519" s="26"/>
      <c r="D1519" s="26"/>
      <c r="E1519" s="27"/>
      <c r="F1519" s="197"/>
      <c r="G1519" s="172">
        <f>SF!G52</f>
        <v>94.821839999999995</v>
      </c>
      <c r="H1519" s="34"/>
      <c r="I1519" s="172">
        <f>SF!I52</f>
        <v>785.12483520000001</v>
      </c>
      <c r="J1519" s="89"/>
      <c r="K1519" s="511">
        <v>1.5</v>
      </c>
      <c r="L1519" s="266"/>
    </row>
    <row r="1520" spans="1:12">
      <c r="A1520" s="25" t="s">
        <v>994</v>
      </c>
      <c r="B1520" s="26" t="s">
        <v>996</v>
      </c>
      <c r="C1520" s="26"/>
      <c r="D1520" s="26"/>
      <c r="E1520" s="27"/>
      <c r="F1520" s="197"/>
      <c r="G1520" s="172">
        <f>SF!G56</f>
        <v>4.5540000000000003</v>
      </c>
      <c r="H1520" s="34"/>
      <c r="I1520" s="172">
        <f>SF!I56</f>
        <v>37.70712000000001</v>
      </c>
      <c r="J1520" s="89"/>
      <c r="K1520" s="433">
        <v>1.5</v>
      </c>
      <c r="L1520" s="266"/>
    </row>
    <row r="1521" spans="1:12">
      <c r="A1521" s="25" t="s">
        <v>217</v>
      </c>
      <c r="B1521" s="26" t="s">
        <v>211</v>
      </c>
      <c r="C1521" s="26"/>
      <c r="D1521" s="26"/>
      <c r="E1521" s="27"/>
      <c r="F1521" s="197"/>
      <c r="G1521" s="196">
        <f>SF!G58</f>
        <v>26.798532263701709</v>
      </c>
      <c r="H1521" s="199"/>
      <c r="I1521" s="172">
        <f>SF!I58</f>
        <v>147.28381289471153</v>
      </c>
      <c r="J1521" s="195"/>
      <c r="K1521" s="433">
        <v>1.5</v>
      </c>
      <c r="L1521" s="266"/>
    </row>
    <row r="1522" spans="1:12">
      <c r="A1522" s="686" t="s">
        <v>1472</v>
      </c>
      <c r="B1522" s="688" t="s">
        <v>1045</v>
      </c>
      <c r="C1522" s="688"/>
      <c r="D1522" s="688"/>
      <c r="E1522" s="689"/>
      <c r="F1522" s="620"/>
      <c r="G1522" s="695">
        <f>SF!G61</f>
        <v>32.345729999999996</v>
      </c>
      <c r="H1522" s="690"/>
      <c r="I1522" s="695">
        <f>SF!I61</f>
        <v>29.111156999999999</v>
      </c>
      <c r="J1522" s="269"/>
      <c r="K1522" s="433">
        <v>1.5</v>
      </c>
      <c r="L1522" s="266"/>
    </row>
    <row r="1523" spans="1:12">
      <c r="A1523" s="686" t="s">
        <v>1139</v>
      </c>
      <c r="B1523" s="688" t="s">
        <v>1140</v>
      </c>
      <c r="C1523" s="688"/>
      <c r="D1523" s="688"/>
      <c r="E1523" s="689"/>
      <c r="F1523" s="620"/>
      <c r="G1523" s="695">
        <f>SF!G63</f>
        <v>19.373390077688924</v>
      </c>
      <c r="H1523" s="690"/>
      <c r="I1523" s="695">
        <f>SF!I63</f>
        <v>37.512792074379419</v>
      </c>
      <c r="J1523" s="269"/>
      <c r="K1523" s="433">
        <v>1</v>
      </c>
      <c r="L1523" s="266"/>
    </row>
    <row r="1524" spans="1:12">
      <c r="A1524" s="278" t="s">
        <v>1817</v>
      </c>
      <c r="B1524" s="262"/>
      <c r="C1524" s="262"/>
      <c r="D1524" s="262"/>
      <c r="E1524" s="263"/>
      <c r="F1524" s="279"/>
      <c r="G1524" s="280"/>
      <c r="H1524" s="264"/>
      <c r="I1524" s="279"/>
      <c r="J1524" s="264"/>
      <c r="K1524" s="1582">
        <v>0.44999999999999996</v>
      </c>
      <c r="L1524" s="266"/>
    </row>
    <row r="1525" spans="1:12">
      <c r="A1525" s="25" t="s">
        <v>997</v>
      </c>
      <c r="B1525" s="26" t="s">
        <v>988</v>
      </c>
      <c r="C1525" s="26"/>
      <c r="D1525" s="26"/>
      <c r="E1525" s="27"/>
      <c r="F1525" s="197"/>
      <c r="G1525" s="211"/>
      <c r="H1525" s="172">
        <f>SF!H67</f>
        <v>47.410919999999997</v>
      </c>
      <c r="I1525" s="197"/>
      <c r="J1525" s="172">
        <f>SF!J67</f>
        <v>433.10062959257624</v>
      </c>
      <c r="K1525" s="511">
        <v>0.44999999999999996</v>
      </c>
      <c r="L1525" s="266"/>
    </row>
    <row r="1526" spans="1:12">
      <c r="A1526" s="25" t="s">
        <v>998</v>
      </c>
      <c r="B1526" s="26" t="s">
        <v>989</v>
      </c>
      <c r="C1526" s="26"/>
      <c r="D1526" s="26"/>
      <c r="E1526" s="27"/>
      <c r="F1526" s="197"/>
      <c r="G1526" s="211"/>
      <c r="H1526" s="172">
        <f>SF!H68</f>
        <v>47.410919999999997</v>
      </c>
      <c r="I1526" s="197"/>
      <c r="J1526" s="172">
        <f>SF!J68</f>
        <v>433.10062959257624</v>
      </c>
      <c r="K1526" s="433">
        <v>0.44999999999999996</v>
      </c>
      <c r="L1526" s="266"/>
    </row>
    <row r="1527" spans="1:12">
      <c r="A1527" s="25" t="s">
        <v>1004</v>
      </c>
      <c r="B1527" s="26" t="s">
        <v>1000</v>
      </c>
      <c r="C1527" s="26"/>
      <c r="D1527" s="26"/>
      <c r="E1527" s="27"/>
      <c r="F1527" s="197"/>
      <c r="G1527" s="211"/>
      <c r="H1527" s="172">
        <f>SF!H75</f>
        <v>0</v>
      </c>
      <c r="I1527" s="197"/>
      <c r="J1527" s="172">
        <f>SF!J75</f>
        <v>0</v>
      </c>
      <c r="K1527" s="433">
        <v>0.09</v>
      </c>
      <c r="L1527" s="266"/>
    </row>
    <row r="1528" spans="1:12">
      <c r="A1528" s="25" t="s">
        <v>1005</v>
      </c>
      <c r="B1528" s="26" t="s">
        <v>1001</v>
      </c>
      <c r="C1528" s="26"/>
      <c r="D1528" s="26"/>
      <c r="E1528" s="27"/>
      <c r="F1528" s="197"/>
      <c r="G1528" s="211"/>
      <c r="H1528" s="172">
        <f>SF!H76</f>
        <v>20.719716685714292</v>
      </c>
      <c r="I1528" s="197"/>
      <c r="J1528" s="172">
        <f>SF!J76</f>
        <v>227.1916934588572</v>
      </c>
      <c r="K1528" s="433">
        <v>0.09</v>
      </c>
      <c r="L1528" s="266"/>
    </row>
    <row r="1529" spans="1:12">
      <c r="A1529" s="25" t="s">
        <v>1006</v>
      </c>
      <c r="B1529" s="26" t="s">
        <v>211</v>
      </c>
      <c r="C1529" s="26"/>
      <c r="D1529" s="26"/>
      <c r="E1529" s="27"/>
      <c r="F1529" s="197"/>
      <c r="G1529" s="195"/>
      <c r="H1529" s="172">
        <f>SF!H78</f>
        <v>26.798532263701709</v>
      </c>
      <c r="I1529" s="195"/>
      <c r="J1529" s="172">
        <f>SF!J78</f>
        <v>147.28381289471153</v>
      </c>
      <c r="K1529" s="433">
        <v>0.44999999999999996</v>
      </c>
      <c r="L1529" s="266"/>
    </row>
    <row r="1530" spans="1:12">
      <c r="A1530" s="686" t="s">
        <v>1138</v>
      </c>
      <c r="B1530" s="688" t="s">
        <v>1045</v>
      </c>
      <c r="C1530" s="688"/>
      <c r="D1530" s="688"/>
      <c r="E1530" s="689"/>
      <c r="F1530" s="620"/>
      <c r="G1530" s="711"/>
      <c r="H1530" s="989">
        <f>SF!H81</f>
        <v>32.345729999999996</v>
      </c>
      <c r="I1530" s="696"/>
      <c r="J1530" s="989">
        <f>SF!J81</f>
        <v>29.111156999999999</v>
      </c>
      <c r="K1530" s="433">
        <v>0.44999999999999996</v>
      </c>
      <c r="L1530" s="266"/>
    </row>
    <row r="1531" spans="1:12">
      <c r="A1531" s="686" t="s">
        <v>1138</v>
      </c>
      <c r="B1531" s="688" t="s">
        <v>1141</v>
      </c>
      <c r="C1531" s="26"/>
      <c r="D1531" s="26"/>
      <c r="E1531" s="27"/>
      <c r="F1531" s="34"/>
      <c r="G1531" s="27"/>
      <c r="H1531" s="989">
        <f>SF!H83</f>
        <v>19.373390077688924</v>
      </c>
      <c r="I1531" s="696"/>
      <c r="J1531" s="989">
        <f>SF!J83</f>
        <v>37.512792074379419</v>
      </c>
      <c r="K1531" s="433">
        <v>0.3</v>
      </c>
      <c r="L1531" s="266"/>
    </row>
    <row r="1532" spans="1:12">
      <c r="A1532" s="990" t="s">
        <v>204</v>
      </c>
      <c r="B1532" s="661"/>
      <c r="C1532" s="661"/>
      <c r="D1532" s="661"/>
      <c r="E1532" s="584"/>
      <c r="F1532" s="991"/>
      <c r="G1532" s="992"/>
      <c r="H1532" s="370"/>
      <c r="I1532" s="991"/>
      <c r="J1532" s="370"/>
      <c r="K1532" s="1583">
        <v>0.44999999999999996</v>
      </c>
      <c r="L1532" s="266"/>
    </row>
    <row r="1533" spans="1:12">
      <c r="A1533" s="25" t="s">
        <v>1007</v>
      </c>
      <c r="B1533" s="26" t="s">
        <v>988</v>
      </c>
      <c r="C1533" s="26"/>
      <c r="D1533" s="26"/>
      <c r="E1533" s="27"/>
      <c r="F1533" s="196">
        <f>SF!F87</f>
        <v>31.607279999999999</v>
      </c>
      <c r="G1533" s="211"/>
      <c r="H1533" s="34"/>
      <c r="I1533" s="196">
        <f>SF!I87</f>
        <v>-15.140358000000003</v>
      </c>
      <c r="J1533" s="196">
        <f>SF!J87</f>
        <v>0</v>
      </c>
      <c r="K1533" s="433">
        <v>0.44999999999999996</v>
      </c>
      <c r="L1533" s="266"/>
    </row>
    <row r="1534" spans="1:12">
      <c r="A1534" s="25" t="s">
        <v>1008</v>
      </c>
      <c r="B1534" s="26" t="s">
        <v>989</v>
      </c>
      <c r="C1534" s="26"/>
      <c r="D1534" s="26"/>
      <c r="E1534" s="27"/>
      <c r="F1534" s="196">
        <f>SF!F88</f>
        <v>31.607279999999999</v>
      </c>
      <c r="G1534" s="211"/>
      <c r="H1534" s="34"/>
      <c r="I1534" s="196">
        <f>SF!I88</f>
        <v>15.140358000000003</v>
      </c>
      <c r="J1534" s="196">
        <f>SF!J88</f>
        <v>0</v>
      </c>
      <c r="K1534" s="511">
        <v>0.44999999999999996</v>
      </c>
      <c r="L1534" s="266"/>
    </row>
    <row r="1535" spans="1:12">
      <c r="A1535" s="25" t="s">
        <v>1009</v>
      </c>
      <c r="B1535" s="26" t="s">
        <v>1000</v>
      </c>
      <c r="C1535" s="26"/>
      <c r="D1535" s="26"/>
      <c r="E1535" s="27"/>
      <c r="F1535" s="196">
        <f>SF!F95</f>
        <v>0</v>
      </c>
      <c r="G1535" s="211"/>
      <c r="H1535" s="34"/>
      <c r="I1535" s="196">
        <f>SF!I95</f>
        <v>0</v>
      </c>
      <c r="J1535" s="196">
        <f>SF!J95</f>
        <v>0</v>
      </c>
      <c r="K1535" s="511">
        <v>0.09</v>
      </c>
      <c r="L1535" s="266"/>
    </row>
    <row r="1536" spans="1:12">
      <c r="A1536" s="25" t="s">
        <v>1010</v>
      </c>
      <c r="B1536" s="26" t="s">
        <v>1001</v>
      </c>
      <c r="C1536" s="26"/>
      <c r="D1536" s="26"/>
      <c r="E1536" s="27"/>
      <c r="F1536" s="196">
        <f>SF!F96</f>
        <v>13.813144457142862</v>
      </c>
      <c r="G1536" s="211"/>
      <c r="H1536" s="34"/>
      <c r="I1536" s="196">
        <f>SF!I96</f>
        <v>6.9065722285714308</v>
      </c>
      <c r="J1536" s="196">
        <f>SF!J96</f>
        <v>-2.142281818285714</v>
      </c>
      <c r="K1536" s="511">
        <v>0.09</v>
      </c>
      <c r="L1536" s="266"/>
    </row>
    <row r="1537" spans="1:12">
      <c r="A1537" s="25" t="s">
        <v>1011</v>
      </c>
      <c r="B1537" s="26" t="s">
        <v>211</v>
      </c>
      <c r="C1537" s="26"/>
      <c r="D1537" s="26"/>
      <c r="E1537" s="27"/>
      <c r="F1537" s="196">
        <f>SF!F98</f>
        <v>17.865688175801139</v>
      </c>
      <c r="G1537" s="211"/>
      <c r="H1537" s="197"/>
      <c r="I1537" s="196">
        <f>SF!I98</f>
        <v>0</v>
      </c>
      <c r="J1537" s="196">
        <f>SF!J98</f>
        <v>0</v>
      </c>
      <c r="K1537" s="511">
        <v>0.44999999999999996</v>
      </c>
      <c r="L1537" s="266"/>
    </row>
    <row r="1538" spans="1:12">
      <c r="A1538" s="686" t="s">
        <v>1473</v>
      </c>
      <c r="B1538" s="688" t="s">
        <v>1045</v>
      </c>
      <c r="C1538" s="688"/>
      <c r="D1538" s="688"/>
      <c r="E1538" s="689"/>
      <c r="F1538" s="695">
        <f>SF!F101</f>
        <v>21.56382</v>
      </c>
      <c r="G1538" s="621"/>
      <c r="H1538" s="620"/>
      <c r="I1538" s="695">
        <f>SF!I101</f>
        <v>0</v>
      </c>
      <c r="J1538" s="695">
        <f>SF!J101</f>
        <v>0</v>
      </c>
      <c r="K1538" s="511">
        <v>0.44999999999999996</v>
      </c>
      <c r="L1538" s="266"/>
    </row>
    <row r="1539" spans="1:12">
      <c r="A1539" s="253"/>
      <c r="B1539" s="15"/>
      <c r="C1539" s="15"/>
      <c r="D1539" s="15"/>
      <c r="E1539" s="22"/>
      <c r="F1539" s="212"/>
      <c r="G1539" s="213"/>
      <c r="H1539" s="198"/>
      <c r="I1539" s="198"/>
      <c r="J1539" s="58"/>
      <c r="K1539" s="208"/>
      <c r="L1539" s="293"/>
    </row>
    <row r="1540" spans="1:12">
      <c r="A1540" s="46"/>
      <c r="B1540" s="46"/>
      <c r="C1540" s="46"/>
      <c r="D1540" s="46"/>
      <c r="E1540" s="46"/>
      <c r="F1540" s="46"/>
      <c r="G1540" s="46"/>
      <c r="H1540" s="46"/>
      <c r="I1540" s="46"/>
      <c r="J1540" s="46"/>
      <c r="K1540" s="87"/>
      <c r="L1540" s="293"/>
    </row>
    <row r="1541" spans="1:12">
      <c r="A1541" s="220" t="s">
        <v>73</v>
      </c>
      <c r="B1541" s="220" t="s">
        <v>74</v>
      </c>
      <c r="C1541" s="200"/>
      <c r="D1541" s="200"/>
      <c r="E1541" s="217"/>
      <c r="F1541" s="1636" t="s">
        <v>72</v>
      </c>
      <c r="G1541" s="1637"/>
      <c r="H1541" s="1637"/>
      <c r="I1541" s="1637"/>
      <c r="J1541" s="1638"/>
      <c r="K1541" s="87"/>
      <c r="L1541" s="293"/>
    </row>
    <row r="1542" spans="1:12" ht="18">
      <c r="A1542" s="221"/>
      <c r="B1542" s="221"/>
      <c r="C1542" s="201"/>
      <c r="D1542" s="201"/>
      <c r="E1542" s="219"/>
      <c r="F1542" s="223" t="s">
        <v>23</v>
      </c>
      <c r="G1542" s="223" t="s">
        <v>87</v>
      </c>
      <c r="H1542" s="223" t="s">
        <v>212</v>
      </c>
      <c r="I1542" s="223" t="s">
        <v>80</v>
      </c>
      <c r="J1542" s="223" t="s">
        <v>81</v>
      </c>
      <c r="K1542" s="87"/>
      <c r="L1542" s="293"/>
    </row>
    <row r="1543" spans="1:12">
      <c r="A1543" s="222"/>
      <c r="B1543" s="222"/>
      <c r="C1543" s="203"/>
      <c r="D1543" s="203"/>
      <c r="E1543" s="218"/>
      <c r="F1543" s="204" t="s">
        <v>34</v>
      </c>
      <c r="G1543" s="204" t="s">
        <v>34</v>
      </c>
      <c r="H1543" s="203" t="s">
        <v>34</v>
      </c>
      <c r="I1543" s="204" t="s">
        <v>77</v>
      </c>
      <c r="J1543" s="204" t="s">
        <v>77</v>
      </c>
      <c r="K1543" s="87"/>
      <c r="L1543" s="293"/>
    </row>
    <row r="1544" spans="1:12">
      <c r="A1544" s="202"/>
      <c r="B1544" s="200"/>
      <c r="C1544" s="200"/>
      <c r="D1544" s="200"/>
      <c r="E1544" s="217"/>
      <c r="F1544" s="205"/>
      <c r="G1544" s="205"/>
      <c r="H1544" s="201"/>
      <c r="I1544" s="205"/>
      <c r="J1544" s="205"/>
      <c r="K1544" s="87"/>
      <c r="L1544" s="293"/>
    </row>
    <row r="1545" spans="1:12">
      <c r="A1545" s="205" t="str">
        <f>A1503</f>
        <v>LC-47</v>
      </c>
      <c r="B1545" s="201" t="str">
        <f>B1503</f>
        <v>LC-24 + Seismic Sx=1,Sz=0.3,Sy=0.3</v>
      </c>
      <c r="C1545" s="201"/>
      <c r="D1545" s="201"/>
      <c r="E1545" s="219"/>
      <c r="F1545" s="205">
        <f>SUMPRODUCT(F1506:F1538,$K$1506:$K$1538)</f>
        <v>1406.7922339908844</v>
      </c>
      <c r="G1545" s="219">
        <f>SUMPRODUCT(G1506:G1538,$K$1506:$K$1538)</f>
        <v>260.43916816016576</v>
      </c>
      <c r="H1545" s="219">
        <f>SUMPRODUCT(H1506:H1538,$K$1506:$K$1538)</f>
        <v>80.501255792900963</v>
      </c>
      <c r="I1545" s="219">
        <f>SUMPRODUCT(I1506:I1538,$K$1506:$K$1538)</f>
        <v>1562.7709712987466</v>
      </c>
      <c r="J1545" s="219">
        <f>SUMPRODUCT(J1506:J1538,$K$1506:$K$1538)</f>
        <v>502.03916067722827</v>
      </c>
      <c r="K1545" s="87"/>
      <c r="L1545" s="293"/>
    </row>
    <row r="1546" spans="1:12">
      <c r="A1546" s="204"/>
      <c r="B1546" s="203"/>
      <c r="C1546" s="203"/>
      <c r="D1546" s="203"/>
      <c r="E1546" s="218"/>
      <c r="F1546" s="204"/>
      <c r="G1546" s="204"/>
      <c r="H1546" s="203"/>
      <c r="I1546" s="204"/>
      <c r="J1546" s="204"/>
      <c r="K1546" s="87"/>
      <c r="L1546" s="293"/>
    </row>
    <row r="1549" spans="1:12">
      <c r="A1549" s="811" t="str">
        <f>K1549</f>
        <v>LC-48</v>
      </c>
      <c r="B1549" s="31" t="str">
        <f>VLOOKUP(A1549,LC_DEF_2!A45:B92,2,FALSE)</f>
        <v>LC-24 + Seismic Sx=0.3,Sz=1,Sy=0.3</v>
      </c>
      <c r="C1549" s="31"/>
      <c r="D1549" s="31"/>
      <c r="E1549" s="32"/>
      <c r="F1549" s="1599" t="s">
        <v>742</v>
      </c>
      <c r="G1549" s="1635"/>
      <c r="H1549" s="1635"/>
      <c r="I1549" s="1635"/>
      <c r="J1549" s="1600"/>
      <c r="K1549" s="1580" t="s">
        <v>1429</v>
      </c>
      <c r="L1549" s="293"/>
    </row>
    <row r="1550" spans="1:12" ht="18">
      <c r="A1550" s="25" t="s">
        <v>73</v>
      </c>
      <c r="B1550" s="26" t="s">
        <v>74</v>
      </c>
      <c r="C1550" s="26"/>
      <c r="D1550" s="26"/>
      <c r="E1550" s="27"/>
      <c r="F1550" s="58" t="s">
        <v>23</v>
      </c>
      <c r="G1550" s="58" t="s">
        <v>87</v>
      </c>
      <c r="H1550" s="58" t="s">
        <v>212</v>
      </c>
      <c r="I1550" s="58" t="s">
        <v>80</v>
      </c>
      <c r="J1550" s="58" t="s">
        <v>81</v>
      </c>
      <c r="K1550" s="433"/>
      <c r="L1550" s="293"/>
    </row>
    <row r="1551" spans="1:12">
      <c r="A1551" s="25"/>
      <c r="B1551" s="26"/>
      <c r="C1551" s="26"/>
      <c r="D1551" s="26"/>
      <c r="E1551" s="27"/>
      <c r="F1551" s="36" t="s">
        <v>34</v>
      </c>
      <c r="G1551" s="36" t="s">
        <v>34</v>
      </c>
      <c r="H1551" s="36" t="s">
        <v>34</v>
      </c>
      <c r="I1551" s="36" t="s">
        <v>77</v>
      </c>
      <c r="J1551" s="36" t="s">
        <v>77</v>
      </c>
      <c r="K1551" s="433"/>
      <c r="L1551" s="293"/>
    </row>
    <row r="1552" spans="1:12">
      <c r="A1552" s="25" t="s">
        <v>88</v>
      </c>
      <c r="B1552" s="26" t="s">
        <v>75</v>
      </c>
      <c r="C1552" s="26"/>
      <c r="D1552" s="26"/>
      <c r="E1552" s="27"/>
      <c r="F1552" s="195">
        <f>SF!F14</f>
        <v>365.08803866482532</v>
      </c>
      <c r="G1552" s="210"/>
      <c r="H1552" s="34"/>
      <c r="I1552" s="195">
        <f>SF!I14</f>
        <v>0</v>
      </c>
      <c r="J1552" s="195">
        <f>SF!J14</f>
        <v>0</v>
      </c>
      <c r="K1552" s="511">
        <v>1.35</v>
      </c>
      <c r="L1552" s="266"/>
    </row>
    <row r="1553" spans="1:12">
      <c r="A1553" s="25" t="s">
        <v>90</v>
      </c>
      <c r="B1553" s="26" t="s">
        <v>249</v>
      </c>
      <c r="C1553" s="26"/>
      <c r="D1553" s="26"/>
      <c r="E1553" s="27"/>
      <c r="F1553" s="195">
        <f>SF!F16</f>
        <v>36.639026644707663</v>
      </c>
      <c r="G1553" s="210"/>
      <c r="H1553" s="34"/>
      <c r="I1553" s="195">
        <f>SF!I16</f>
        <v>0</v>
      </c>
      <c r="J1553" s="195">
        <f>SF!J16</f>
        <v>0</v>
      </c>
      <c r="K1553" s="511">
        <v>1.35</v>
      </c>
      <c r="L1553" s="266"/>
    </row>
    <row r="1554" spans="1:12">
      <c r="A1554" s="25" t="s">
        <v>250</v>
      </c>
      <c r="B1554" s="26" t="s">
        <v>967</v>
      </c>
      <c r="C1554" s="26"/>
      <c r="D1554" s="26"/>
      <c r="E1554" s="27"/>
      <c r="F1554" s="195">
        <f>SF!F19</f>
        <v>230</v>
      </c>
      <c r="G1554" s="27"/>
      <c r="H1554" s="34"/>
      <c r="I1554" s="195">
        <f>SF!I19</f>
        <v>-115</v>
      </c>
      <c r="J1554" s="195">
        <f>SF!J19</f>
        <v>0</v>
      </c>
      <c r="K1554" s="433">
        <v>1.35</v>
      </c>
      <c r="L1554" s="11"/>
    </row>
    <row r="1555" spans="1:12">
      <c r="A1555" s="25" t="s">
        <v>251</v>
      </c>
      <c r="B1555" s="26" t="s">
        <v>968</v>
      </c>
      <c r="C1555" s="26"/>
      <c r="D1555" s="26"/>
      <c r="E1555" s="27"/>
      <c r="F1555" s="195">
        <f>SF!F20</f>
        <v>20.660000000000004</v>
      </c>
      <c r="G1555" s="27"/>
      <c r="H1555" s="34"/>
      <c r="I1555" s="195">
        <f>SF!I20</f>
        <v>-10.330000000000002</v>
      </c>
      <c r="J1555" s="195">
        <f>SF!J20</f>
        <v>0</v>
      </c>
      <c r="K1555" s="433">
        <v>1.35</v>
      </c>
      <c r="L1555" s="11"/>
    </row>
    <row r="1556" spans="1:12">
      <c r="A1556" s="25" t="s">
        <v>97</v>
      </c>
      <c r="B1556" s="26" t="s">
        <v>969</v>
      </c>
      <c r="C1556" s="26"/>
      <c r="D1556" s="26"/>
      <c r="E1556" s="27"/>
      <c r="F1556" s="195">
        <f>SF!F21</f>
        <v>42</v>
      </c>
      <c r="G1556" s="27"/>
      <c r="H1556" s="34"/>
      <c r="I1556" s="195">
        <f>SF!I21</f>
        <v>-14.858499999999999</v>
      </c>
      <c r="J1556" s="195">
        <f>SF!J21</f>
        <v>0</v>
      </c>
      <c r="K1556" s="433">
        <v>1.35</v>
      </c>
      <c r="L1556" s="11"/>
    </row>
    <row r="1557" spans="1:12">
      <c r="A1557" s="25" t="s">
        <v>250</v>
      </c>
      <c r="B1557" s="26" t="s">
        <v>970</v>
      </c>
      <c r="C1557" s="26"/>
      <c r="D1557" s="26"/>
      <c r="E1557" s="27"/>
      <c r="F1557" s="195">
        <f>SF!F23</f>
        <v>230</v>
      </c>
      <c r="G1557" s="27"/>
      <c r="H1557" s="34"/>
      <c r="I1557" s="195">
        <f>SF!I23</f>
        <v>115</v>
      </c>
      <c r="J1557" s="195">
        <f>SF!J23</f>
        <v>0</v>
      </c>
      <c r="K1557" s="433">
        <v>1.35</v>
      </c>
      <c r="L1557" s="11"/>
    </row>
    <row r="1558" spans="1:12">
      <c r="A1558" s="25" t="s">
        <v>251</v>
      </c>
      <c r="B1558" s="26" t="s">
        <v>971</v>
      </c>
      <c r="C1558" s="26"/>
      <c r="D1558" s="26"/>
      <c r="E1558" s="27"/>
      <c r="F1558" s="195">
        <f>SF!F24</f>
        <v>20.660000000000004</v>
      </c>
      <c r="G1558" s="27"/>
      <c r="H1558" s="34"/>
      <c r="I1558" s="195">
        <f>SF!I24</f>
        <v>10.330000000000002</v>
      </c>
      <c r="J1558" s="195">
        <f>SF!J24</f>
        <v>0</v>
      </c>
      <c r="K1558" s="433">
        <v>1.35</v>
      </c>
      <c r="L1558" s="266"/>
    </row>
    <row r="1559" spans="1:12">
      <c r="A1559" s="25" t="s">
        <v>97</v>
      </c>
      <c r="B1559" s="26" t="s">
        <v>972</v>
      </c>
      <c r="C1559" s="26"/>
      <c r="D1559" s="26"/>
      <c r="E1559" s="27"/>
      <c r="F1559" s="195">
        <f>SF!F25</f>
        <v>42</v>
      </c>
      <c r="G1559" s="27"/>
      <c r="H1559" s="34"/>
      <c r="I1559" s="195">
        <f>SF!I25</f>
        <v>14.858499999999999</v>
      </c>
      <c r="J1559" s="195">
        <f>SF!J25</f>
        <v>0</v>
      </c>
      <c r="K1559" s="511">
        <v>1.75</v>
      </c>
      <c r="L1559" s="11"/>
    </row>
    <row r="1560" spans="1:12">
      <c r="A1560" s="25" t="s">
        <v>976</v>
      </c>
      <c r="B1560" s="26" t="s">
        <v>981</v>
      </c>
      <c r="C1560" s="26"/>
      <c r="D1560" s="26"/>
      <c r="E1560" s="27"/>
      <c r="F1560" s="195">
        <f>SF!F33</f>
        <v>0</v>
      </c>
      <c r="G1560" s="27"/>
      <c r="H1560" s="34"/>
      <c r="I1560" s="195">
        <f>SF!I33</f>
        <v>0</v>
      </c>
      <c r="J1560" s="195">
        <f>SF!J33</f>
        <v>0</v>
      </c>
      <c r="K1560" s="433">
        <v>0.2</v>
      </c>
      <c r="L1560" s="266"/>
    </row>
    <row r="1561" spans="1:12">
      <c r="A1561" s="25" t="s">
        <v>977</v>
      </c>
      <c r="B1561" s="26" t="s">
        <v>982</v>
      </c>
      <c r="C1561" s="26"/>
      <c r="D1561" s="26"/>
      <c r="E1561" s="27"/>
      <c r="F1561" s="195">
        <f>SF!F34</f>
        <v>127.89948571428575</v>
      </c>
      <c r="G1561" s="27"/>
      <c r="H1561" s="34"/>
      <c r="I1561" s="195">
        <f>SF!I34</f>
        <v>63.949742857142873</v>
      </c>
      <c r="J1561" s="195">
        <f>SF!J34</f>
        <v>-19.835942761904757</v>
      </c>
      <c r="K1561" s="433">
        <v>0.2</v>
      </c>
      <c r="L1561" s="266"/>
    </row>
    <row r="1562" spans="1:12">
      <c r="A1562" s="686" t="s">
        <v>1128</v>
      </c>
      <c r="B1562" s="687"/>
      <c r="C1562" s="688"/>
      <c r="D1562" s="688"/>
      <c r="E1562" s="689"/>
      <c r="F1562" s="696">
        <f>SF!F43</f>
        <v>-103.56143333397094</v>
      </c>
      <c r="G1562" s="689"/>
      <c r="H1562" s="690"/>
      <c r="I1562" s="690"/>
      <c r="J1562" s="690"/>
      <c r="K1562" s="433">
        <v>0.15</v>
      </c>
      <c r="L1562" s="266"/>
    </row>
    <row r="1563" spans="1:12">
      <c r="A1563" s="686" t="s">
        <v>1131</v>
      </c>
      <c r="B1563" s="687"/>
      <c r="C1563" s="688"/>
      <c r="D1563" s="688"/>
      <c r="E1563" s="689"/>
      <c r="F1563" s="690"/>
      <c r="G1563" s="696">
        <f>SF!G47</f>
        <v>3.2856246869242693</v>
      </c>
      <c r="H1563" s="696">
        <f>SF!H47</f>
        <v>3.5397182492142409</v>
      </c>
      <c r="I1563" s="696">
        <f>SF!I47</f>
        <v>7.0628515103002814</v>
      </c>
      <c r="J1563" s="696">
        <f>SF!J47</f>
        <v>5.3297614737052639</v>
      </c>
      <c r="K1563" s="433">
        <v>1</v>
      </c>
      <c r="L1563" s="266"/>
    </row>
    <row r="1564" spans="1:12">
      <c r="A1564" s="278" t="s">
        <v>200</v>
      </c>
      <c r="B1564" s="262"/>
      <c r="C1564" s="262"/>
      <c r="D1564" s="262"/>
      <c r="E1564" s="263"/>
      <c r="F1564" s="279"/>
      <c r="G1564" s="280"/>
      <c r="H1564" s="264"/>
      <c r="I1564" s="279"/>
      <c r="J1564" s="264"/>
      <c r="K1564" s="1581">
        <v>1.5</v>
      </c>
      <c r="L1564" s="266"/>
    </row>
    <row r="1565" spans="1:12">
      <c r="A1565" s="25" t="s">
        <v>991</v>
      </c>
      <c r="B1565" s="26" t="s">
        <v>989</v>
      </c>
      <c r="C1565" s="26"/>
      <c r="D1565" s="26"/>
      <c r="E1565" s="27"/>
      <c r="F1565" s="197"/>
      <c r="G1565" s="172">
        <f>SF!G52</f>
        <v>94.821839999999995</v>
      </c>
      <c r="H1565" s="34"/>
      <c r="I1565" s="172">
        <f>SF!I52</f>
        <v>785.12483520000001</v>
      </c>
      <c r="J1565" s="89"/>
      <c r="K1565" s="511">
        <v>0.44999999999999996</v>
      </c>
      <c r="L1565" s="266"/>
    </row>
    <row r="1566" spans="1:12">
      <c r="A1566" s="25" t="s">
        <v>994</v>
      </c>
      <c r="B1566" s="26" t="s">
        <v>996</v>
      </c>
      <c r="C1566" s="26"/>
      <c r="D1566" s="26"/>
      <c r="E1566" s="27"/>
      <c r="F1566" s="197"/>
      <c r="G1566" s="172">
        <f>SF!G56</f>
        <v>4.5540000000000003</v>
      </c>
      <c r="H1566" s="34"/>
      <c r="I1566" s="172">
        <f>SF!I56</f>
        <v>37.70712000000001</v>
      </c>
      <c r="J1566" s="89"/>
      <c r="K1566" s="433">
        <v>1.5</v>
      </c>
      <c r="L1566" s="266"/>
    </row>
    <row r="1567" spans="1:12">
      <c r="A1567" s="25" t="s">
        <v>217</v>
      </c>
      <c r="B1567" s="26" t="s">
        <v>211</v>
      </c>
      <c r="C1567" s="26"/>
      <c r="D1567" s="26"/>
      <c r="E1567" s="27"/>
      <c r="F1567" s="197"/>
      <c r="G1567" s="196">
        <f>SF!G58</f>
        <v>26.798532263701709</v>
      </c>
      <c r="H1567" s="199"/>
      <c r="I1567" s="172">
        <f>SF!I58</f>
        <v>147.28381289471153</v>
      </c>
      <c r="J1567" s="195"/>
      <c r="K1567" s="433">
        <v>0.44999999999999996</v>
      </c>
      <c r="L1567" s="266"/>
    </row>
    <row r="1568" spans="1:12">
      <c r="A1568" s="686" t="s">
        <v>1472</v>
      </c>
      <c r="B1568" s="688" t="s">
        <v>1045</v>
      </c>
      <c r="C1568" s="688"/>
      <c r="D1568" s="688"/>
      <c r="E1568" s="689"/>
      <c r="F1568" s="620"/>
      <c r="G1568" s="695">
        <f>SF!G61</f>
        <v>32.345729999999996</v>
      </c>
      <c r="H1568" s="690"/>
      <c r="I1568" s="695">
        <f>SF!I61</f>
        <v>29.111156999999999</v>
      </c>
      <c r="J1568" s="269"/>
      <c r="K1568" s="433">
        <v>0.44999999999999996</v>
      </c>
      <c r="L1568" s="266"/>
    </row>
    <row r="1569" spans="1:12">
      <c r="A1569" s="686" t="s">
        <v>1139</v>
      </c>
      <c r="B1569" s="688" t="s">
        <v>1140</v>
      </c>
      <c r="C1569" s="688"/>
      <c r="D1569" s="688"/>
      <c r="E1569" s="689"/>
      <c r="F1569" s="620"/>
      <c r="G1569" s="695">
        <f>SF!G63</f>
        <v>19.373390077688924</v>
      </c>
      <c r="H1569" s="690"/>
      <c r="I1569" s="695">
        <f>SF!I63</f>
        <v>37.512792074379419</v>
      </c>
      <c r="J1569" s="269"/>
      <c r="K1569" s="433">
        <v>0.3</v>
      </c>
      <c r="L1569" s="266"/>
    </row>
    <row r="1570" spans="1:12">
      <c r="A1570" s="278" t="s">
        <v>1817</v>
      </c>
      <c r="B1570" s="262"/>
      <c r="C1570" s="262"/>
      <c r="D1570" s="262"/>
      <c r="E1570" s="263"/>
      <c r="F1570" s="279"/>
      <c r="G1570" s="280"/>
      <c r="H1570" s="264"/>
      <c r="I1570" s="279"/>
      <c r="J1570" s="264"/>
      <c r="K1570" s="1582">
        <v>1.5</v>
      </c>
      <c r="L1570" s="266"/>
    </row>
    <row r="1571" spans="1:12">
      <c r="A1571" s="25" t="s">
        <v>997</v>
      </c>
      <c r="B1571" s="26" t="s">
        <v>988</v>
      </c>
      <c r="C1571" s="26"/>
      <c r="D1571" s="26"/>
      <c r="E1571" s="27"/>
      <c r="F1571" s="197"/>
      <c r="G1571" s="211"/>
      <c r="H1571" s="172">
        <f>SF!H67</f>
        <v>47.410919999999997</v>
      </c>
      <c r="I1571" s="197"/>
      <c r="J1571" s="172">
        <f>SF!J67</f>
        <v>433.10062959257624</v>
      </c>
      <c r="K1571" s="511">
        <v>1.5</v>
      </c>
      <c r="L1571" s="266"/>
    </row>
    <row r="1572" spans="1:12">
      <c r="A1572" s="25" t="s">
        <v>998</v>
      </c>
      <c r="B1572" s="26" t="s">
        <v>989</v>
      </c>
      <c r="C1572" s="26"/>
      <c r="D1572" s="26"/>
      <c r="E1572" s="27"/>
      <c r="F1572" s="197"/>
      <c r="G1572" s="211"/>
      <c r="H1572" s="172">
        <f>SF!H68</f>
        <v>47.410919999999997</v>
      </c>
      <c r="I1572" s="197"/>
      <c r="J1572" s="172">
        <f>SF!J68</f>
        <v>433.10062959257624</v>
      </c>
      <c r="K1572" s="433">
        <v>1.5</v>
      </c>
      <c r="L1572" s="266"/>
    </row>
    <row r="1573" spans="1:12">
      <c r="A1573" s="25" t="s">
        <v>1004</v>
      </c>
      <c r="B1573" s="26" t="s">
        <v>1000</v>
      </c>
      <c r="C1573" s="26"/>
      <c r="D1573" s="26"/>
      <c r="E1573" s="27"/>
      <c r="F1573" s="197"/>
      <c r="G1573" s="211"/>
      <c r="H1573" s="172">
        <f>SF!H75</f>
        <v>0</v>
      </c>
      <c r="I1573" s="197"/>
      <c r="J1573" s="172">
        <f>SF!J75</f>
        <v>0</v>
      </c>
      <c r="K1573" s="433">
        <v>0.30000000000000004</v>
      </c>
      <c r="L1573" s="266"/>
    </row>
    <row r="1574" spans="1:12">
      <c r="A1574" s="25" t="s">
        <v>1005</v>
      </c>
      <c r="B1574" s="26" t="s">
        <v>1001</v>
      </c>
      <c r="C1574" s="26"/>
      <c r="D1574" s="26"/>
      <c r="E1574" s="27"/>
      <c r="F1574" s="197"/>
      <c r="G1574" s="211"/>
      <c r="H1574" s="172">
        <f>SF!H76</f>
        <v>20.719716685714292</v>
      </c>
      <c r="I1574" s="197"/>
      <c r="J1574" s="172">
        <f>SF!J76</f>
        <v>227.1916934588572</v>
      </c>
      <c r="K1574" s="433">
        <v>0.30000000000000004</v>
      </c>
      <c r="L1574" s="266"/>
    </row>
    <row r="1575" spans="1:12">
      <c r="A1575" s="25" t="s">
        <v>1006</v>
      </c>
      <c r="B1575" s="26" t="s">
        <v>211</v>
      </c>
      <c r="C1575" s="26"/>
      <c r="D1575" s="26"/>
      <c r="E1575" s="27"/>
      <c r="F1575" s="197"/>
      <c r="G1575" s="195"/>
      <c r="H1575" s="172">
        <f>SF!H78</f>
        <v>26.798532263701709</v>
      </c>
      <c r="I1575" s="195"/>
      <c r="J1575" s="172">
        <f>SF!J78</f>
        <v>147.28381289471153</v>
      </c>
      <c r="K1575" s="433">
        <v>1.5</v>
      </c>
      <c r="L1575" s="266"/>
    </row>
    <row r="1576" spans="1:12">
      <c r="A1576" s="686" t="s">
        <v>1138</v>
      </c>
      <c r="B1576" s="688" t="s">
        <v>1045</v>
      </c>
      <c r="C1576" s="688"/>
      <c r="D1576" s="688"/>
      <c r="E1576" s="689"/>
      <c r="F1576" s="620"/>
      <c r="G1576" s="711"/>
      <c r="H1576" s="989">
        <f>SF!H81</f>
        <v>32.345729999999996</v>
      </c>
      <c r="I1576" s="696"/>
      <c r="J1576" s="989">
        <f>SF!J81</f>
        <v>29.111156999999999</v>
      </c>
      <c r="K1576" s="433">
        <v>1.5</v>
      </c>
      <c r="L1576" s="266"/>
    </row>
    <row r="1577" spans="1:12">
      <c r="A1577" s="686" t="s">
        <v>1138</v>
      </c>
      <c r="B1577" s="688" t="s">
        <v>1141</v>
      </c>
      <c r="C1577" s="26"/>
      <c r="D1577" s="26"/>
      <c r="E1577" s="27"/>
      <c r="F1577" s="34"/>
      <c r="G1577" s="27"/>
      <c r="H1577" s="989">
        <f>SF!H83</f>
        <v>19.373390077688924</v>
      </c>
      <c r="I1577" s="696"/>
      <c r="J1577" s="989">
        <f>SF!J83</f>
        <v>37.512792074379419</v>
      </c>
      <c r="K1577" s="433">
        <v>1</v>
      </c>
      <c r="L1577" s="266"/>
    </row>
    <row r="1578" spans="1:12">
      <c r="A1578" s="990" t="s">
        <v>204</v>
      </c>
      <c r="B1578" s="661"/>
      <c r="C1578" s="661"/>
      <c r="D1578" s="661"/>
      <c r="E1578" s="584"/>
      <c r="F1578" s="991"/>
      <c r="G1578" s="992"/>
      <c r="H1578" s="370"/>
      <c r="I1578" s="991"/>
      <c r="J1578" s="370"/>
      <c r="K1578" s="1583">
        <v>0.44999999999999996</v>
      </c>
      <c r="L1578" s="266"/>
    </row>
    <row r="1579" spans="1:12">
      <c r="A1579" s="25" t="s">
        <v>1007</v>
      </c>
      <c r="B1579" s="26" t="s">
        <v>988</v>
      </c>
      <c r="C1579" s="26"/>
      <c r="D1579" s="26"/>
      <c r="E1579" s="27"/>
      <c r="F1579" s="196">
        <f>SF!F87</f>
        <v>31.607279999999999</v>
      </c>
      <c r="G1579" s="211"/>
      <c r="H1579" s="34"/>
      <c r="I1579" s="196">
        <f>SF!I87</f>
        <v>-15.140358000000003</v>
      </c>
      <c r="J1579" s="196">
        <f>SF!J87</f>
        <v>0</v>
      </c>
      <c r="K1579" s="433">
        <v>0.44999999999999996</v>
      </c>
      <c r="L1579" s="266"/>
    </row>
    <row r="1580" spans="1:12">
      <c r="A1580" s="25" t="s">
        <v>1008</v>
      </c>
      <c r="B1580" s="26" t="s">
        <v>989</v>
      </c>
      <c r="C1580" s="26"/>
      <c r="D1580" s="26"/>
      <c r="E1580" s="27"/>
      <c r="F1580" s="196">
        <f>SF!F88</f>
        <v>31.607279999999999</v>
      </c>
      <c r="G1580" s="211"/>
      <c r="H1580" s="34"/>
      <c r="I1580" s="196">
        <f>SF!I88</f>
        <v>15.140358000000003</v>
      </c>
      <c r="J1580" s="196">
        <f>SF!J88</f>
        <v>0</v>
      </c>
      <c r="K1580" s="511">
        <v>0.44999999999999996</v>
      </c>
      <c r="L1580" s="266"/>
    </row>
    <row r="1581" spans="1:12">
      <c r="A1581" s="25" t="s">
        <v>1009</v>
      </c>
      <c r="B1581" s="26" t="s">
        <v>1000</v>
      </c>
      <c r="C1581" s="26"/>
      <c r="D1581" s="26"/>
      <c r="E1581" s="27"/>
      <c r="F1581" s="196">
        <f>SF!F95</f>
        <v>0</v>
      </c>
      <c r="G1581" s="211"/>
      <c r="H1581" s="34"/>
      <c r="I1581" s="196">
        <f>SF!I95</f>
        <v>0</v>
      </c>
      <c r="J1581" s="196">
        <f>SF!J95</f>
        <v>0</v>
      </c>
      <c r="K1581" s="511">
        <v>0.09</v>
      </c>
      <c r="L1581" s="266"/>
    </row>
    <row r="1582" spans="1:12">
      <c r="A1582" s="25" t="s">
        <v>1010</v>
      </c>
      <c r="B1582" s="26" t="s">
        <v>1001</v>
      </c>
      <c r="C1582" s="26"/>
      <c r="D1582" s="26"/>
      <c r="E1582" s="27"/>
      <c r="F1582" s="196">
        <f>SF!F96</f>
        <v>13.813144457142862</v>
      </c>
      <c r="G1582" s="211"/>
      <c r="H1582" s="34"/>
      <c r="I1582" s="196">
        <f>SF!I96</f>
        <v>6.9065722285714308</v>
      </c>
      <c r="J1582" s="196">
        <f>SF!J96</f>
        <v>-2.142281818285714</v>
      </c>
      <c r="K1582" s="511">
        <v>0.09</v>
      </c>
      <c r="L1582" s="266"/>
    </row>
    <row r="1583" spans="1:12">
      <c r="A1583" s="25" t="s">
        <v>1011</v>
      </c>
      <c r="B1583" s="26" t="s">
        <v>211</v>
      </c>
      <c r="C1583" s="26"/>
      <c r="D1583" s="26"/>
      <c r="E1583" s="27"/>
      <c r="F1583" s="196">
        <f>SF!F98</f>
        <v>17.865688175801139</v>
      </c>
      <c r="G1583" s="211"/>
      <c r="H1583" s="197"/>
      <c r="I1583" s="196">
        <f>SF!I98</f>
        <v>0</v>
      </c>
      <c r="J1583" s="196">
        <f>SF!J98</f>
        <v>0</v>
      </c>
      <c r="K1583" s="511">
        <v>0.44999999999999996</v>
      </c>
      <c r="L1583" s="266"/>
    </row>
    <row r="1584" spans="1:12">
      <c r="A1584" s="686" t="s">
        <v>1473</v>
      </c>
      <c r="B1584" s="688" t="s">
        <v>1045</v>
      </c>
      <c r="C1584" s="688"/>
      <c r="D1584" s="688"/>
      <c r="E1584" s="689"/>
      <c r="F1584" s="695">
        <f>SF!F101</f>
        <v>21.56382</v>
      </c>
      <c r="G1584" s="621"/>
      <c r="H1584" s="620"/>
      <c r="I1584" s="695">
        <f>SF!I101</f>
        <v>0</v>
      </c>
      <c r="J1584" s="695">
        <f>SF!J101</f>
        <v>0</v>
      </c>
      <c r="K1584" s="511">
        <v>0.44999999999999996</v>
      </c>
      <c r="L1584" s="266"/>
    </row>
    <row r="1585" spans="1:12">
      <c r="A1585" s="253"/>
      <c r="B1585" s="15"/>
      <c r="C1585" s="15"/>
      <c r="D1585" s="15"/>
      <c r="E1585" s="22"/>
      <c r="F1585" s="212"/>
      <c r="G1585" s="213"/>
      <c r="H1585" s="198"/>
      <c r="I1585" s="198"/>
      <c r="J1585" s="58"/>
      <c r="K1585" s="208"/>
      <c r="L1585" s="293"/>
    </row>
    <row r="1586" spans="1:12">
      <c r="A1586" s="46"/>
      <c r="B1586" s="46"/>
      <c r="C1586" s="46"/>
      <c r="D1586" s="46"/>
      <c r="E1586" s="46"/>
      <c r="F1586" s="46"/>
      <c r="G1586" s="46"/>
      <c r="H1586" s="46"/>
      <c r="I1586" s="46"/>
      <c r="J1586" s="46"/>
      <c r="K1586" s="87"/>
      <c r="L1586" s="293"/>
    </row>
    <row r="1587" spans="1:12">
      <c r="A1587" s="220" t="s">
        <v>73</v>
      </c>
      <c r="B1587" s="220" t="s">
        <v>74</v>
      </c>
      <c r="C1587" s="200"/>
      <c r="D1587" s="200"/>
      <c r="E1587" s="217"/>
      <c r="F1587" s="1636" t="s">
        <v>72</v>
      </c>
      <c r="G1587" s="1637"/>
      <c r="H1587" s="1637"/>
      <c r="I1587" s="1637"/>
      <c r="J1587" s="1638"/>
      <c r="K1587" s="87"/>
      <c r="L1587" s="293"/>
    </row>
    <row r="1588" spans="1:12" ht="18">
      <c r="A1588" s="221"/>
      <c r="B1588" s="221"/>
      <c r="C1588" s="201"/>
      <c r="D1588" s="201"/>
      <c r="E1588" s="219"/>
      <c r="F1588" s="223" t="s">
        <v>23</v>
      </c>
      <c r="G1588" s="223" t="s">
        <v>87</v>
      </c>
      <c r="H1588" s="223" t="s">
        <v>212</v>
      </c>
      <c r="I1588" s="223" t="s">
        <v>80</v>
      </c>
      <c r="J1588" s="223" t="s">
        <v>81</v>
      </c>
      <c r="K1588" s="87"/>
      <c r="L1588" s="293"/>
    </row>
    <row r="1589" spans="1:12">
      <c r="A1589" s="222"/>
      <c r="B1589" s="222"/>
      <c r="C1589" s="203"/>
      <c r="D1589" s="203"/>
      <c r="E1589" s="218"/>
      <c r="F1589" s="204" t="s">
        <v>34</v>
      </c>
      <c r="G1589" s="204" t="s">
        <v>34</v>
      </c>
      <c r="H1589" s="203" t="s">
        <v>34</v>
      </c>
      <c r="I1589" s="204" t="s">
        <v>77</v>
      </c>
      <c r="J1589" s="204" t="s">
        <v>77</v>
      </c>
      <c r="K1589" s="87"/>
      <c r="L1589" s="293"/>
    </row>
    <row r="1590" spans="1:12">
      <c r="A1590" s="202"/>
      <c r="B1590" s="200"/>
      <c r="C1590" s="200"/>
      <c r="D1590" s="200"/>
      <c r="E1590" s="217"/>
      <c r="F1590" s="205"/>
      <c r="G1590" s="205"/>
      <c r="H1590" s="201"/>
      <c r="I1590" s="205"/>
      <c r="J1590" s="205"/>
      <c r="K1590" s="87"/>
      <c r="L1590" s="293"/>
    </row>
    <row r="1591" spans="1:12">
      <c r="A1591" s="205" t="str">
        <f>A1549</f>
        <v>LC-48</v>
      </c>
      <c r="B1591" s="201" t="str">
        <f>B1549</f>
        <v>LC-24 + Seismic Sx=0.3,Sz=1,Sy=0.3</v>
      </c>
      <c r="C1591" s="201"/>
      <c r="D1591" s="201"/>
      <c r="E1591" s="219"/>
      <c r="F1591" s="205">
        <f>SUMPRODUCT(F1552:F1584,$K$1552:$K$1584)</f>
        <v>1406.7922339908844</v>
      </c>
      <c r="G1591" s="219">
        <f>SUMPRODUCT(G1552:G1584,$K$1552:$K$1584)</f>
        <v>85.21338772889672</v>
      </c>
      <c r="H1591" s="219">
        <f>SUMPRODUCT(H1552:H1584,$K$1552:$K$1584)</f>
        <v>260.07817672816998</v>
      </c>
      <c r="I1591" s="219">
        <f>SUMPRODUCT(I1552:I1584,$K$1552:$K$1584)</f>
        <v>526.91622149723435</v>
      </c>
      <c r="J1591" s="219">
        <f>SUMPRODUCT(J1552:J1584,$K$1552:$K$1584)</f>
        <v>1670.7344112895112</v>
      </c>
      <c r="K1591" s="87"/>
      <c r="L1591" s="293"/>
    </row>
    <row r="1592" spans="1:12">
      <c r="A1592" s="204"/>
      <c r="B1592" s="203"/>
      <c r="C1592" s="203"/>
      <c r="D1592" s="203"/>
      <c r="E1592" s="218"/>
      <c r="F1592" s="204"/>
      <c r="G1592" s="204"/>
      <c r="H1592" s="203"/>
      <c r="I1592" s="204"/>
      <c r="J1592" s="204"/>
      <c r="K1592" s="87"/>
      <c r="L1592" s="293"/>
    </row>
    <row r="1593" spans="1:12">
      <c r="K1593" s="116"/>
      <c r="L1593" s="293"/>
    </row>
    <row r="1594" spans="1:12">
      <c r="K1594" s="116"/>
      <c r="L1594" s="293"/>
    </row>
  </sheetData>
  <mergeCells count="96">
    <mergeCell ref="F1587:J1587"/>
    <mergeCell ref="F1549:J1549"/>
    <mergeCell ref="F1411:J1411"/>
    <mergeCell ref="F1495:J1495"/>
    <mergeCell ref="F1457:J1457"/>
    <mergeCell ref="F1541:J1541"/>
    <mergeCell ref="F1503:J1503"/>
    <mergeCell ref="F1449:J1449"/>
    <mergeCell ref="F1311:J1311"/>
    <mergeCell ref="F1357:J1357"/>
    <mergeCell ref="F1319:J1319"/>
    <mergeCell ref="F1403:J1403"/>
    <mergeCell ref="F1365:J1365"/>
    <mergeCell ref="F1273:J1273"/>
    <mergeCell ref="F1059:J1059"/>
    <mergeCell ref="F1099:J1099"/>
    <mergeCell ref="F1067:J1067"/>
    <mergeCell ref="F1139:J1139"/>
    <mergeCell ref="F1107:J1107"/>
    <mergeCell ref="F1147:J1147"/>
    <mergeCell ref="F1179:J1179"/>
    <mergeCell ref="F1219:J1219"/>
    <mergeCell ref="F1187:J1187"/>
    <mergeCell ref="F1265:J1265"/>
    <mergeCell ref="F1227:J1227"/>
    <mergeCell ref="F1032:J1032"/>
    <mergeCell ref="F894:J894"/>
    <mergeCell ref="F877:J877"/>
    <mergeCell ref="F919:J919"/>
    <mergeCell ref="F902:J902"/>
    <mergeCell ref="F927:J927"/>
    <mergeCell ref="F954:J954"/>
    <mergeCell ref="F989:J989"/>
    <mergeCell ref="F962:J962"/>
    <mergeCell ref="F1024:J1024"/>
    <mergeCell ref="F997:J997"/>
    <mergeCell ref="F826:J826"/>
    <mergeCell ref="F809:J809"/>
    <mergeCell ref="F846:J846"/>
    <mergeCell ref="F834:J834"/>
    <mergeCell ref="F869:J869"/>
    <mergeCell ref="F854:J854"/>
    <mergeCell ref="F753:J753"/>
    <mergeCell ref="F741:J741"/>
    <mergeCell ref="F776:J776"/>
    <mergeCell ref="F761:J761"/>
    <mergeCell ref="F801:J801"/>
    <mergeCell ref="F784:J784"/>
    <mergeCell ref="F655:J655"/>
    <mergeCell ref="F624:J624"/>
    <mergeCell ref="F694:J694"/>
    <mergeCell ref="F663:J663"/>
    <mergeCell ref="F733:J733"/>
    <mergeCell ref="F702:J702"/>
    <mergeCell ref="F107:J107"/>
    <mergeCell ref="F213:J213"/>
    <mergeCell ref="F261:J261"/>
    <mergeCell ref="F241:J241"/>
    <mergeCell ref="F289:J289"/>
    <mergeCell ref="F269:J269"/>
    <mergeCell ref="F115:J115"/>
    <mergeCell ref="F129:J129"/>
    <mergeCell ref="F153:J153"/>
    <mergeCell ref="F137:J137"/>
    <mergeCell ref="F177:J177"/>
    <mergeCell ref="F161:J161"/>
    <mergeCell ref="F205:J205"/>
    <mergeCell ref="F185:J185"/>
    <mergeCell ref="F233:J233"/>
    <mergeCell ref="F7:J7"/>
    <mergeCell ref="F18:J18"/>
    <mergeCell ref="F26:J26"/>
    <mergeCell ref="F40:J40"/>
    <mergeCell ref="F96:J96"/>
    <mergeCell ref="F48:J48"/>
    <mergeCell ref="F64:J64"/>
    <mergeCell ref="F72:J72"/>
    <mergeCell ref="F88:J88"/>
    <mergeCell ref="F468:J468"/>
    <mergeCell ref="F421:J421"/>
    <mergeCell ref="F396:J396"/>
    <mergeCell ref="F460:J460"/>
    <mergeCell ref="F429:J429"/>
    <mergeCell ref="F297:J297"/>
    <mergeCell ref="F355:J355"/>
    <mergeCell ref="F330:J330"/>
    <mergeCell ref="F388:J388"/>
    <mergeCell ref="F363:J363"/>
    <mergeCell ref="F322:J322"/>
    <mergeCell ref="F616:J616"/>
    <mergeCell ref="F585:J585"/>
    <mergeCell ref="F499:J499"/>
    <mergeCell ref="F538:J538"/>
    <mergeCell ref="F507:J507"/>
    <mergeCell ref="F546:J546"/>
    <mergeCell ref="F577:J577"/>
  </mergeCells>
  <pageMargins left="0.59055118110236204" right="0.15748031496063" top="0.59055118110236204" bottom="0.15748031496063" header="0.31496062992126" footer="0.31496062992126"/>
  <pageSetup paperSize="9" scale="95" orientation="portrait" blackAndWhite="1" r:id="rId1"/>
  <rowBreaks count="19" manualBreakCount="19">
    <brk id="212" max="10" man="1"/>
    <brk id="267" max="10" man="1"/>
    <brk id="321" max="10" man="1"/>
    <brk id="374" max="10" man="1"/>
    <brk id="427" max="10" man="1"/>
    <brk id="480" max="10" man="1"/>
    <brk id="536" max="10" man="1"/>
    <brk id="646" max="10" man="1"/>
    <brk id="700" max="10" man="1"/>
    <brk id="752" max="10" man="1"/>
    <brk id="1023" max="10" man="1"/>
    <brk id="1131" max="10" man="1"/>
    <brk id="1185" max="10" man="1"/>
    <brk id="1241" max="10" man="1"/>
    <brk id="1293" max="10" man="1"/>
    <brk id="1347" max="10" man="1"/>
    <brk id="1402" max="10" man="1"/>
    <brk id="1455" max="10" man="1"/>
    <brk id="1563" max="10" man="1"/>
  </rowBreaks>
</worksheet>
</file>

<file path=xl/worksheets/sheet23.xml><?xml version="1.0" encoding="utf-8"?>
<worksheet xmlns="http://schemas.openxmlformats.org/spreadsheetml/2006/main" xmlns:r="http://schemas.openxmlformats.org/officeDocument/2006/relationships">
  <sheetPr codeName="Sheet19">
    <tabColor theme="5" tint="0.59999389629810485"/>
  </sheetPr>
  <dimension ref="A1:AA89"/>
  <sheetViews>
    <sheetView view="pageBreakPreview" zoomScaleSheetLayoutView="100" workbookViewId="0">
      <selection activeCell="P12" sqref="P12"/>
    </sheetView>
  </sheetViews>
  <sheetFormatPr defaultColWidth="7.7109375" defaultRowHeight="15"/>
  <cols>
    <col min="1" max="5" width="7.7109375" style="1"/>
    <col min="6" max="10" width="7.7109375" style="1" customWidth="1"/>
    <col min="11" max="15" width="7.7109375" style="1"/>
    <col min="16" max="21" width="7.7109375" style="1" customWidth="1"/>
    <col min="22" max="16384" width="7.7109375" style="7"/>
  </cols>
  <sheetData>
    <row r="1" spans="1:27">
      <c r="A1" s="62" t="s">
        <v>786</v>
      </c>
    </row>
    <row r="2" spans="1:27">
      <c r="A2" s="224"/>
      <c r="B2" s="224"/>
      <c r="I2" s="224"/>
      <c r="J2" s="224"/>
      <c r="K2" s="224"/>
    </row>
    <row r="3" spans="1:27">
      <c r="A3" s="224"/>
      <c r="B3" s="224"/>
      <c r="I3" s="224"/>
      <c r="J3" s="224"/>
      <c r="K3" s="224"/>
    </row>
    <row r="4" spans="1:27">
      <c r="A4" s="224"/>
      <c r="B4" s="224"/>
      <c r="H4" s="1176" t="s">
        <v>1576</v>
      </c>
      <c r="I4" s="1174"/>
      <c r="J4" s="1175"/>
      <c r="K4" s="224"/>
    </row>
    <row r="5" spans="1:27" ht="18.75">
      <c r="A5" s="224"/>
      <c r="B5" s="224"/>
      <c r="H5" s="1104" t="s">
        <v>73</v>
      </c>
      <c r="I5" s="492" t="s">
        <v>26</v>
      </c>
      <c r="J5" s="153" t="s">
        <v>51</v>
      </c>
      <c r="L5" s="1" t="s">
        <v>672</v>
      </c>
      <c r="M5" s="1" t="s">
        <v>670</v>
      </c>
      <c r="N5" s="493" t="s">
        <v>1</v>
      </c>
      <c r="O5" s="528"/>
      <c r="P5" s="254">
        <f>SUMPRODUCT(I6:I12,I6:I12)</f>
        <v>19.440000000000005</v>
      </c>
      <c r="Q5" s="1" t="s">
        <v>458</v>
      </c>
    </row>
    <row r="6" spans="1:27" ht="18.75">
      <c r="B6" s="1119">
        <f>'3.4_LC_sum'!C7</f>
        <v>0.75</v>
      </c>
      <c r="C6" s="63">
        <f>'3.4_LC_sum'!D7</f>
        <v>3.6</v>
      </c>
      <c r="E6" s="224"/>
      <c r="H6" s="1110">
        <v>1</v>
      </c>
      <c r="I6" s="1110">
        <f>'3.4_LC_sum'!K8</f>
        <v>-1.8</v>
      </c>
      <c r="J6" s="1110">
        <f>'3.4_LC_sum'!L8</f>
        <v>-3.6</v>
      </c>
      <c r="L6" s="1" t="s">
        <v>673</v>
      </c>
      <c r="M6" s="1" t="s">
        <v>671</v>
      </c>
      <c r="N6" s="493" t="s">
        <v>1</v>
      </c>
      <c r="O6" s="528"/>
      <c r="P6" s="254">
        <f>SUMPRODUCT(J6:J12,J6:J12)</f>
        <v>51.84</v>
      </c>
      <c r="Q6" s="1" t="s">
        <v>458</v>
      </c>
      <c r="X6" s="1"/>
    </row>
    <row r="7" spans="1:27">
      <c r="E7" s="224"/>
      <c r="H7" s="1111">
        <v>2</v>
      </c>
      <c r="I7" s="1111">
        <f>'3.4_LC_sum'!K9</f>
        <v>-1.8</v>
      </c>
      <c r="J7" s="1111">
        <f>'3.4_LC_sum'!L9</f>
        <v>0</v>
      </c>
      <c r="X7" s="1"/>
      <c r="Y7" s="1"/>
      <c r="Z7" s="1"/>
      <c r="AA7" s="1"/>
    </row>
    <row r="8" spans="1:27">
      <c r="E8" s="1001">
        <f>'3.4_LC_sum'!F9</f>
        <v>0.75</v>
      </c>
      <c r="H8" s="1111">
        <v>3</v>
      </c>
      <c r="I8" s="1111">
        <f>'3.4_LC_sum'!K10</f>
        <v>-1.8</v>
      </c>
      <c r="J8" s="1111">
        <f>'3.4_LC_sum'!L10</f>
        <v>3.6</v>
      </c>
      <c r="M8" s="1" t="s">
        <v>598</v>
      </c>
      <c r="N8" s="493" t="s">
        <v>1</v>
      </c>
      <c r="O8" s="528"/>
      <c r="P8" s="4">
        <v>6</v>
      </c>
      <c r="Q8" s="1" t="s">
        <v>16</v>
      </c>
      <c r="X8" s="1"/>
      <c r="AA8" s="1"/>
    </row>
    <row r="9" spans="1:27">
      <c r="E9" s="224"/>
      <c r="H9" s="1111">
        <v>4</v>
      </c>
      <c r="I9" s="1111">
        <f>'3.4_LC_sum'!K11</f>
        <v>1.8</v>
      </c>
      <c r="J9" s="1111">
        <f>'3.4_LC_sum'!L11</f>
        <v>-3.6</v>
      </c>
      <c r="X9" s="1"/>
      <c r="AA9" s="1"/>
    </row>
    <row r="10" spans="1:27">
      <c r="E10" s="224"/>
      <c r="H10" s="1111">
        <v>5</v>
      </c>
      <c r="I10" s="1111">
        <f>'3.4_LC_sum'!K12</f>
        <v>1.8</v>
      </c>
      <c r="J10" s="1111">
        <f>'3.4_LC_sum'!L12</f>
        <v>0</v>
      </c>
      <c r="X10" s="1"/>
      <c r="AA10" s="1"/>
    </row>
    <row r="11" spans="1:27">
      <c r="E11" s="1000">
        <f>'3.4_LC_sum'!F17</f>
        <v>3.6</v>
      </c>
      <c r="H11" s="1111">
        <v>6</v>
      </c>
      <c r="I11" s="1111">
        <f>'3.4_LC_sum'!K13</f>
        <v>1.8</v>
      </c>
      <c r="J11" s="1111">
        <f>'3.4_LC_sum'!L13</f>
        <v>3.6</v>
      </c>
      <c r="X11" s="1"/>
      <c r="AA11" s="1"/>
    </row>
    <row r="12" spans="1:27">
      <c r="E12" s="224"/>
      <c r="H12" s="1107"/>
      <c r="I12" s="1107"/>
      <c r="J12" s="1107"/>
      <c r="X12" s="1"/>
      <c r="AA12" s="1"/>
    </row>
    <row r="13" spans="1:27">
      <c r="E13" s="224"/>
      <c r="X13" s="1"/>
      <c r="AA13" s="1"/>
    </row>
    <row r="14" spans="1:27">
      <c r="E14" s="224"/>
      <c r="F14" s="1102">
        <f>'3.4_LC_sum'!G15</f>
        <v>8.6999999999999993</v>
      </c>
      <c r="X14" s="1"/>
      <c r="AA14" s="1"/>
    </row>
    <row r="15" spans="1:27">
      <c r="E15" s="224"/>
      <c r="I15" s="78"/>
      <c r="X15" s="1"/>
      <c r="AA15" s="1"/>
    </row>
    <row r="16" spans="1:27">
      <c r="E16" s="224">
        <f>E11</f>
        <v>3.6</v>
      </c>
      <c r="I16" s="1" t="s">
        <v>788</v>
      </c>
      <c r="AA16" s="1"/>
    </row>
    <row r="17" spans="1:27">
      <c r="E17" s="224"/>
      <c r="I17" s="23" t="s">
        <v>677</v>
      </c>
      <c r="J17" s="24"/>
      <c r="K17" s="24"/>
      <c r="L17" s="24"/>
      <c r="M17" s="618">
        <f>MAX(K31:P89)</f>
        <v>414.03021879539438</v>
      </c>
      <c r="N17" s="21" t="s">
        <v>34</v>
      </c>
      <c r="AA17" s="1"/>
    </row>
    <row r="18" spans="1:27">
      <c r="E18" s="224"/>
      <c r="F18" s="224"/>
      <c r="I18" s="25" t="s">
        <v>678</v>
      </c>
      <c r="J18" s="26"/>
      <c r="K18" s="26"/>
      <c r="L18" s="26"/>
      <c r="M18" s="194">
        <f>MIN(K31:P89)</f>
        <v>35.912191168183313</v>
      </c>
      <c r="N18" s="27" t="s">
        <v>34</v>
      </c>
      <c r="AA18" s="1"/>
    </row>
    <row r="19" spans="1:27">
      <c r="E19" s="224">
        <f>E8</f>
        <v>0.75</v>
      </c>
      <c r="F19" s="224"/>
      <c r="I19" s="25" t="s">
        <v>680</v>
      </c>
      <c r="J19" s="26"/>
      <c r="K19" s="26"/>
      <c r="L19" s="26"/>
      <c r="M19" s="194">
        <f>MAX(Q31:Q89)</f>
        <v>45.709523992696255</v>
      </c>
      <c r="N19" s="27" t="s">
        <v>34</v>
      </c>
      <c r="AA19" s="1"/>
    </row>
    <row r="20" spans="1:27">
      <c r="E20" s="224"/>
      <c r="F20" s="224"/>
      <c r="I20" s="28"/>
      <c r="J20" s="15"/>
      <c r="K20" s="15"/>
      <c r="L20" s="15"/>
      <c r="M20" s="28"/>
      <c r="N20" s="22"/>
      <c r="AA20" s="1"/>
    </row>
    <row r="21" spans="1:27">
      <c r="C21" s="1000">
        <f>'3.4_LC_sum'!D23</f>
        <v>5.0999999999999996</v>
      </c>
      <c r="E21" s="224"/>
      <c r="F21" s="224"/>
      <c r="AA21" s="1"/>
    </row>
    <row r="22" spans="1:27">
      <c r="E22" s="224"/>
      <c r="F22" s="224"/>
      <c r="X22" s="1"/>
      <c r="AA22" s="1"/>
    </row>
    <row r="23" spans="1:27">
      <c r="A23" s="78"/>
      <c r="M23" s="7"/>
      <c r="AA23" s="1"/>
    </row>
    <row r="24" spans="1:27">
      <c r="A24" s="62" t="s">
        <v>786</v>
      </c>
      <c r="H24" s="224"/>
      <c r="I24" s="224"/>
      <c r="J24" s="224"/>
      <c r="R24" s="11"/>
    </row>
    <row r="25" spans="1:27" ht="15" customHeight="1">
      <c r="A25" s="249" t="s">
        <v>213</v>
      </c>
      <c r="B25" s="229"/>
      <c r="C25" s="229"/>
      <c r="D25" s="229"/>
      <c r="E25" s="230"/>
      <c r="F25" s="229"/>
      <c r="G25" s="230"/>
      <c r="H25" s="230"/>
      <c r="I25" s="230"/>
      <c r="J25" s="231"/>
      <c r="K25" s="483"/>
      <c r="L25" s="489"/>
      <c r="M25" s="489"/>
      <c r="N25" s="489"/>
      <c r="O25" s="489"/>
      <c r="P25" s="489"/>
      <c r="Q25" s="484"/>
      <c r="R25" s="11"/>
      <c r="T25" s="7"/>
    </row>
    <row r="26" spans="1:27" ht="15" customHeight="1">
      <c r="A26" s="233"/>
      <c r="B26" s="234"/>
      <c r="C26" s="234"/>
      <c r="D26" s="234"/>
      <c r="E26" s="234"/>
      <c r="F26" s="235"/>
      <c r="G26" s="235"/>
      <c r="H26" s="235"/>
      <c r="I26" s="235"/>
      <c r="J26" s="236"/>
      <c r="K26" s="485"/>
      <c r="L26" s="490"/>
      <c r="M26" s="490"/>
      <c r="N26" s="490"/>
      <c r="O26" s="490"/>
      <c r="P26" s="490"/>
      <c r="Q26" s="486"/>
      <c r="R26" s="11"/>
      <c r="T26" s="7"/>
    </row>
    <row r="27" spans="1:27">
      <c r="A27" s="245"/>
      <c r="B27" s="239"/>
      <c r="C27" s="239"/>
      <c r="D27" s="239"/>
      <c r="E27" s="239"/>
      <c r="F27" s="240"/>
      <c r="G27" s="240"/>
      <c r="H27" s="240"/>
      <c r="I27" s="240"/>
      <c r="J27" s="241"/>
      <c r="K27" s="487"/>
      <c r="L27" s="491"/>
      <c r="M27" s="491"/>
      <c r="N27" s="491"/>
      <c r="O27" s="491"/>
      <c r="P27" s="491"/>
      <c r="Q27" s="488"/>
      <c r="R27" s="11"/>
      <c r="T27" s="7"/>
    </row>
    <row r="28" spans="1:27">
      <c r="A28" s="228" t="s">
        <v>73</v>
      </c>
      <c r="B28" s="228" t="s">
        <v>74</v>
      </c>
      <c r="C28" s="229"/>
      <c r="D28" s="229"/>
      <c r="E28" s="232"/>
      <c r="F28" s="1641" t="s">
        <v>781</v>
      </c>
      <c r="G28" s="1642"/>
      <c r="H28" s="1642"/>
      <c r="I28" s="1642"/>
      <c r="J28" s="1643"/>
      <c r="K28" s="1644" t="s">
        <v>675</v>
      </c>
      <c r="L28" s="1645"/>
      <c r="M28" s="1645"/>
      <c r="N28" s="1646"/>
      <c r="O28" s="1106"/>
      <c r="P28" s="550"/>
      <c r="Q28" s="1653" t="s">
        <v>679</v>
      </c>
      <c r="R28" s="11"/>
      <c r="T28" s="7"/>
    </row>
    <row r="29" spans="1:27" ht="18">
      <c r="A29" s="237"/>
      <c r="B29" s="237"/>
      <c r="C29" s="234"/>
      <c r="D29" s="234"/>
      <c r="E29" s="234"/>
      <c r="F29" s="247" t="s">
        <v>23</v>
      </c>
      <c r="G29" s="248" t="s">
        <v>234</v>
      </c>
      <c r="H29" s="247" t="s">
        <v>235</v>
      </c>
      <c r="I29" s="248" t="s">
        <v>236</v>
      </c>
      <c r="J29" s="247" t="s">
        <v>237</v>
      </c>
      <c r="K29" s="242">
        <v>1</v>
      </c>
      <c r="L29" s="257">
        <v>2</v>
      </c>
      <c r="M29" s="242">
        <v>3</v>
      </c>
      <c r="N29" s="243">
        <v>4</v>
      </c>
      <c r="O29" s="258">
        <v>5</v>
      </c>
      <c r="P29" s="243">
        <v>6</v>
      </c>
      <c r="Q29" s="1654"/>
      <c r="R29" s="11"/>
      <c r="T29" s="7"/>
    </row>
    <row r="30" spans="1:27">
      <c r="A30" s="411"/>
      <c r="B30" s="245"/>
      <c r="C30" s="239"/>
      <c r="D30" s="239"/>
      <c r="E30" s="239"/>
      <c r="F30" s="250" t="s">
        <v>34</v>
      </c>
      <c r="G30" s="251" t="s">
        <v>34</v>
      </c>
      <c r="H30" s="250" t="s">
        <v>34</v>
      </c>
      <c r="I30" s="251" t="s">
        <v>77</v>
      </c>
      <c r="J30" s="250" t="s">
        <v>77</v>
      </c>
      <c r="K30" s="242" t="s">
        <v>34</v>
      </c>
      <c r="L30" s="242" t="s">
        <v>34</v>
      </c>
      <c r="M30" s="242" t="s">
        <v>34</v>
      </c>
      <c r="N30" s="242" t="s">
        <v>34</v>
      </c>
      <c r="O30" s="242"/>
      <c r="P30" s="242"/>
      <c r="Q30" s="242" t="s">
        <v>34</v>
      </c>
      <c r="R30" s="11"/>
      <c r="T30" s="7"/>
    </row>
    <row r="31" spans="1:27" ht="15" customHeight="1">
      <c r="A31" s="112" t="str">
        <f>'3.4D_LC'!A22</f>
        <v>LC-1</v>
      </c>
      <c r="B31" s="112" t="str">
        <f>'3.4D_LC'!B22</f>
        <v>NS LWL Span dislodge case Comb-1</v>
      </c>
      <c r="C31" s="11"/>
      <c r="D31" s="11"/>
      <c r="E31" s="191"/>
      <c r="F31" s="112">
        <f>'3.4D_LC'!F22</f>
        <v>962.48653816786953</v>
      </c>
      <c r="G31" s="112">
        <f>'3.4D_LC'!G22</f>
        <v>21.9495</v>
      </c>
      <c r="H31" s="112">
        <f>'3.4D_LC'!H22</f>
        <v>0</v>
      </c>
      <c r="I31" s="112">
        <f>'3.4D_LC'!I22</f>
        <v>381.07173499999999</v>
      </c>
      <c r="J31" s="112">
        <f>'3.4D_LC'!J22</f>
        <v>0</v>
      </c>
      <c r="K31" s="226">
        <f>$F31/$P$8+$I31*$I$6/$P$5+$J31*$J$6/$P$6</f>
        <v>125.13000312057085</v>
      </c>
      <c r="L31" s="226">
        <f>$F31/$P$8+$I31*$I$7/$P$5+$J31*$J$7/$P$6</f>
        <v>125.13000312057085</v>
      </c>
      <c r="M31" s="226">
        <f>$F31/$P$8+$I31*$I$8/$P$5+$J31*$J$8/$P$6</f>
        <v>125.13000312057085</v>
      </c>
      <c r="N31" s="1109">
        <f>$F31/$P$8+$I31*$I$9/$P$5+$J31*$J$9/$P$6</f>
        <v>195.69884293538564</v>
      </c>
      <c r="O31" s="255">
        <f>$F31/$P$8+$I31*$I$10/$P$5+$J31*$J$10/$P$6</f>
        <v>195.69884293538564</v>
      </c>
      <c r="P31" s="226">
        <f>$F31/$P$8+$I31*$I$11/$P$5+$J31*$J$11/$P$6</f>
        <v>195.69884293538564</v>
      </c>
      <c r="Q31" s="196">
        <f>SQRT(G31^2+H31^2)/$P$8</f>
        <v>3.6582500000000002</v>
      </c>
      <c r="R31" s="11"/>
      <c r="T31" s="7"/>
    </row>
    <row r="32" spans="1:27">
      <c r="A32" s="112" t="str">
        <f>'3.4D_LC'!A44</f>
        <v>LC-2</v>
      </c>
      <c r="B32" s="112" t="str">
        <f>'3.4D_LC'!B44</f>
        <v>NS LWL No Live load  Comb-1</v>
      </c>
      <c r="C32" s="11"/>
      <c r="D32" s="11"/>
      <c r="E32" s="191"/>
      <c r="F32" s="112">
        <f>'3.4D_LC'!F44</f>
        <v>1349.3135381678696</v>
      </c>
      <c r="G32" s="112">
        <f>'3.4D_LC'!G44</f>
        <v>8.7798000000000016</v>
      </c>
      <c r="H32" s="112">
        <f>'3.4D_LC'!H44</f>
        <v>0</v>
      </c>
      <c r="I32" s="112">
        <f>'3.4D_LC'!I44</f>
        <v>78.640144000000021</v>
      </c>
      <c r="J32" s="112">
        <f>'3.4D_LC'!J44</f>
        <v>0</v>
      </c>
      <c r="K32" s="226">
        <f>$F32/$P$8+$I32*$I$6/$P$5+$J32*$J$6/$P$6</f>
        <v>217.60409487983014</v>
      </c>
      <c r="L32" s="226">
        <f>$F32/$P$8+$I32*$I$7/$P$5+$J32*$J$7/$P$6</f>
        <v>217.60409487983014</v>
      </c>
      <c r="M32" s="226">
        <f>$F32/$P$8+$I32*$I$8/$P$5+$J32*$J$8/$P$6</f>
        <v>217.60409487983014</v>
      </c>
      <c r="N32" s="226">
        <f>$F32/$P$8+$I32*$I$9/$P$5+$J32*$J$9/$P$6</f>
        <v>232.16708450945976</v>
      </c>
      <c r="O32" s="255">
        <f t="shared" ref="O32:O89" si="0">$F32/$P$8+$I32*$I$10/$P$5+$J32*$J$10/$P$6</f>
        <v>232.16708450945976</v>
      </c>
      <c r="P32" s="226">
        <f t="shared" ref="P32:P89" si="1">$F32/$P$8+$I32*$I$11/$P$5+$J32*$J$11/$P$6</f>
        <v>232.16708450945976</v>
      </c>
      <c r="Q32" s="196">
        <f>SQRT(G32^2+H32^2)/$P$8</f>
        <v>1.4633000000000003</v>
      </c>
      <c r="T32" s="7"/>
    </row>
    <row r="33" spans="1:20">
      <c r="A33" s="112" t="str">
        <f>'3.4D_LC'!A68</f>
        <v>LC-3</v>
      </c>
      <c r="B33" s="112" t="str">
        <f>'3.4D_LC'!B68</f>
        <v>NS LWL With LL max reaction case  Comb-1</v>
      </c>
      <c r="C33" s="11"/>
      <c r="D33" s="11"/>
      <c r="E33" s="191"/>
      <c r="F33" s="112">
        <f>'3.4D_LC'!F68</f>
        <v>1559.8321095964411</v>
      </c>
      <c r="G33" s="112">
        <f>'3.4D_LC'!G68</f>
        <v>48.076916571428576</v>
      </c>
      <c r="H33" s="112">
        <f>'3.4D_LC'!H68</f>
        <v>0</v>
      </c>
      <c r="I33" s="112">
        <f>'3.4D_LC'!I68</f>
        <v>411.53895492571434</v>
      </c>
      <c r="J33" s="112">
        <f>'3.4D_LC'!J68</f>
        <v>-32.649344208494199</v>
      </c>
      <c r="K33" s="226">
        <f>$F33/$P$8+$I33*$I$6/$P$5+$J33*$J$6/$P$6</f>
        <v>224.13387504668987</v>
      </c>
      <c r="L33" s="226">
        <f>$F33/$P$8+$I33*$I$7/$P$5+$J33*$J$7/$P$6</f>
        <v>221.86655947665554</v>
      </c>
      <c r="M33" s="226">
        <f>$F33/$P$8+$I33*$I$8/$P$5+$J33*$J$8/$P$6</f>
        <v>219.59924390662121</v>
      </c>
      <c r="N33" s="226">
        <f>$F33/$P$8+$I33*$I$9/$P$5+$J33*$J$9/$P$6</f>
        <v>300.34479262552583</v>
      </c>
      <c r="O33" s="255">
        <f t="shared" si="0"/>
        <v>298.0774770554915</v>
      </c>
      <c r="P33" s="226">
        <f t="shared" si="1"/>
        <v>295.81016148545717</v>
      </c>
      <c r="Q33" s="196">
        <f>SQRT(G33^2+H33^2)/$P$8</f>
        <v>8.0128194285714294</v>
      </c>
      <c r="T33" s="7"/>
    </row>
    <row r="34" spans="1:20">
      <c r="A34" s="112" t="str">
        <f>'3.4D_LC'!A92</f>
        <v>LC-4</v>
      </c>
      <c r="B34" s="112" t="str">
        <f>'3.4D_LC'!B92</f>
        <v>NS LWL With LL max moment case  Comb-1</v>
      </c>
      <c r="C34" s="11"/>
      <c r="D34" s="11"/>
      <c r="E34" s="191"/>
      <c r="F34" s="112">
        <f>'3.4D_LC'!F92</f>
        <v>1541.1627667392981</v>
      </c>
      <c r="G34" s="112">
        <f>'3.4D_LC'!G92</f>
        <v>44.997338571428571</v>
      </c>
      <c r="H34" s="112">
        <f>'3.4D_LC'!H92</f>
        <v>0</v>
      </c>
      <c r="I34" s="112">
        <f>'3.4D_LC'!I92</f>
        <v>474.44597765714292</v>
      </c>
      <c r="J34" s="112">
        <f>'3.4D_LC'!J92</f>
        <v>-29.753914142857134</v>
      </c>
      <c r="K34" s="226">
        <f>$F34/$P$8+$I34*$I$6/$P$5+$J34*$J$6/$P$6</f>
        <v>214.99652204451266</v>
      </c>
      <c r="L34" s="226">
        <f>$F34/$P$8+$I34*$I$7/$P$5+$J34*$J$7/$P$6</f>
        <v>212.93027800681423</v>
      </c>
      <c r="M34" s="226">
        <f>$F34/$P$8+$I34*$I$8/$P$5+$J34*$J$8/$P$6</f>
        <v>210.86403396911581</v>
      </c>
      <c r="N34" s="226">
        <f>$F34/$P$8+$I34*$I$9/$P$5+$J34*$J$9/$P$6</f>
        <v>302.8568882773169</v>
      </c>
      <c r="O34" s="255">
        <f t="shared" si="0"/>
        <v>300.79064423961847</v>
      </c>
      <c r="P34" s="226">
        <f t="shared" si="1"/>
        <v>298.72440020192005</v>
      </c>
      <c r="Q34" s="196">
        <f>SQRT(G34^2+H34^2)/$P$8</f>
        <v>7.4995564285714282</v>
      </c>
      <c r="T34" s="7"/>
    </row>
    <row r="35" spans="1:20">
      <c r="A35" s="112"/>
      <c r="B35" s="112"/>
      <c r="C35" s="11"/>
      <c r="D35" s="11"/>
      <c r="E35" s="11"/>
      <c r="F35" s="112"/>
      <c r="G35" s="112"/>
      <c r="H35" s="112"/>
      <c r="I35" s="112"/>
      <c r="J35" s="112"/>
      <c r="K35" s="226"/>
      <c r="L35" s="226"/>
      <c r="M35" s="226"/>
      <c r="N35" s="226"/>
      <c r="O35" s="255"/>
      <c r="P35" s="226"/>
      <c r="Q35" s="196"/>
      <c r="T35" s="7"/>
    </row>
    <row r="36" spans="1:20" ht="15" customHeight="1">
      <c r="A36" s="112" t="str">
        <f>'3.4D_LC'!A111</f>
        <v>LC-5</v>
      </c>
      <c r="B36" s="112" t="str">
        <f>'3.4D_LC'!B111</f>
        <v>NS LWL Span dislodge case Comb-2</v>
      </c>
      <c r="C36" s="11"/>
      <c r="D36" s="11"/>
      <c r="E36" s="191"/>
      <c r="F36" s="112">
        <f>'3.4D_LC'!F111</f>
        <v>694.38706530953289</v>
      </c>
      <c r="G36" s="112">
        <f>'3.4D_LC'!G111</f>
        <v>19.0229</v>
      </c>
      <c r="H36" s="112">
        <f>'3.4D_LC'!H111</f>
        <v>0</v>
      </c>
      <c r="I36" s="112">
        <f>'3.4D_LC'!I111</f>
        <v>297.69811200000004</v>
      </c>
      <c r="J36" s="112">
        <f>'3.4D_LC'!J111</f>
        <v>0</v>
      </c>
      <c r="K36" s="226">
        <f>$F36/$P$8+$I36*$I$6/$P$5+$J36*$J$6/$P$6</f>
        <v>88.166537551588817</v>
      </c>
      <c r="L36" s="226">
        <f>$F36/$P$8+$I36*$I$7/$P$5+$J36*$J$7/$P$6</f>
        <v>88.166537551588817</v>
      </c>
      <c r="M36" s="226">
        <f>$F36/$P$8+$I36*$I$8/$P$5+$J36*$J$8/$P$6</f>
        <v>88.166537551588817</v>
      </c>
      <c r="N36" s="226">
        <f>$F36/$P$8+$I36*$I$9/$P$5+$J36*$J$9/$P$6</f>
        <v>143.29581755158881</v>
      </c>
      <c r="O36" s="255">
        <f t="shared" si="0"/>
        <v>143.29581755158881</v>
      </c>
      <c r="P36" s="226">
        <f t="shared" si="1"/>
        <v>143.29581755158881</v>
      </c>
      <c r="Q36" s="196">
        <f>SQRT(G36^2+H36^2)/$P$8</f>
        <v>3.1704833333333333</v>
      </c>
      <c r="T36" s="7"/>
    </row>
    <row r="37" spans="1:20">
      <c r="A37" s="112" t="str">
        <f>'3.4D_LC'!A133</f>
        <v>LC-6</v>
      </c>
      <c r="B37" s="112" t="str">
        <f>'3.4D_LC'!B133</f>
        <v>NS LWL No Live load  Comb-2</v>
      </c>
      <c r="C37" s="11"/>
      <c r="D37" s="11"/>
      <c r="E37" s="191"/>
      <c r="F37" s="112">
        <f>'3.4D_LC'!F133</f>
        <v>987.04706530953285</v>
      </c>
      <c r="G37" s="112">
        <f>'3.4D_LC'!G133</f>
        <v>7.6091600000000019</v>
      </c>
      <c r="H37" s="112">
        <f>'3.4D_LC'!H133</f>
        <v>0</v>
      </c>
      <c r="I37" s="112">
        <f>'3.4D_LC'!I133</f>
        <v>63.003844800000024</v>
      </c>
      <c r="J37" s="112">
        <f>'3.4D_LC'!J133</f>
        <v>0</v>
      </c>
      <c r="K37" s="226">
        <f>$F37/$P$8+$I37*$I$6/$P$5+$J37*$J$6/$P$6</f>
        <v>158.67415488492216</v>
      </c>
      <c r="L37" s="226">
        <f>$F37/$P$8+$I37*$I$7/$P$5+$J37*$J$7/$P$6</f>
        <v>158.67415488492216</v>
      </c>
      <c r="M37" s="226">
        <f>$F37/$P$8+$I37*$I$8/$P$5+$J37*$J$8/$P$6</f>
        <v>158.67415488492216</v>
      </c>
      <c r="N37" s="226">
        <f>$F37/$P$8+$I37*$I$9/$P$5+$J37*$J$9/$P$6</f>
        <v>170.34153355158881</v>
      </c>
      <c r="O37" s="255">
        <f t="shared" si="0"/>
        <v>170.34153355158881</v>
      </c>
      <c r="P37" s="226">
        <f t="shared" si="1"/>
        <v>170.34153355158881</v>
      </c>
      <c r="Q37" s="196">
        <f>SQRT(G37^2+H37^2)/$P$8</f>
        <v>1.2681933333333337</v>
      </c>
      <c r="T37" s="7"/>
    </row>
    <row r="38" spans="1:20">
      <c r="A38" s="112" t="str">
        <f>'3.4D_LC'!A157</f>
        <v>LC-7</v>
      </c>
      <c r="B38" s="112" t="str">
        <f>'3.4D_LC'!B157</f>
        <v>NS LWL With LL max reaction case  Comb-2</v>
      </c>
      <c r="C38" s="11"/>
      <c r="D38" s="11"/>
      <c r="E38" s="191"/>
      <c r="F38" s="112">
        <f>'3.4D_LC'!F157</f>
        <v>1169.4964938809615</v>
      </c>
      <c r="G38" s="112">
        <f>'3.4D_LC'!G157</f>
        <v>41.666661028571433</v>
      </c>
      <c r="H38" s="112">
        <f>'3.4D_LC'!H157</f>
        <v>0</v>
      </c>
      <c r="I38" s="112">
        <f>'3.4D_LC'!I157</f>
        <v>351.51614760228586</v>
      </c>
      <c r="J38" s="112">
        <f>'3.4D_LC'!J157</f>
        <v>-28.296098314028306</v>
      </c>
      <c r="K38" s="226">
        <f>$F38/$P$8+$I38*$I$6/$P$5+$J38*$J$6/$P$6</f>
        <v>164.33329769620056</v>
      </c>
      <c r="L38" s="226">
        <f>$F38/$P$8+$I38*$I$7/$P$5+$J38*$J$7/$P$6</f>
        <v>162.36829086883748</v>
      </c>
      <c r="M38" s="226">
        <f>$F38/$P$8+$I38*$I$8/$P$5+$J38*$J$8/$P$6</f>
        <v>160.40328404147439</v>
      </c>
      <c r="N38" s="226">
        <f>$F38/$P$8+$I38*$I$9/$P$5+$J38*$J$9/$P$6</f>
        <v>229.42888058551276</v>
      </c>
      <c r="O38" s="255">
        <f t="shared" si="0"/>
        <v>227.46387375814967</v>
      </c>
      <c r="P38" s="226">
        <f t="shared" si="1"/>
        <v>225.49886693078659</v>
      </c>
      <c r="Q38" s="196">
        <f>SQRT(G38^2+H38^2)/$P$8</f>
        <v>6.9444435047619057</v>
      </c>
      <c r="T38" s="7"/>
    </row>
    <row r="39" spans="1:20">
      <c r="A39" s="112" t="str">
        <f>'3.4D_LC'!A181</f>
        <v>LC-8</v>
      </c>
      <c r="B39" s="112" t="str">
        <f>'3.4D_LC'!B181</f>
        <v>NS LWL With LL max moment case  Comb-2</v>
      </c>
      <c r="C39" s="11"/>
      <c r="D39" s="11"/>
      <c r="E39" s="191"/>
      <c r="F39" s="112">
        <f>'3.4D_LC'!F181</f>
        <v>1153.3163967381042</v>
      </c>
      <c r="G39" s="112">
        <f>'3.4D_LC'!G181</f>
        <v>38.997693428571431</v>
      </c>
      <c r="H39" s="112">
        <f>'3.4D_LC'!H181</f>
        <v>0</v>
      </c>
      <c r="I39" s="112">
        <f>'3.4D_LC'!I181</f>
        <v>406.0355673028572</v>
      </c>
      <c r="J39" s="112">
        <f>'3.4D_LC'!J181</f>
        <v>-25.786725590476184</v>
      </c>
      <c r="K39" s="226">
        <f>$F39/$P$8+$I39*$I$6/$P$5+$J39*$J$6/$P$6</f>
        <v>156.41425842764701</v>
      </c>
      <c r="L39" s="226">
        <f>$F39/$P$8+$I39*$I$7/$P$5+$J39*$J$7/$P$6</f>
        <v>154.62351359497507</v>
      </c>
      <c r="M39" s="226">
        <f>$F39/$P$8+$I39*$I$8/$P$5+$J39*$J$8/$P$6</f>
        <v>152.83276876230312</v>
      </c>
      <c r="N39" s="226">
        <f>$F39/$P$8+$I39*$I$9/$P$5+$J39*$J$9/$P$6</f>
        <v>231.60603015039831</v>
      </c>
      <c r="O39" s="255">
        <f t="shared" si="0"/>
        <v>229.81528531772636</v>
      </c>
      <c r="P39" s="226">
        <f t="shared" si="1"/>
        <v>228.02454048505442</v>
      </c>
      <c r="Q39" s="196">
        <f>SQRT(G39^2+H39^2)/$P$8</f>
        <v>6.4996155714285715</v>
      </c>
      <c r="T39" s="7"/>
    </row>
    <row r="40" spans="1:20">
      <c r="A40" s="112"/>
      <c r="B40" s="112"/>
      <c r="C40" s="11"/>
      <c r="D40" s="11"/>
      <c r="E40" s="11"/>
      <c r="F40" s="112"/>
      <c r="G40" s="112"/>
      <c r="H40" s="112"/>
      <c r="I40" s="112"/>
      <c r="J40" s="112"/>
      <c r="K40" s="226"/>
      <c r="L40" s="226"/>
      <c r="M40" s="226"/>
      <c r="N40" s="226"/>
      <c r="O40" s="255"/>
      <c r="P40" s="226"/>
      <c r="Q40" s="196"/>
      <c r="T40" s="7"/>
    </row>
    <row r="41" spans="1:20" ht="15" customHeight="1">
      <c r="A41" s="112" t="str">
        <f>'3.4D_LC'!A209</f>
        <v>LC-9</v>
      </c>
      <c r="B41" s="112" t="str">
        <f>'3.4D_LC'!B209</f>
        <v>LC-1 + Seismic Sx=1,Sz=0.3,Sy=-0.3 (50% seismic)</v>
      </c>
      <c r="C41" s="11"/>
      <c r="D41" s="11"/>
      <c r="E41" s="191"/>
      <c r="F41" s="112">
        <f>'3.4D_LC'!F209</f>
        <v>943.09112032831433</v>
      </c>
      <c r="G41" s="112">
        <f>'3.4D_LC'!G209</f>
        <v>102.19002919777628</v>
      </c>
      <c r="H41" s="112">
        <f>'3.4D_LC'!H209</f>
        <v>16.697126759332882</v>
      </c>
      <c r="I41" s="112">
        <f>'3.4D_LC'!I209</f>
        <v>981.9687105210337</v>
      </c>
      <c r="J41" s="112">
        <f>'3.4D_LC'!J209</f>
        <v>130.58649955963972</v>
      </c>
      <c r="K41" s="226">
        <f>$F41/$P$8+$I41*$I$6/$P$5+$J41*$J$6/$P$6</f>
        <v>57.190317722240977</v>
      </c>
      <c r="L41" s="226">
        <f>$F41/$P$8+$I41*$I$7/$P$5+$J41*$J$7/$P$6</f>
        <v>66.258824636104848</v>
      </c>
      <c r="M41" s="226">
        <f>$F41/$P$8+$I41*$I$8/$P$5+$J41*$J$8/$P$6</f>
        <v>75.327331549968719</v>
      </c>
      <c r="N41" s="226">
        <f>$F41/$P$8+$I41*$I$9/$P$5+$J41*$J$9/$P$6</f>
        <v>239.03637522613604</v>
      </c>
      <c r="O41" s="255">
        <f t="shared" si="0"/>
        <v>248.10488213999992</v>
      </c>
      <c r="P41" s="226">
        <f t="shared" si="1"/>
        <v>257.17338905386379</v>
      </c>
      <c r="Q41" s="196">
        <f>SQRT(G41^2+H41^2)/$P$8</f>
        <v>17.257523407246346</v>
      </c>
      <c r="T41" s="7"/>
    </row>
    <row r="42" spans="1:20">
      <c r="A42" s="112" t="str">
        <f>'3.4D_LC'!A237</f>
        <v>LC-10</v>
      </c>
      <c r="B42" s="112" t="str">
        <f>'3.4D_LC'!B237</f>
        <v>LC-1 + Seismic Sx=0.3,Sz=1,Sy=-0.3 (50% seismic)</v>
      </c>
      <c r="C42" s="11"/>
      <c r="D42" s="11"/>
      <c r="E42" s="191"/>
      <c r="F42" s="112">
        <f>'3.4D_LC'!F237</f>
        <v>943.09112032831433</v>
      </c>
      <c r="G42" s="112">
        <f>'3.4D_LC'!G237</f>
        <v>38.339333759332881</v>
      </c>
      <c r="H42" s="112">
        <f>'3.4D_LC'!H237</f>
        <v>55.65708919777628</v>
      </c>
      <c r="I42" s="112">
        <f>'3.4D_LC'!I237</f>
        <v>492.45417027131003</v>
      </c>
      <c r="J42" s="112">
        <f>'3.4D_LC'!J237</f>
        <v>435.28833186546581</v>
      </c>
      <c r="K42" s="226">
        <f>$F42/$P$8+$I42*$I$6/$P$5+$J42*$J$6/$P$6</f>
        <v>81.355888650051526</v>
      </c>
      <c r="L42" s="226">
        <f>$F42/$P$8+$I42*$I$7/$P$5+$J42*$J$7/$P$6</f>
        <v>111.58424502959777</v>
      </c>
      <c r="M42" s="226">
        <f>$F42/$P$8+$I42*$I$8/$P$5+$J42*$J$8/$P$6</f>
        <v>141.81260140914401</v>
      </c>
      <c r="N42" s="226">
        <f>$F42/$P$8+$I42*$I$9/$P$5+$J42*$J$9/$P$6</f>
        <v>172.5511053669608</v>
      </c>
      <c r="O42" s="255">
        <f t="shared" si="0"/>
        <v>202.77946174650702</v>
      </c>
      <c r="P42" s="226">
        <f t="shared" si="1"/>
        <v>233.00781812605325</v>
      </c>
      <c r="Q42" s="196">
        <f>SQRT(G42^2+H42^2)/$P$8</f>
        <v>11.264023470864549</v>
      </c>
      <c r="T42" s="7"/>
    </row>
    <row r="43" spans="1:20">
      <c r="A43" s="112" t="str">
        <f>'3.4D_LC'!A265</f>
        <v>LC-11</v>
      </c>
      <c r="B43" s="112" t="str">
        <f>'3.4D_LC'!B265</f>
        <v>LC-1 + Seismic Sx=1,Sz=0.3,Sy=0.3 (50% seismic)</v>
      </c>
      <c r="C43" s="11"/>
      <c r="D43" s="11"/>
      <c r="E43" s="191"/>
      <c r="F43" s="112">
        <f>'3.4D_LC'!F265</f>
        <v>965.3539560074247</v>
      </c>
      <c r="G43" s="112">
        <f>'3.4D_LC'!G265</f>
        <v>102.19002919777628</v>
      </c>
      <c r="H43" s="112">
        <f>'3.4D_LC'!H265</f>
        <v>16.697126759332882</v>
      </c>
      <c r="I43" s="112">
        <f>'3.4D_LC'!I265</f>
        <v>988.78187162103359</v>
      </c>
      <c r="J43" s="112">
        <f>'3.4D_LC'!J265</f>
        <v>130.58649955963972</v>
      </c>
      <c r="K43" s="226">
        <f>$F43/$P$8+$I43*$I$6/$P$5+$J43*$J$6/$P$6</f>
        <v>60.269942085426052</v>
      </c>
      <c r="L43" s="226">
        <f>$F43/$P$8+$I43*$I$7/$P$5+$J43*$J$7/$P$6</f>
        <v>69.338448999289923</v>
      </c>
      <c r="M43" s="226">
        <f>$F43/$P$8+$I43*$I$8/$P$5+$J43*$J$8/$P$6</f>
        <v>78.406955913153794</v>
      </c>
      <c r="N43" s="226">
        <f>$F43/$P$8+$I43*$I$9/$P$5+$J43*$J$9/$P$6</f>
        <v>243.37769608932109</v>
      </c>
      <c r="O43" s="255">
        <f t="shared" si="0"/>
        <v>252.44620300318496</v>
      </c>
      <c r="P43" s="226">
        <f t="shared" si="1"/>
        <v>261.51470991704883</v>
      </c>
      <c r="Q43" s="196">
        <f>SQRT(G43^2+H43^2)/$P$8</f>
        <v>17.257523407246346</v>
      </c>
      <c r="T43" s="7"/>
    </row>
    <row r="44" spans="1:20">
      <c r="A44" s="112" t="str">
        <f>'3.4D_LC'!A293</f>
        <v>LC-12</v>
      </c>
      <c r="B44" s="112" t="str">
        <f>'3.4D_LC'!B293</f>
        <v>LC-1 + Seismic Sx=0.3,Sz=1,Sy=0.3 (50% seismic)</v>
      </c>
      <c r="C44" s="11"/>
      <c r="D44" s="11"/>
      <c r="E44" s="191"/>
      <c r="F44" s="112">
        <f>'3.4D_LC'!F293</f>
        <v>965.3539560074247</v>
      </c>
      <c r="G44" s="112">
        <f>'3.4D_LC'!G293</f>
        <v>38.339333759332881</v>
      </c>
      <c r="H44" s="112">
        <f>'3.4D_LC'!H293</f>
        <v>55.65708919777628</v>
      </c>
      <c r="I44" s="112">
        <f>'3.4D_LC'!I293</f>
        <v>499.26733137131004</v>
      </c>
      <c r="J44" s="112">
        <f>'3.4D_LC'!J293</f>
        <v>435.28833186546581</v>
      </c>
      <c r="K44" s="226">
        <f>$F44/$P$8+$I44*$I$6/$P$5+$J44*$J$6/$P$6</f>
        <v>84.435513013236601</v>
      </c>
      <c r="L44" s="226">
        <f>$F44/$P$8+$I44*$I$7/$P$5+$J44*$J$7/$P$6</f>
        <v>114.66386939278283</v>
      </c>
      <c r="M44" s="226">
        <f>$F44/$P$8+$I44*$I$8/$P$5+$J44*$J$8/$P$6</f>
        <v>144.89222577232906</v>
      </c>
      <c r="N44" s="226">
        <f>$F44/$P$8+$I44*$I$9/$P$5+$J44*$J$9/$P$6</f>
        <v>176.89242623014584</v>
      </c>
      <c r="O44" s="255">
        <f t="shared" si="0"/>
        <v>207.12078260969207</v>
      </c>
      <c r="P44" s="226">
        <f t="shared" si="1"/>
        <v>237.3491389892383</v>
      </c>
      <c r="Q44" s="196">
        <f>SQRT(G44^2+H44^2)/$P$8</f>
        <v>11.264023470864549</v>
      </c>
      <c r="T44" s="7"/>
    </row>
    <row r="45" spans="1:20">
      <c r="A45" s="112"/>
      <c r="B45" s="112"/>
      <c r="C45" s="11"/>
      <c r="D45" s="11"/>
      <c r="E45" s="11"/>
      <c r="F45" s="112"/>
      <c r="G45" s="112"/>
      <c r="H45" s="112"/>
      <c r="I45" s="112"/>
      <c r="J45" s="112"/>
      <c r="K45" s="226"/>
      <c r="L45" s="226"/>
      <c r="M45" s="226"/>
      <c r="N45" s="226"/>
      <c r="O45" s="255"/>
      <c r="P45" s="226"/>
      <c r="Q45" s="196"/>
      <c r="T45" s="7"/>
    </row>
    <row r="46" spans="1:20">
      <c r="A46" s="112" t="str">
        <f>'3.4D_LC'!A326</f>
        <v>LC-13</v>
      </c>
      <c r="B46" s="112" t="str">
        <f>'3.4D_LC'!B326</f>
        <v>LC-2 + Seismic Sx=1,Sz=0.3,Sy=-0.3</v>
      </c>
      <c r="C46" s="11"/>
      <c r="D46" s="11"/>
      <c r="E46" s="191"/>
      <c r="F46" s="112">
        <f>'3.4D_LC'!F326</f>
        <v>1312.8274264887593</v>
      </c>
      <c r="G46" s="112">
        <f>'3.4D_LC'!G326</f>
        <v>190.33237839555255</v>
      </c>
      <c r="H46" s="112">
        <f>'3.4D_LC'!H326</f>
        <v>54.729167518665761</v>
      </c>
      <c r="I46" s="112">
        <f>'3.4D_LC'!I326</f>
        <v>1469.983441742067</v>
      </c>
      <c r="J46" s="112">
        <f>'3.4D_LC'!J326</f>
        <v>456.06828243593873</v>
      </c>
      <c r="K46" s="226">
        <f>$F46/$P$8+$I46*$I$6/$P$5+$J46*$J$6/$P$6</f>
        <v>51.0235846398839</v>
      </c>
      <c r="L46" s="226">
        <f>$F46/$P$8+$I46*$I$7/$P$5+$J46*$J$7/$P$6</f>
        <v>82.694993142379644</v>
      </c>
      <c r="M46" s="226">
        <f>$F46/$P$8+$I46*$I$8/$P$5+$J46*$J$8/$P$6</f>
        <v>114.3664016448754</v>
      </c>
      <c r="N46" s="226">
        <f>$F46/$P$8+$I46*$I$9/$P$5+$J46*$J$9/$P$6</f>
        <v>323.2427405180444</v>
      </c>
      <c r="O46" s="255">
        <f t="shared" si="0"/>
        <v>354.91414902054015</v>
      </c>
      <c r="P46" s="226">
        <f t="shared" si="1"/>
        <v>386.5855575230359</v>
      </c>
      <c r="Q46" s="196">
        <f>SQRT(G46^2+H46^2)/$P$8</f>
        <v>33.007446989275508</v>
      </c>
      <c r="T46" s="7"/>
    </row>
    <row r="47" spans="1:20">
      <c r="A47" s="112" t="str">
        <f>'3.4D_LC'!A359</f>
        <v>LC-14</v>
      </c>
      <c r="B47" s="112" t="str">
        <f>'3.4D_LC'!B359</f>
        <v>LC-2 + Seismic Sx=0.3,Sz=1,Sy=-0.3</v>
      </c>
      <c r="C47" s="11"/>
      <c r="D47" s="11"/>
      <c r="E47" s="191"/>
      <c r="F47" s="112">
        <f>'3.4D_LC'!F359</f>
        <v>1312.8274264887593</v>
      </c>
      <c r="G47" s="112">
        <f>'3.4D_LC'!G359</f>
        <v>62.630987518665762</v>
      </c>
      <c r="H47" s="112">
        <f>'3.4D_LC'!H359</f>
        <v>182.43055839555257</v>
      </c>
      <c r="I47" s="112">
        <f>'3.4D_LC'!I359</f>
        <v>490.95436124262017</v>
      </c>
      <c r="J47" s="112">
        <f>'3.4D_LC'!J359</f>
        <v>1520.2276081197961</v>
      </c>
      <c r="K47" s="226">
        <f>$F47/$P$8+$I47*$I$6/$P$5+$J47*$J$6/$P$6</f>
        <v>67.774472254379631</v>
      </c>
      <c r="L47" s="226">
        <f>$F47/$P$8+$I47*$I$7/$P$5+$J47*$J$7/$P$6</f>
        <v>173.34583392936545</v>
      </c>
      <c r="M47" s="226">
        <f>$F47/$P$8+$I47*$I$8/$P$5+$J47*$J$8/$P$6</f>
        <v>278.91719560435126</v>
      </c>
      <c r="N47" s="226">
        <f>$F47/$P$8+$I47*$I$9/$P$5+$J47*$J$9/$P$6</f>
        <v>158.69194655856853</v>
      </c>
      <c r="O47" s="255">
        <f t="shared" si="0"/>
        <v>264.26330823355437</v>
      </c>
      <c r="P47" s="226">
        <f t="shared" si="1"/>
        <v>369.83466990854021</v>
      </c>
      <c r="Q47" s="196">
        <f>SQRT(G47^2+H47^2)/$P$8</f>
        <v>32.147035993521833</v>
      </c>
      <c r="T47" s="7"/>
    </row>
    <row r="48" spans="1:20">
      <c r="A48" s="112" t="str">
        <f>'3.4D_LC'!A392</f>
        <v>LC-15</v>
      </c>
      <c r="B48" s="112" t="str">
        <f>'3.4D_LC'!B392</f>
        <v>LC-2 + Seismic Sx=1,Sz=0.3,Sy=0.3</v>
      </c>
      <c r="C48" s="11"/>
      <c r="D48" s="11"/>
      <c r="E48" s="191"/>
      <c r="F48" s="112">
        <f>'3.4D_LC'!F392</f>
        <v>1385.7996498469799</v>
      </c>
      <c r="G48" s="112">
        <f>'3.4D_LC'!G392</f>
        <v>190.33237839555255</v>
      </c>
      <c r="H48" s="112">
        <f>'3.4D_LC'!H392</f>
        <v>54.729167518665761</v>
      </c>
      <c r="I48" s="112">
        <f>'3.4D_LC'!I392</f>
        <v>1469.983441742067</v>
      </c>
      <c r="J48" s="112">
        <f>'3.4D_LC'!J392</f>
        <v>456.06828243593873</v>
      </c>
      <c r="K48" s="226">
        <f>$F48/$P$8+$I48*$I$6/$P$5+$J48*$J$6/$P$6</f>
        <v>63.185621866254003</v>
      </c>
      <c r="L48" s="226">
        <f>$F48/$P$8+$I48*$I$7/$P$5+$J48*$J$7/$P$6</f>
        <v>94.857030368749747</v>
      </c>
      <c r="M48" s="226">
        <f>$F48/$P$8+$I48*$I$8/$P$5+$J48*$J$8/$P$6</f>
        <v>126.5284388712455</v>
      </c>
      <c r="N48" s="226">
        <f>$F48/$P$8+$I48*$I$9/$P$5+$J48*$J$9/$P$6</f>
        <v>335.4047777444145</v>
      </c>
      <c r="O48" s="255">
        <f t="shared" si="0"/>
        <v>367.07618624691025</v>
      </c>
      <c r="P48" s="226">
        <f t="shared" si="1"/>
        <v>398.74759474940601</v>
      </c>
      <c r="Q48" s="196">
        <f>SQRT(G48^2+H48^2)/$P$8</f>
        <v>33.007446989275508</v>
      </c>
      <c r="T48" s="7"/>
    </row>
    <row r="49" spans="1:20" ht="15" customHeight="1">
      <c r="A49" s="112" t="str">
        <f>'3.4D_LC'!A425</f>
        <v>LC-16</v>
      </c>
      <c r="B49" s="112" t="str">
        <f>'3.4D_LC'!B425</f>
        <v>LC-2 + Seismic Sx=0.3,Sz=1,Sy=0.3</v>
      </c>
      <c r="C49" s="11"/>
      <c r="D49" s="11"/>
      <c r="E49" s="191"/>
      <c r="F49" s="112">
        <f>'3.4D_LC'!F425</f>
        <v>1385.7996498469799</v>
      </c>
      <c r="G49" s="112">
        <f>'3.4D_LC'!G425</f>
        <v>62.630987518665762</v>
      </c>
      <c r="H49" s="112">
        <f>'3.4D_LC'!H425</f>
        <v>182.43055839555257</v>
      </c>
      <c r="I49" s="112">
        <f>'3.4D_LC'!I425</f>
        <v>490.95436124262017</v>
      </c>
      <c r="J49" s="112">
        <f>'3.4D_LC'!J425</f>
        <v>1520.2276081197961</v>
      </c>
      <c r="K49" s="226">
        <f>$F49/$P$8+$I49*$I$6/$P$5+$J49*$J$6/$P$6</f>
        <v>79.936509480749734</v>
      </c>
      <c r="L49" s="226">
        <f>$F49/$P$8+$I49*$I$7/$P$5+$J49*$J$7/$P$6</f>
        <v>185.50787115573556</v>
      </c>
      <c r="M49" s="226">
        <f>$F49/$P$8+$I49*$I$8/$P$5+$J49*$J$8/$P$6</f>
        <v>291.07923283072137</v>
      </c>
      <c r="N49" s="226">
        <f>$F49/$P$8+$I49*$I$9/$P$5+$J49*$J$9/$P$6</f>
        <v>170.85398378493863</v>
      </c>
      <c r="O49" s="255">
        <f t="shared" si="0"/>
        <v>276.42534545992447</v>
      </c>
      <c r="P49" s="226">
        <f t="shared" si="1"/>
        <v>381.99670713491031</v>
      </c>
      <c r="Q49" s="196">
        <f>SQRT(G49^2+H49^2)/$P$8</f>
        <v>32.147035993521833</v>
      </c>
      <c r="T49" s="7"/>
    </row>
    <row r="50" spans="1:20">
      <c r="A50" s="112"/>
      <c r="B50" s="112"/>
      <c r="C50" s="11"/>
      <c r="D50" s="11"/>
      <c r="E50" s="11"/>
      <c r="F50" s="112"/>
      <c r="G50" s="112"/>
      <c r="H50" s="112"/>
      <c r="I50" s="112"/>
      <c r="J50" s="112"/>
      <c r="K50" s="226"/>
      <c r="L50" s="226"/>
      <c r="M50" s="226"/>
      <c r="N50" s="226"/>
      <c r="O50" s="255"/>
      <c r="P50" s="226"/>
      <c r="Q50" s="196"/>
      <c r="T50" s="7"/>
    </row>
    <row r="51" spans="1:20">
      <c r="A51" s="112" t="str">
        <f>'3.4D_LC'!A464</f>
        <v>LC-17</v>
      </c>
      <c r="B51" s="112" t="str">
        <f>'3.4D_LC'!B464</f>
        <v>LC-3 + Seismic Sx=1,Sz=0.3,Sy=-0.3</v>
      </c>
      <c r="C51" s="11"/>
      <c r="D51" s="11"/>
      <c r="E51" s="191"/>
      <c r="F51" s="112">
        <f>'3.4D_LC'!F464</f>
        <v>1339.5324090030451</v>
      </c>
      <c r="G51" s="112">
        <f>'3.4D_LC'!G464</f>
        <v>189.26155839555253</v>
      </c>
      <c r="H51" s="112">
        <f>'3.4D_LC'!H464</f>
        <v>56.775408032951475</v>
      </c>
      <c r="I51" s="112">
        <f>'3.4D_LC'!I464</f>
        <v>1462.0708224872101</v>
      </c>
      <c r="J51" s="112">
        <f>'3.4D_LC'!J464</f>
        <v>474.36363153108681</v>
      </c>
      <c r="K51" s="226">
        <f>$F51/$P$8+$I51*$I$6/$P$5+$J51*$J$6/$P$6</f>
        <v>54.93655463610709</v>
      </c>
      <c r="L51" s="226">
        <f>$F51/$P$8+$I51*$I$7/$P$5+$J51*$J$7/$P$6</f>
        <v>87.878473492432562</v>
      </c>
      <c r="M51" s="226">
        <f>$F51/$P$8+$I51*$I$8/$P$5+$J51*$J$8/$P$6</f>
        <v>120.82039234875803</v>
      </c>
      <c r="N51" s="226">
        <f>$F51/$P$8+$I51*$I$9/$P$5+$J51*$J$9/$P$6</f>
        <v>325.69041065225707</v>
      </c>
      <c r="O51" s="255">
        <f t="shared" si="0"/>
        <v>358.63232950858253</v>
      </c>
      <c r="P51" s="226">
        <f t="shared" si="1"/>
        <v>391.57424836490799</v>
      </c>
      <c r="Q51" s="196">
        <f>SQRT(G51^2+H51^2)/$P$8</f>
        <v>32.932331480890589</v>
      </c>
      <c r="T51" s="7"/>
    </row>
    <row r="52" spans="1:20">
      <c r="A52" s="112" t="str">
        <f>'3.4D_LC'!A503</f>
        <v>LC-18</v>
      </c>
      <c r="B52" s="112" t="str">
        <f>'3.4D_LC'!B503</f>
        <v>LC-3 + Seismic Sx=0.3,Sz=1,Sy=-0.3</v>
      </c>
      <c r="C52" s="11"/>
      <c r="D52" s="11"/>
      <c r="E52" s="191"/>
      <c r="F52" s="112">
        <f>'3.4D_LC'!F503</f>
        <v>1339.5324090030451</v>
      </c>
      <c r="G52" s="112">
        <f>'3.4D_LC'!G503</f>
        <v>61.560167518665764</v>
      </c>
      <c r="H52" s="112">
        <f>'3.4D_LC'!H503</f>
        <v>189.25136010983823</v>
      </c>
      <c r="I52" s="112">
        <f>'3.4D_LC'!I503</f>
        <v>483.04174198776303</v>
      </c>
      <c r="J52" s="112">
        <f>'3.4D_LC'!J503</f>
        <v>1590.8760207729442</v>
      </c>
      <c r="K52" s="226">
        <f>$F52/$P$8+$I52*$I$6/$P$5+$J52*$J$6/$P$6</f>
        <v>68.051812836852804</v>
      </c>
      <c r="L52" s="226">
        <f>$F52/$P$8+$I52*$I$7/$P$5+$J52*$J$7/$P$6</f>
        <v>178.52931427941837</v>
      </c>
      <c r="M52" s="226">
        <f>$F52/$P$8+$I52*$I$8/$P$5+$J52*$J$8/$P$6</f>
        <v>289.00681572198391</v>
      </c>
      <c r="N52" s="226">
        <f>$F52/$P$8+$I52*$I$9/$P$5+$J52*$J$9/$P$6</f>
        <v>157.50398727903112</v>
      </c>
      <c r="O52" s="255">
        <f t="shared" si="0"/>
        <v>267.98148872159669</v>
      </c>
      <c r="P52" s="226">
        <f t="shared" si="1"/>
        <v>378.45899016416229</v>
      </c>
      <c r="Q52" s="196">
        <f>SQRT(G52^2+H52^2)/$P$8</f>
        <v>33.168647984517385</v>
      </c>
      <c r="T52" s="7"/>
    </row>
    <row r="53" spans="1:20">
      <c r="A53" s="112" t="str">
        <f>'3.4D_LC'!A542</f>
        <v>LC-19</v>
      </c>
      <c r="B53" s="112" t="str">
        <f>'3.4D_LC'!B542</f>
        <v>LC-3 + Seismic Sx=1,Sz=0.3,Sy=0.3</v>
      </c>
      <c r="C53" s="11"/>
      <c r="D53" s="11"/>
      <c r="E53" s="191"/>
      <c r="F53" s="112">
        <f>'3.4D_LC'!F542</f>
        <v>1415.2329530469799</v>
      </c>
      <c r="G53" s="112">
        <f>'3.4D_LC'!G542</f>
        <v>189.26155839555253</v>
      </c>
      <c r="H53" s="112">
        <f>'3.4D_LC'!H542</f>
        <v>56.775408032951475</v>
      </c>
      <c r="I53" s="112">
        <f>'3.4D_LC'!I542</f>
        <v>1462.1682646540671</v>
      </c>
      <c r="J53" s="112">
        <f>'3.4D_LC'!J542</f>
        <v>473.94049603014474</v>
      </c>
      <c r="K53" s="226">
        <f>$F53/$P$8+$I53*$I$6/$P$5+$J53*$J$6/$P$6</f>
        <v>67.573673963693409</v>
      </c>
      <c r="L53" s="226">
        <f>$F53/$P$8+$I53*$I$7/$P$5+$J53*$J$7/$P$6</f>
        <v>100.48620841023123</v>
      </c>
      <c r="M53" s="226">
        <f>$F53/$P$8+$I53*$I$8/$P$5+$J53*$J$8/$P$6</f>
        <v>133.39874285676905</v>
      </c>
      <c r="N53" s="226">
        <f>$F53/$P$8+$I53*$I$9/$P$5+$J53*$J$9/$P$6</f>
        <v>338.34557482555761</v>
      </c>
      <c r="O53" s="255">
        <f t="shared" si="0"/>
        <v>371.25810927209545</v>
      </c>
      <c r="P53" s="226">
        <f t="shared" si="1"/>
        <v>404.1706437186333</v>
      </c>
      <c r="Q53" s="196">
        <f>SQRT(G53^2+H53^2)/$P$8</f>
        <v>32.932331480890589</v>
      </c>
      <c r="T53" s="7"/>
    </row>
    <row r="54" spans="1:20">
      <c r="A54" s="112" t="str">
        <f>'3.4D_LC'!A581</f>
        <v>LC-20</v>
      </c>
      <c r="B54" s="112" t="str">
        <f>'3.4D_LC'!B581</f>
        <v>LC-3 + Seismic Sx=0.3,Sz=1,Sy=0.3</v>
      </c>
      <c r="C54" s="11"/>
      <c r="D54" s="11"/>
      <c r="E54" s="191"/>
      <c r="F54" s="112">
        <f>'3.4D_LC'!F581</f>
        <v>1415.2329530469799</v>
      </c>
      <c r="G54" s="112">
        <f>'3.4D_LC'!G581</f>
        <v>61.560167518665764</v>
      </c>
      <c r="H54" s="112">
        <f>'3.4D_LC'!H581</f>
        <v>189.25136010983823</v>
      </c>
      <c r="I54" s="112">
        <f>'3.4D_LC'!I581</f>
        <v>483.13918415462018</v>
      </c>
      <c r="J54" s="112">
        <f>'3.4D_LC'!J581</f>
        <v>1590.4528852720018</v>
      </c>
      <c r="K54" s="226">
        <f>$F54/$P$8+$I54*$I$6/$P$5+$J54*$J$6/$P$6</f>
        <v>80.688932164439152</v>
      </c>
      <c r="L54" s="226">
        <f>$F54/$P$8+$I54*$I$7/$P$5+$J54*$J$7/$P$6</f>
        <v>191.13704919721704</v>
      </c>
      <c r="M54" s="226">
        <f>$F54/$P$8+$I54*$I$8/$P$5+$J54*$J$8/$P$6</f>
        <v>301.58516622999491</v>
      </c>
      <c r="N54" s="226">
        <f>$F54/$P$8+$I54*$I$9/$P$5+$J54*$J$9/$P$6</f>
        <v>170.15915145233174</v>
      </c>
      <c r="O54" s="255">
        <f t="shared" si="0"/>
        <v>280.60726848510961</v>
      </c>
      <c r="P54" s="226">
        <f t="shared" si="1"/>
        <v>391.05538551788749</v>
      </c>
      <c r="Q54" s="196">
        <f>SQRT(G54^2+H54^2)/$P$8</f>
        <v>33.168647984517385</v>
      </c>
      <c r="T54" s="7"/>
    </row>
    <row r="55" spans="1:20">
      <c r="A55" s="112"/>
      <c r="B55" s="112"/>
      <c r="C55" s="11"/>
      <c r="D55" s="11"/>
      <c r="E55" s="11"/>
      <c r="F55" s="112"/>
      <c r="G55" s="112"/>
      <c r="H55" s="112"/>
      <c r="I55" s="112"/>
      <c r="J55" s="112"/>
      <c r="K55" s="226"/>
      <c r="L55" s="226"/>
      <c r="M55" s="226"/>
      <c r="N55" s="226"/>
      <c r="O55" s="255"/>
      <c r="P55" s="226"/>
      <c r="Q55" s="196"/>
      <c r="T55" s="7"/>
    </row>
    <row r="56" spans="1:20" ht="15" customHeight="1">
      <c r="A56" s="112" t="str">
        <f>'3.4D_LC'!A620</f>
        <v>LC-21</v>
      </c>
      <c r="B56" s="112" t="str">
        <f>'3.4D_LC'!B620</f>
        <v>LC-4 + Seismic Sx=1,Sz=0.3,Sy=-0.3</v>
      </c>
      <c r="C56" s="11"/>
      <c r="D56" s="11"/>
      <c r="E56" s="191"/>
      <c r="F56" s="112">
        <f>'3.4D_LC'!F620</f>
        <v>1337.1641406304736</v>
      </c>
      <c r="G56" s="112">
        <f>'3.4D_LC'!G620</f>
        <v>189.26155839555253</v>
      </c>
      <c r="H56" s="112">
        <f>'3.4D_LC'!H620</f>
        <v>56.593942020380048</v>
      </c>
      <c r="I56" s="112">
        <f>'3.4D_LC'!I620</f>
        <v>1473.2854092129242</v>
      </c>
      <c r="J56" s="112">
        <f>'3.4D_LC'!J620</f>
        <v>472.74115165850066</v>
      </c>
      <c r="K56" s="226">
        <f>$F56/$P$8+$I56*$I$6/$P$5+$J56*$J$6/$P$6</f>
        <v>53.616127794264173</v>
      </c>
      <c r="L56" s="226">
        <f>$F56/$P$8+$I56*$I$7/$P$5+$J56*$J$7/$P$6</f>
        <v>86.445374437215605</v>
      </c>
      <c r="M56" s="226">
        <f>$F56/$P$8+$I56*$I$8/$P$5+$J56*$J$8/$P$6</f>
        <v>119.27462108016704</v>
      </c>
      <c r="N56" s="226">
        <f>$F56/$P$8+$I56*$I$9/$P$5+$J56*$J$9/$P$6</f>
        <v>326.44675912999082</v>
      </c>
      <c r="O56" s="255">
        <f t="shared" si="0"/>
        <v>359.27600577294226</v>
      </c>
      <c r="P56" s="226">
        <f t="shared" si="1"/>
        <v>392.10525241589369</v>
      </c>
      <c r="Q56" s="196">
        <f>SQRT(G56^2+H56^2)/$P$8</f>
        <v>32.923654009321858</v>
      </c>
      <c r="T56" s="7"/>
    </row>
    <row r="57" spans="1:20" ht="15" customHeight="1">
      <c r="A57" s="112" t="str">
        <f>'3.4D_LC'!A659</f>
        <v>LC-22</v>
      </c>
      <c r="B57" s="112" t="str">
        <f>'3.4D_LC'!B659</f>
        <v>LC-4 + Seismic Sx=0.3,Sz=1,Sy=-0.3</v>
      </c>
      <c r="C57" s="11"/>
      <c r="D57" s="11"/>
      <c r="E57" s="191"/>
      <c r="F57" s="112">
        <f>'3.4D_LC'!F659</f>
        <v>1337.1641406304736</v>
      </c>
      <c r="G57" s="112">
        <f>'3.4D_LC'!G659</f>
        <v>61.560167518665764</v>
      </c>
      <c r="H57" s="112">
        <f>'3.4D_LC'!H659</f>
        <v>188.64647340126686</v>
      </c>
      <c r="I57" s="112">
        <f>'3.4D_LC'!I659</f>
        <v>494.25632871347727</v>
      </c>
      <c r="J57" s="112">
        <f>'3.4D_LC'!J659</f>
        <v>1584.6107329687179</v>
      </c>
      <c r="K57" s="226">
        <f>$F57/$P$8+$I57*$I$6/$P$5+$J57*$J$6/$P$6</f>
        <v>67.053803212484894</v>
      </c>
      <c r="L57" s="226">
        <f>$F57/$P$8+$I57*$I$7/$P$5+$J57*$J$7/$P$6</f>
        <v>177.09621522420142</v>
      </c>
      <c r="M57" s="226">
        <f>$F57/$P$8+$I57*$I$8/$P$5+$J57*$J$8/$P$6</f>
        <v>287.13862723591797</v>
      </c>
      <c r="N57" s="226">
        <f>$F57/$P$8+$I57*$I$9/$P$5+$J57*$J$9/$P$6</f>
        <v>158.5827529742399</v>
      </c>
      <c r="O57" s="255">
        <f t="shared" si="0"/>
        <v>268.62516498595642</v>
      </c>
      <c r="P57" s="226">
        <f t="shared" si="1"/>
        <v>378.66757699767294</v>
      </c>
      <c r="Q57" s="196">
        <f>SQRT(G57^2+H57^2)/$P$8</f>
        <v>33.072792675005822</v>
      </c>
      <c r="T57" s="7"/>
    </row>
    <row r="58" spans="1:20" ht="15" customHeight="1">
      <c r="A58" s="112" t="str">
        <f>'3.4D_LC'!A698</f>
        <v>LC-23</v>
      </c>
      <c r="B58" s="112" t="str">
        <f>'3.4D_LC'!B698</f>
        <v>LC-4 + Seismic Sx=1,Sz=0.3,Sy=0.3</v>
      </c>
      <c r="C58" s="11"/>
      <c r="D58" s="11"/>
      <c r="E58" s="191"/>
      <c r="F58" s="112">
        <f>'3.4D_LC'!F698</f>
        <v>1412.6227299909799</v>
      </c>
      <c r="G58" s="112">
        <f>'3.4D_LC'!G698</f>
        <v>189.26155839555253</v>
      </c>
      <c r="H58" s="112">
        <f>'3.4D_LC'!H698</f>
        <v>56.593942020380048</v>
      </c>
      <c r="I58" s="112">
        <f>'3.4D_LC'!I698</f>
        <v>1474.528592214067</v>
      </c>
      <c r="J58" s="112">
        <f>'3.4D_LC'!J698</f>
        <v>472.35554093120919</v>
      </c>
      <c r="K58" s="226">
        <f t="shared" ref="K58:K89" si="2">$F58/$P$8+$I58*$I$6/$P$5+$J58*$J$6/$P$6</f>
        <v>66.104228339934295</v>
      </c>
      <c r="L58" s="226">
        <f t="shared" ref="L58:L89" si="3">$F58/$P$8+$I58*$I$7/$P$5+$J58*$J$7/$P$6</f>
        <v>98.90669646015715</v>
      </c>
      <c r="M58" s="226">
        <f t="shared" ref="M58:M89" si="4">$F58/$P$8+$I58*$I$8/$P$5+$J58*$J$8/$P$6</f>
        <v>131.70916458037999</v>
      </c>
      <c r="N58" s="226">
        <f t="shared" ref="N58:N89" si="5">$F58/$P$8+$I58*$I$9/$P$5+$J58*$J$9/$P$6</f>
        <v>339.16507874994664</v>
      </c>
      <c r="O58" s="255">
        <f t="shared" si="0"/>
        <v>371.96754687016949</v>
      </c>
      <c r="P58" s="226">
        <f t="shared" si="1"/>
        <v>404.77001499039233</v>
      </c>
      <c r="Q58" s="196">
        <f>SQRT(G58^2+H58^2)/$P$8</f>
        <v>32.923654009321858</v>
      </c>
      <c r="T58" s="7"/>
    </row>
    <row r="59" spans="1:20" ht="15" customHeight="1">
      <c r="A59" s="112" t="str">
        <f>'3.4D_LC'!A737</f>
        <v>LC-24</v>
      </c>
      <c r="B59" s="112" t="str">
        <f>'3.4D_LC'!B737</f>
        <v>LC-4 + Seismic Sx=0.3,Sz=1,Sy=0.3</v>
      </c>
      <c r="C59" s="11"/>
      <c r="D59" s="11"/>
      <c r="E59" s="191"/>
      <c r="F59" s="112">
        <f>'3.4D_LC'!F737</f>
        <v>1412.6227299909799</v>
      </c>
      <c r="G59" s="112">
        <f>'3.4D_LC'!G737</f>
        <v>61.560167518665764</v>
      </c>
      <c r="H59" s="112">
        <f>'3.4D_LC'!H737</f>
        <v>188.64647340126686</v>
      </c>
      <c r="I59" s="112">
        <f>'3.4D_LC'!I737</f>
        <v>495.4995117146201</v>
      </c>
      <c r="J59" s="112">
        <f>'3.4D_LC'!J737</f>
        <v>1584.2251222414266</v>
      </c>
      <c r="K59" s="226">
        <f t="shared" si="2"/>
        <v>79.541903758154973</v>
      </c>
      <c r="L59" s="226">
        <f t="shared" si="3"/>
        <v>189.55753724714293</v>
      </c>
      <c r="M59" s="226">
        <f t="shared" si="4"/>
        <v>299.57317073613092</v>
      </c>
      <c r="N59" s="226">
        <f t="shared" si="5"/>
        <v>171.30107259419574</v>
      </c>
      <c r="O59" s="255">
        <f t="shared" si="0"/>
        <v>281.3167060831837</v>
      </c>
      <c r="P59" s="226">
        <f t="shared" si="1"/>
        <v>391.33233957217169</v>
      </c>
      <c r="Q59" s="196">
        <f>SQRT(G59^2+H59^2)/$P$8</f>
        <v>33.072792675005822</v>
      </c>
      <c r="T59" s="7"/>
    </row>
    <row r="60" spans="1:20" ht="15" customHeight="1">
      <c r="A60" s="112"/>
      <c r="B60" s="112"/>
      <c r="C60" s="11"/>
      <c r="D60" s="11"/>
      <c r="E60" s="11"/>
      <c r="F60" s="112"/>
      <c r="G60" s="112"/>
      <c r="H60" s="112"/>
      <c r="I60" s="112"/>
      <c r="J60" s="112"/>
      <c r="K60" s="226"/>
      <c r="L60" s="226"/>
      <c r="M60" s="226"/>
      <c r="N60" s="226"/>
      <c r="O60" s="255"/>
      <c r="P60" s="226"/>
      <c r="Q60" s="196"/>
      <c r="T60" s="7"/>
    </row>
    <row r="61" spans="1:20">
      <c r="A61" s="112" t="str">
        <f>'3.4D_LC'!A757</f>
        <v>LC-25</v>
      </c>
      <c r="B61" s="112" t="str">
        <f>'3.4D_LC'!B757</f>
        <v>NS HFL Span dislodge case Comb-1</v>
      </c>
      <c r="C61" s="11"/>
      <c r="D61" s="11"/>
      <c r="E61" s="191"/>
      <c r="F61" s="112">
        <f>'3.4D_LC'!F757</f>
        <v>889.22563719741856</v>
      </c>
      <c r="G61" s="112">
        <f>'3.4D_LC'!G757</f>
        <v>25.235124686924269</v>
      </c>
      <c r="H61" s="112">
        <f>'3.4D_LC'!H757</f>
        <v>3.5397182492142409</v>
      </c>
      <c r="I61" s="112">
        <f>'3.4D_LC'!I757</f>
        <v>384.00258651030032</v>
      </c>
      <c r="J61" s="112">
        <f>'3.4D_LC'!J757</f>
        <v>5.3297614737052639</v>
      </c>
      <c r="K61" s="226">
        <f t="shared" si="2"/>
        <v>112.27835549442354</v>
      </c>
      <c r="L61" s="226">
        <f t="shared" si="3"/>
        <v>112.64847781898641</v>
      </c>
      <c r="M61" s="226">
        <f t="shared" si="4"/>
        <v>113.01860014354928</v>
      </c>
      <c r="N61" s="226">
        <f t="shared" si="5"/>
        <v>183.38994558892361</v>
      </c>
      <c r="O61" s="255">
        <f t="shared" si="0"/>
        <v>183.76006791348647</v>
      </c>
      <c r="P61" s="226">
        <f t="shared" si="1"/>
        <v>184.13019023804932</v>
      </c>
      <c r="Q61" s="196">
        <f>SQRT(G61^2+H61^2)/$P$8</f>
        <v>4.2470287759288423</v>
      </c>
      <c r="T61" s="7"/>
    </row>
    <row r="62" spans="1:20">
      <c r="A62" s="112" t="str">
        <f>'3.4D_LC'!A780</f>
        <v>LC-26</v>
      </c>
      <c r="B62" s="112" t="str">
        <f>'3.4D_LC'!B780</f>
        <v>NS HFL No Live load Comb-1</v>
      </c>
      <c r="C62" s="11"/>
      <c r="D62" s="11"/>
      <c r="E62" s="191"/>
      <c r="F62" s="112">
        <f>'3.4D_LC'!F780</f>
        <v>1284.3166371974187</v>
      </c>
      <c r="G62" s="112">
        <f>'3.4D_LC'!G780</f>
        <v>12.065424686924271</v>
      </c>
      <c r="H62" s="112">
        <f>'3.4D_LC'!H780</f>
        <v>3.5397182492142409</v>
      </c>
      <c r="I62" s="112">
        <f>'3.4D_LC'!I780</f>
        <v>85.702995510300298</v>
      </c>
      <c r="J62" s="112">
        <f>'3.4D_LC'!J780</f>
        <v>5.3297614737052639</v>
      </c>
      <c r="K62" s="226">
        <f t="shared" si="2"/>
        <v>205.74718799442357</v>
      </c>
      <c r="L62" s="226">
        <f t="shared" si="3"/>
        <v>206.11731031898643</v>
      </c>
      <c r="M62" s="226">
        <f t="shared" si="4"/>
        <v>206.48743264354928</v>
      </c>
      <c r="N62" s="226">
        <f t="shared" si="5"/>
        <v>221.61811308892359</v>
      </c>
      <c r="O62" s="255">
        <f t="shared" si="0"/>
        <v>221.98823541348645</v>
      </c>
      <c r="P62" s="226">
        <f t="shared" si="1"/>
        <v>222.35835773804931</v>
      </c>
      <c r="Q62" s="196">
        <f>SQRT(G62^2+H62^2)/$P$8</f>
        <v>2.0956574025540289</v>
      </c>
      <c r="T62" s="7"/>
    </row>
    <row r="63" spans="1:20">
      <c r="A63" s="112" t="str">
        <f>'3.4D_LC'!A805</f>
        <v>LC-27</v>
      </c>
      <c r="B63" s="112" t="str">
        <f>'3.4D_LC'!B805</f>
        <v>NS HFL With LL max reaction case Comb-1</v>
      </c>
      <c r="C63" s="11"/>
      <c r="D63" s="11"/>
      <c r="E63" s="191"/>
      <c r="F63" s="112">
        <f>'3.4D_LC'!F805</f>
        <v>1494.8352086259902</v>
      </c>
      <c r="G63" s="112">
        <f>'3.4D_LC'!G805</f>
        <v>51.362541258352849</v>
      </c>
      <c r="H63" s="112">
        <f>'3.4D_LC'!H805</f>
        <v>3.5397182492142409</v>
      </c>
      <c r="I63" s="112">
        <f>'3.4D_LC'!I805</f>
        <v>418.60180643601461</v>
      </c>
      <c r="J63" s="112">
        <f>'3.4D_LC'!J805</f>
        <v>-27.319582734788934</v>
      </c>
      <c r="K63" s="226">
        <f t="shared" si="2"/>
        <v>212.27696816128326</v>
      </c>
      <c r="L63" s="226">
        <f t="shared" si="3"/>
        <v>210.37977491581182</v>
      </c>
      <c r="M63" s="226">
        <f t="shared" si="4"/>
        <v>208.48258167034038</v>
      </c>
      <c r="N63" s="226">
        <f t="shared" si="5"/>
        <v>289.79582120498969</v>
      </c>
      <c r="O63" s="255">
        <f t="shared" si="0"/>
        <v>287.89862795951825</v>
      </c>
      <c r="P63" s="226">
        <f t="shared" si="1"/>
        <v>286.00143471404681</v>
      </c>
      <c r="Q63" s="196">
        <f>SQRT(G63^2+H63^2)/$P$8</f>
        <v>8.5807281641928697</v>
      </c>
      <c r="T63" s="7"/>
    </row>
    <row r="64" spans="1:20">
      <c r="A64" s="112" t="str">
        <f>'3.4D_LC'!A830</f>
        <v>LC-28</v>
      </c>
      <c r="B64" s="112" t="str">
        <f>'3.4D_LC'!B830</f>
        <v>NS HFL With LL max moment case Comb-1</v>
      </c>
      <c r="C64" s="11"/>
      <c r="D64" s="11"/>
      <c r="E64" s="191"/>
      <c r="F64" s="112">
        <f>'3.4D_LC'!F830</f>
        <v>1476.1658657688472</v>
      </c>
      <c r="G64" s="112">
        <f>'3.4D_LC'!G830</f>
        <v>48.282963258352844</v>
      </c>
      <c r="H64" s="112">
        <f>'3.4D_LC'!H830</f>
        <v>3.5397182492142409</v>
      </c>
      <c r="I64" s="112">
        <f>'3.4D_LC'!I830</f>
        <v>481.5088291674432</v>
      </c>
      <c r="J64" s="112">
        <f>'3.4D_LC'!J830</f>
        <v>-24.424152669151869</v>
      </c>
      <c r="K64" s="226">
        <f t="shared" si="2"/>
        <v>203.13961515910609</v>
      </c>
      <c r="L64" s="226">
        <f t="shared" si="3"/>
        <v>201.44349344597055</v>
      </c>
      <c r="M64" s="226">
        <f t="shared" si="4"/>
        <v>199.74737173283501</v>
      </c>
      <c r="N64" s="226">
        <f t="shared" si="5"/>
        <v>292.30791685678071</v>
      </c>
      <c r="O64" s="255">
        <f t="shared" si="0"/>
        <v>290.61179514364517</v>
      </c>
      <c r="P64" s="226">
        <f t="shared" si="1"/>
        <v>288.91567343050963</v>
      </c>
      <c r="Q64" s="196">
        <f>SQRT(G64^2+H64^2)/$P$8</f>
        <v>8.0687568681290518</v>
      </c>
    </row>
    <row r="65" spans="1:17">
      <c r="A65" s="25"/>
      <c r="B65" s="26"/>
      <c r="C65" s="26"/>
      <c r="D65" s="26"/>
      <c r="E65" s="26"/>
      <c r="F65" s="25"/>
      <c r="G65" s="25"/>
      <c r="H65" s="25"/>
      <c r="I65" s="25"/>
      <c r="J65" s="25"/>
      <c r="K65" s="226"/>
      <c r="L65" s="226"/>
      <c r="M65" s="226"/>
      <c r="N65" s="226"/>
      <c r="O65" s="255"/>
      <c r="P65" s="226"/>
      <c r="Q65" s="196"/>
    </row>
    <row r="66" spans="1:17">
      <c r="A66" s="112" t="str">
        <f>'3.4D_LC'!A850</f>
        <v>LC-29</v>
      </c>
      <c r="B66" s="112" t="str">
        <f>'3.4D_LC'!B850</f>
        <v>NS HFL Span dislodge case Comb-2</v>
      </c>
      <c r="C66" s="11"/>
      <c r="D66" s="11"/>
      <c r="E66" s="191"/>
      <c r="F66" s="112">
        <f>'3.4D_LC'!F850</f>
        <v>642.2138236647296</v>
      </c>
      <c r="G66" s="112">
        <f>'3.4D_LC'!G850</f>
        <v>22.308524686924269</v>
      </c>
      <c r="H66" s="112">
        <f>'3.4D_LC'!H850</f>
        <v>3.5397182492142409</v>
      </c>
      <c r="I66" s="112">
        <f>'3.4D_LC'!I850</f>
        <v>304.76096351030031</v>
      </c>
      <c r="J66" s="112">
        <f>'3.4D_LC'!J850</f>
        <v>5.3297614737052639</v>
      </c>
      <c r="K66" s="226">
        <f t="shared" si="2"/>
        <v>78.446907220456865</v>
      </c>
      <c r="L66" s="226">
        <f t="shared" si="3"/>
        <v>78.817029545019736</v>
      </c>
      <c r="M66" s="226">
        <f t="shared" si="4"/>
        <v>79.187151869582607</v>
      </c>
      <c r="N66" s="226">
        <f t="shared" si="5"/>
        <v>134.8841226853273</v>
      </c>
      <c r="O66" s="255">
        <f t="shared" si="0"/>
        <v>135.25424500989016</v>
      </c>
      <c r="P66" s="226">
        <f t="shared" si="1"/>
        <v>135.62436733445301</v>
      </c>
      <c r="Q66" s="196">
        <f>SQRT(G66^2+H66^2)/$P$8</f>
        <v>3.7646007571665767</v>
      </c>
    </row>
    <row r="67" spans="1:17">
      <c r="A67" s="112" t="str">
        <f>'3.4D_LC'!A873</f>
        <v>LC-30</v>
      </c>
      <c r="B67" s="112" t="str">
        <f>'3.4D_LC'!B873</f>
        <v>NS HFL No Live load Comb-2</v>
      </c>
      <c r="C67" s="11"/>
      <c r="D67" s="11"/>
      <c r="E67" s="191"/>
      <c r="F67" s="112">
        <f>'3.4D_LC'!F873</f>
        <v>934.87382366472957</v>
      </c>
      <c r="G67" s="112">
        <f>'3.4D_LC'!G873</f>
        <v>10.894784686924272</v>
      </c>
      <c r="H67" s="112">
        <f>'3.4D_LC'!H873</f>
        <v>3.5397182492142409</v>
      </c>
      <c r="I67" s="112">
        <f>'3.4D_LC'!I873</f>
        <v>70.066696310300301</v>
      </c>
      <c r="J67" s="112">
        <f>'3.4D_LC'!J873</f>
        <v>5.3297614737052639</v>
      </c>
      <c r="K67" s="226">
        <f t="shared" si="2"/>
        <v>148.95452455379021</v>
      </c>
      <c r="L67" s="226">
        <f t="shared" si="3"/>
        <v>149.32464687835306</v>
      </c>
      <c r="M67" s="226">
        <f t="shared" si="4"/>
        <v>149.69476920291592</v>
      </c>
      <c r="N67" s="226">
        <f t="shared" si="5"/>
        <v>161.92983868532727</v>
      </c>
      <c r="O67" s="255">
        <f t="shared" si="0"/>
        <v>162.29996100989013</v>
      </c>
      <c r="P67" s="226">
        <f t="shared" si="1"/>
        <v>162.67008333445298</v>
      </c>
      <c r="Q67" s="196">
        <f>SQRT(G67^2+H67^2)/$P$8</f>
        <v>1.9092315110351186</v>
      </c>
    </row>
    <row r="68" spans="1:17">
      <c r="A68" s="112" t="str">
        <f>'3.4D_LC'!A898</f>
        <v>LC-31</v>
      </c>
      <c r="B68" s="112" t="str">
        <f>'3.4D_LC'!B898</f>
        <v>NS HFL With LL max reaction case Comb-2</v>
      </c>
      <c r="C68" s="11"/>
      <c r="D68" s="11"/>
      <c r="E68" s="191"/>
      <c r="F68" s="112">
        <f>'3.4D_LC'!F898</f>
        <v>1117.3232522361582</v>
      </c>
      <c r="G68" s="112">
        <f>'3.4D_LC'!G898</f>
        <v>44.952285715495705</v>
      </c>
      <c r="H68" s="112">
        <f>'3.4D_LC'!H898</f>
        <v>3.5397182492142409</v>
      </c>
      <c r="I68" s="112">
        <f>'3.4D_LC'!I898</f>
        <v>358.57899911258613</v>
      </c>
      <c r="J68" s="112">
        <f>'3.4D_LC'!J898</f>
        <v>-22.966336840323041</v>
      </c>
      <c r="K68" s="226">
        <f t="shared" si="2"/>
        <v>154.61366736506858</v>
      </c>
      <c r="L68" s="226">
        <f t="shared" si="3"/>
        <v>153.01878286226838</v>
      </c>
      <c r="M68" s="226">
        <f t="shared" si="4"/>
        <v>151.42389835946818</v>
      </c>
      <c r="N68" s="226">
        <f t="shared" si="5"/>
        <v>221.01718571925119</v>
      </c>
      <c r="O68" s="255">
        <f t="shared" si="0"/>
        <v>219.42230121645099</v>
      </c>
      <c r="P68" s="226">
        <f t="shared" si="1"/>
        <v>217.82741671365079</v>
      </c>
      <c r="Q68" s="196">
        <f>SQRT(G68^2+H68^2)/$P$8</f>
        <v>7.515239325551522</v>
      </c>
    </row>
    <row r="69" spans="1:17">
      <c r="A69" s="112" t="str">
        <f>'3.4D_LC'!A923</f>
        <v>LC-32</v>
      </c>
      <c r="B69" s="112" t="str">
        <f>'3.4D_LC'!B923</f>
        <v>NS HFL With LL max moment case Comb-2</v>
      </c>
      <c r="C69" s="11"/>
      <c r="D69" s="11"/>
      <c r="E69" s="191"/>
      <c r="F69" s="112">
        <f>'3.4D_LC'!F923</f>
        <v>1101.1431550933009</v>
      </c>
      <c r="G69" s="112">
        <f>'3.4D_LC'!G923</f>
        <v>42.283318115495703</v>
      </c>
      <c r="H69" s="112">
        <f>'3.4D_LC'!H923</f>
        <v>3.5397182492142409</v>
      </c>
      <c r="I69" s="112">
        <f>'3.4D_LC'!I923</f>
        <v>413.09841881315748</v>
      </c>
      <c r="J69" s="112">
        <f>'3.4D_LC'!J923</f>
        <v>-20.456964116770919</v>
      </c>
      <c r="K69" s="226">
        <f t="shared" si="2"/>
        <v>146.69462809651503</v>
      </c>
      <c r="L69" s="226">
        <f t="shared" si="3"/>
        <v>145.27400558840594</v>
      </c>
      <c r="M69" s="226">
        <f t="shared" si="4"/>
        <v>143.85338308029685</v>
      </c>
      <c r="N69" s="226">
        <f t="shared" si="5"/>
        <v>223.1943352841368</v>
      </c>
      <c r="O69" s="255">
        <f t="shared" si="0"/>
        <v>221.77371277602771</v>
      </c>
      <c r="P69" s="226">
        <f t="shared" si="1"/>
        <v>220.35309026791862</v>
      </c>
      <c r="Q69" s="196">
        <f>SQRT(G69^2+H69^2)/$P$8</f>
        <v>7.071870324940817</v>
      </c>
    </row>
    <row r="70" spans="1:17">
      <c r="A70" s="25"/>
      <c r="B70" s="26"/>
      <c r="C70" s="26"/>
      <c r="D70" s="26"/>
      <c r="E70" s="26"/>
      <c r="F70" s="25"/>
      <c r="G70" s="25"/>
      <c r="H70" s="25"/>
      <c r="I70" s="25"/>
      <c r="J70" s="25"/>
      <c r="K70" s="226"/>
      <c r="L70" s="226"/>
      <c r="M70" s="226"/>
      <c r="N70" s="226"/>
      <c r="O70" s="255"/>
      <c r="P70" s="226"/>
      <c r="Q70" s="196"/>
    </row>
    <row r="71" spans="1:17">
      <c r="A71" s="112" t="str">
        <f>'3.4D_LC'!A958</f>
        <v>LC-33</v>
      </c>
      <c r="B71" s="112" t="str">
        <f>'3.4D_LC'!B958</f>
        <v>LC-21 + Seismic Sx=1,Sz=0.3,Sy=-0.3 (50% seismic)</v>
      </c>
      <c r="C71" s="11"/>
      <c r="D71" s="11"/>
      <c r="E71" s="191"/>
      <c r="F71" s="112">
        <f>'3.4D_LC'!F958</f>
        <v>922.70504582821866</v>
      </c>
      <c r="G71" s="112">
        <f>'3.4D_LC'!G958</f>
        <v>150.39639642354501</v>
      </c>
      <c r="H71" s="112">
        <f>'3.4D_LC'!H958</f>
        <v>31.873647026027129</v>
      </c>
      <c r="I71" s="112">
        <f>'3.4D_LC'!I958</f>
        <v>1120.4922558185235</v>
      </c>
      <c r="J71" s="112">
        <f>'3.4D_LC'!J958</f>
        <v>150.90664957508034</v>
      </c>
      <c r="K71" s="226">
        <f t="shared" si="2"/>
        <v>39.555262915829623</v>
      </c>
      <c r="L71" s="226">
        <f t="shared" si="3"/>
        <v>50.034891358543533</v>
      </c>
      <c r="M71" s="226">
        <f t="shared" si="4"/>
        <v>60.514519801257443</v>
      </c>
      <c r="N71" s="226">
        <f t="shared" si="5"/>
        <v>247.05382880814878</v>
      </c>
      <c r="O71" s="255">
        <f t="shared" si="0"/>
        <v>257.53345725086268</v>
      </c>
      <c r="P71" s="226">
        <f t="shared" si="1"/>
        <v>268.01308569357661</v>
      </c>
      <c r="Q71" s="196">
        <f>SQRT(G71^2+H71^2)/$P$8</f>
        <v>25.62280095275813</v>
      </c>
    </row>
    <row r="72" spans="1:17">
      <c r="A72" s="112" t="str">
        <f>'3.4D_LC'!A993</f>
        <v>LC-34</v>
      </c>
      <c r="B72" s="112" t="str">
        <f>'3.4D_LC'!B993</f>
        <v>LC-21 + Seismic Sx=0.3,Sz=1,Sy=-0.3 (50% seismic)</v>
      </c>
      <c r="C72" s="11"/>
      <c r="D72" s="11"/>
      <c r="E72" s="191"/>
      <c r="F72" s="112">
        <f>'3.4D_LC'!F993</f>
        <v>922.70504582821866</v>
      </c>
      <c r="G72" s="112">
        <f>'3.4D_LC'!G993</f>
        <v>62.783506207910484</v>
      </c>
      <c r="H72" s="112">
        <f>'3.4D_LC'!H993</f>
        <v>97.986147505257208</v>
      </c>
      <c r="I72" s="112">
        <f>'3.4D_LC'!I993</f>
        <v>602.56488091776737</v>
      </c>
      <c r="J72" s="112">
        <f>'3.4D_LC'!J993</f>
        <v>490.58605514495565</v>
      </c>
      <c r="K72" s="226">
        <f t="shared" si="2"/>
        <v>63.922653723547185</v>
      </c>
      <c r="L72" s="226">
        <f t="shared" si="3"/>
        <v>97.991129775280214</v>
      </c>
      <c r="M72" s="226">
        <f t="shared" si="4"/>
        <v>132.05960582701323</v>
      </c>
      <c r="N72" s="226">
        <f t="shared" si="5"/>
        <v>175.50874278239294</v>
      </c>
      <c r="O72" s="255">
        <f t="shared" si="0"/>
        <v>209.57721883412597</v>
      </c>
      <c r="P72" s="226">
        <f t="shared" si="1"/>
        <v>243.645694885859</v>
      </c>
      <c r="Q72" s="196">
        <f>SQRT(G72^2+H72^2)/$P$8</f>
        <v>19.395771127491194</v>
      </c>
    </row>
    <row r="73" spans="1:17">
      <c r="A73" s="112" t="str">
        <f>'3.4D_LC'!A1028</f>
        <v>LC-35</v>
      </c>
      <c r="B73" s="112" t="str">
        <f>'3.4D_LC'!B1028</f>
        <v>LC-21 + Seismic Sx=1,Sz=0.3,Sy=0.3 (50% seismic)</v>
      </c>
      <c r="C73" s="11"/>
      <c r="D73" s="11"/>
      <c r="E73" s="191"/>
      <c r="F73" s="112">
        <f>'3.4D_LC'!F1028</f>
        <v>954.67160050732912</v>
      </c>
      <c r="G73" s="112">
        <f>'3.4D_LC'!G1028</f>
        <v>150.39639642354501</v>
      </c>
      <c r="H73" s="112">
        <f>'3.4D_LC'!H1028</f>
        <v>31.873647026027129</v>
      </c>
      <c r="I73" s="112">
        <f>'3.4D_LC'!I1028</f>
        <v>1127.3054169185234</v>
      </c>
      <c r="J73" s="112">
        <f>'3.4D_LC'!J1028</f>
        <v>150.90664957508034</v>
      </c>
      <c r="K73" s="226">
        <f t="shared" si="2"/>
        <v>44.252173779014733</v>
      </c>
      <c r="L73" s="226">
        <f t="shared" si="3"/>
        <v>54.731802221728643</v>
      </c>
      <c r="M73" s="226">
        <f t="shared" si="4"/>
        <v>65.21143066444256</v>
      </c>
      <c r="N73" s="226">
        <f t="shared" si="5"/>
        <v>253.01243617133386</v>
      </c>
      <c r="O73" s="255">
        <f t="shared" si="0"/>
        <v>263.49206461404776</v>
      </c>
      <c r="P73" s="226">
        <f t="shared" si="1"/>
        <v>273.97169305676169</v>
      </c>
      <c r="Q73" s="196">
        <f>SQRT(G73^2+H73^2)/$P$8</f>
        <v>25.62280095275813</v>
      </c>
    </row>
    <row r="74" spans="1:17">
      <c r="A74" s="112" t="str">
        <f>'3.4D_LC'!A1063</f>
        <v>LC-36</v>
      </c>
      <c r="B74" s="112" t="str">
        <f>'3.4D_LC'!B1063</f>
        <v>LC-21 + Seismic Sx=0.3,Sz=1,Sy=0.3 (50% seismic)</v>
      </c>
      <c r="C74" s="11"/>
      <c r="D74" s="11"/>
      <c r="E74" s="191"/>
      <c r="F74" s="112">
        <f>'3.4D_LC'!F1063</f>
        <v>954.67160050732912</v>
      </c>
      <c r="G74" s="112">
        <f>'3.4D_LC'!G1063</f>
        <v>62.783506207910484</v>
      </c>
      <c r="H74" s="112">
        <f>'3.4D_LC'!H1063</f>
        <v>97.986147505257208</v>
      </c>
      <c r="I74" s="112">
        <f>'3.4D_LC'!I1063</f>
        <v>609.37804201776726</v>
      </c>
      <c r="J74" s="112">
        <f>'3.4D_LC'!J1063</f>
        <v>490.58605514495565</v>
      </c>
      <c r="K74" s="226">
        <f t="shared" si="2"/>
        <v>68.619564586732281</v>
      </c>
      <c r="L74" s="226">
        <f t="shared" si="3"/>
        <v>102.68804063846531</v>
      </c>
      <c r="M74" s="226">
        <f t="shared" si="4"/>
        <v>136.75651669019834</v>
      </c>
      <c r="N74" s="226">
        <f t="shared" si="5"/>
        <v>181.46735014557805</v>
      </c>
      <c r="O74" s="255">
        <f t="shared" si="0"/>
        <v>215.53582619731108</v>
      </c>
      <c r="P74" s="226">
        <f t="shared" si="1"/>
        <v>249.60430224904411</v>
      </c>
      <c r="Q74" s="196">
        <f>SQRT(G74^2+H74^2)/$P$8</f>
        <v>19.395771127491194</v>
      </c>
    </row>
    <row r="75" spans="1:17">
      <c r="A75" s="25"/>
      <c r="B75" s="26"/>
      <c r="C75" s="26"/>
      <c r="D75" s="26"/>
      <c r="E75" s="26"/>
      <c r="F75" s="25"/>
      <c r="G75" s="25"/>
      <c r="H75" s="25"/>
      <c r="I75" s="25"/>
      <c r="J75" s="25"/>
      <c r="K75" s="226"/>
      <c r="L75" s="226"/>
      <c r="M75" s="226"/>
      <c r="N75" s="226"/>
      <c r="O75" s="255"/>
      <c r="P75" s="226"/>
      <c r="Q75" s="196"/>
    </row>
    <row r="76" spans="1:17">
      <c r="A76" s="112" t="str">
        <f>'3.4D_LC'!A1103</f>
        <v>LC-37</v>
      </c>
      <c r="B76" s="112" t="str">
        <f>'3.4D_LC'!B1103</f>
        <v>LC-22 + Seismic Sx=1,Sz=0.3,Sy=-0.3</v>
      </c>
      <c r="C76" s="11"/>
      <c r="D76" s="11"/>
      <c r="E76" s="191"/>
      <c r="F76" s="112">
        <f>'3.4D_LC'!F1103</f>
        <v>1287.5894924886636</v>
      </c>
      <c r="G76" s="112">
        <f>'3.4D_LC'!G1103</f>
        <v>262.38796816016577</v>
      </c>
      <c r="H76" s="112">
        <f>'3.4D_LC'!H1103</f>
        <v>78.636481291186684</v>
      </c>
      <c r="I76" s="112">
        <f>'3.4D_LC'!I1103</f>
        <v>1565.4954952267467</v>
      </c>
      <c r="J76" s="112">
        <f>'3.4D_LC'!J1103</f>
        <v>485.7519021819578</v>
      </c>
      <c r="K76" s="226">
        <f t="shared" si="2"/>
        <v>35.912191168183313</v>
      </c>
      <c r="L76" s="226">
        <f t="shared" si="3"/>
        <v>69.64496215304149</v>
      </c>
      <c r="M76" s="226">
        <f t="shared" si="4"/>
        <v>103.37773313789967</v>
      </c>
      <c r="N76" s="226">
        <f t="shared" si="5"/>
        <v>325.81876435832152</v>
      </c>
      <c r="O76" s="255">
        <f t="shared" si="0"/>
        <v>359.55153534317969</v>
      </c>
      <c r="P76" s="226">
        <f t="shared" si="1"/>
        <v>393.28430632803787</v>
      </c>
      <c r="Q76" s="196">
        <f>SQRT(G76^2+H76^2)/$P$8</f>
        <v>45.653021691729634</v>
      </c>
    </row>
    <row r="77" spans="1:17">
      <c r="A77" s="112" t="str">
        <f>'3.4D_LC'!A1143</f>
        <v>LC-38</v>
      </c>
      <c r="B77" s="112" t="str">
        <f>'3.4D_LC'!B1143</f>
        <v>LC-22 + Seismic Sx=0.3,Sz=1,Sy=-0.3</v>
      </c>
      <c r="C77" s="11"/>
      <c r="D77" s="11"/>
      <c r="E77" s="191"/>
      <c r="F77" s="112">
        <f>'3.4D_LC'!F1143</f>
        <v>1287.5894924886636</v>
      </c>
      <c r="G77" s="112">
        <f>'3.4D_LC'!G1143</f>
        <v>87.162187728896711</v>
      </c>
      <c r="H77" s="112">
        <f>'3.4D_LC'!H1143</f>
        <v>253.86226172245571</v>
      </c>
      <c r="I77" s="112">
        <f>'3.4D_LC'!I1143</f>
        <v>529.6407454252344</v>
      </c>
      <c r="J77" s="112">
        <f>'3.4D_LC'!J1143</f>
        <v>1606.7368971678807</v>
      </c>
      <c r="K77" s="226">
        <f t="shared" si="2"/>
        <v>53.978487794300889</v>
      </c>
      <c r="L77" s="226">
        <f t="shared" si="3"/>
        <v>165.55743898651482</v>
      </c>
      <c r="M77" s="226">
        <f t="shared" si="4"/>
        <v>277.13639017872879</v>
      </c>
      <c r="N77" s="226">
        <f t="shared" si="5"/>
        <v>152.06010731749245</v>
      </c>
      <c r="O77" s="255">
        <f t="shared" si="0"/>
        <v>263.63905850970639</v>
      </c>
      <c r="P77" s="226">
        <f t="shared" si="1"/>
        <v>375.21800970192032</v>
      </c>
      <c r="Q77" s="196">
        <f>SQRT(G77^2+H77^2)/$P$8</f>
        <v>44.734803408695875</v>
      </c>
    </row>
    <row r="78" spans="1:17">
      <c r="A78" s="112" t="str">
        <f>'3.4D_LC'!A1183</f>
        <v>LC-39</v>
      </c>
      <c r="B78" s="112" t="str">
        <f>'3.4D_LC'!B1183</f>
        <v>LC-22 + Seismic Sx=1,Sz=0.3,Sy=0.3</v>
      </c>
      <c r="C78" s="11"/>
      <c r="D78" s="11"/>
      <c r="E78" s="191"/>
      <c r="F78" s="112">
        <f>'3.4D_LC'!F1183</f>
        <v>1379.9691538468844</v>
      </c>
      <c r="G78" s="112">
        <f>'3.4D_LC'!G1183</f>
        <v>262.38796816016577</v>
      </c>
      <c r="H78" s="112">
        <f>'3.4D_LC'!H1183</f>
        <v>78.636481291186684</v>
      </c>
      <c r="I78" s="112">
        <f>'3.4D_LC'!I1183</f>
        <v>1565.4954952267467</v>
      </c>
      <c r="J78" s="112">
        <f>'3.4D_LC'!J1183</f>
        <v>485.7519021819578</v>
      </c>
      <c r="K78" s="226">
        <f t="shared" si="2"/>
        <v>51.308801394553456</v>
      </c>
      <c r="L78" s="226">
        <f t="shared" si="3"/>
        <v>85.041572379411633</v>
      </c>
      <c r="M78" s="226">
        <f t="shared" si="4"/>
        <v>118.77434336426981</v>
      </c>
      <c r="N78" s="226">
        <f t="shared" si="5"/>
        <v>341.21537458469169</v>
      </c>
      <c r="O78" s="255">
        <f t="shared" si="0"/>
        <v>374.94814556954987</v>
      </c>
      <c r="P78" s="226">
        <f t="shared" si="1"/>
        <v>408.68091655440804</v>
      </c>
      <c r="Q78" s="196">
        <f>SQRT(G78^2+H78^2)/$P$8</f>
        <v>45.653021691729634</v>
      </c>
    </row>
    <row r="79" spans="1:17">
      <c r="A79" s="112" t="str">
        <f>'3.4D_LC'!A1223</f>
        <v>LC-40</v>
      </c>
      <c r="B79" s="112" t="str">
        <f>'3.4D_LC'!B1223</f>
        <v>LC-22 + Seismic Sx=0.3,Sz=1,Sy=0.3</v>
      </c>
      <c r="C79" s="11"/>
      <c r="D79" s="11"/>
      <c r="E79" s="191"/>
      <c r="F79" s="112">
        <f>'3.4D_LC'!F1223</f>
        <v>1379.9691538468844</v>
      </c>
      <c r="G79" s="112">
        <f>'3.4D_LC'!G1223</f>
        <v>87.162187728896711</v>
      </c>
      <c r="H79" s="112">
        <f>'3.4D_LC'!H1223</f>
        <v>253.86226172245571</v>
      </c>
      <c r="I79" s="112">
        <f>'3.4D_LC'!I1223</f>
        <v>529.6407454252344</v>
      </c>
      <c r="J79" s="112">
        <f>'3.4D_LC'!J1223</f>
        <v>1606.7368971678807</v>
      </c>
      <c r="K79" s="226">
        <f t="shared" si="2"/>
        <v>69.375098020671032</v>
      </c>
      <c r="L79" s="226">
        <f t="shared" si="3"/>
        <v>180.95404921288497</v>
      </c>
      <c r="M79" s="226">
        <f t="shared" si="4"/>
        <v>292.5330004050989</v>
      </c>
      <c r="N79" s="226">
        <f t="shared" si="5"/>
        <v>167.45671754386257</v>
      </c>
      <c r="O79" s="255">
        <f t="shared" si="0"/>
        <v>279.0356687360765</v>
      </c>
      <c r="P79" s="226">
        <f t="shared" si="1"/>
        <v>390.61461992829044</v>
      </c>
      <c r="Q79" s="196">
        <f>SQRT(G79^2+H79^2)/$P$8</f>
        <v>44.734803408695875</v>
      </c>
    </row>
    <row r="80" spans="1:17">
      <c r="A80" s="25"/>
      <c r="B80" s="26"/>
      <c r="C80" s="26"/>
      <c r="D80" s="26"/>
      <c r="E80" s="26"/>
      <c r="F80" s="25"/>
      <c r="G80" s="25"/>
      <c r="H80" s="25"/>
      <c r="I80" s="25"/>
      <c r="J80" s="25"/>
      <c r="K80" s="226"/>
      <c r="L80" s="226"/>
      <c r="M80" s="226"/>
      <c r="N80" s="226"/>
      <c r="O80" s="255"/>
      <c r="P80" s="226"/>
      <c r="Q80" s="196"/>
    </row>
    <row r="81" spans="1:17">
      <c r="A81" s="112" t="str">
        <f>'3.4D_LC'!A1269</f>
        <v>LC-41</v>
      </c>
      <c r="B81" s="112" t="str">
        <f>'3.4D_LC'!B1269</f>
        <v>LC-23 + Seismic Sx=1,Sz=0.3,Sy=-0.3</v>
      </c>
      <c r="C81" s="11"/>
      <c r="D81" s="11"/>
      <c r="E81" s="191"/>
      <c r="F81" s="112">
        <f>'3.4D_LC'!F1269</f>
        <v>1314.2944750029494</v>
      </c>
      <c r="G81" s="112">
        <f>'3.4D_LC'!G1269</f>
        <v>260.43916816016576</v>
      </c>
      <c r="H81" s="112">
        <f>'3.4D_LC'!H1269</f>
        <v>80.682721805472397</v>
      </c>
      <c r="I81" s="112">
        <f>'3.4D_LC'!I1269</f>
        <v>1550.3132015718897</v>
      </c>
      <c r="J81" s="112">
        <f>'3.4D_LC'!J1269</f>
        <v>504.04725127710589</v>
      </c>
      <c r="K81" s="226">
        <f t="shared" si="2"/>
        <v>40.49827916440649</v>
      </c>
      <c r="L81" s="226">
        <f t="shared" si="3"/>
        <v>75.501560503094396</v>
      </c>
      <c r="M81" s="226">
        <f t="shared" si="4"/>
        <v>110.50484184178231</v>
      </c>
      <c r="N81" s="226">
        <f t="shared" si="5"/>
        <v>327.5933164925342</v>
      </c>
      <c r="O81" s="255">
        <f t="shared" si="0"/>
        <v>362.59659783122208</v>
      </c>
      <c r="P81" s="226">
        <f t="shared" si="1"/>
        <v>397.59987916990997</v>
      </c>
      <c r="Q81" s="196">
        <f>SQRT(G81^2+H81^2)/$P$8</f>
        <v>45.441739840364811</v>
      </c>
    </row>
    <row r="82" spans="1:17">
      <c r="A82" s="112" t="str">
        <f>'3.4D_LC'!A1315</f>
        <v>LC-42</v>
      </c>
      <c r="B82" s="112" t="str">
        <f>'3.4D_LC'!B1315</f>
        <v>LC-23 + Seismic Sx=0.3,Sz=1,Sy=-0.3</v>
      </c>
      <c r="C82" s="11"/>
      <c r="D82" s="11"/>
      <c r="E82" s="191"/>
      <c r="F82" s="112">
        <f>'3.4D_LC'!F1315</f>
        <v>1314.2944750029494</v>
      </c>
      <c r="G82" s="112">
        <f>'3.4D_LC'!G1315</f>
        <v>85.21338772889672</v>
      </c>
      <c r="H82" s="112">
        <f>'3.4D_LC'!H1315</f>
        <v>260.68306343674146</v>
      </c>
      <c r="I82" s="112">
        <f>'3.4D_LC'!I1315</f>
        <v>514.458451770377</v>
      </c>
      <c r="J82" s="112">
        <f>'3.4D_LC'!J1315</f>
        <v>1677.3853098210288</v>
      </c>
      <c r="K82" s="226">
        <f t="shared" si="2"/>
        <v>54.928946376774135</v>
      </c>
      <c r="L82" s="226">
        <f t="shared" si="3"/>
        <v>171.41403733656779</v>
      </c>
      <c r="M82" s="226">
        <f t="shared" si="4"/>
        <v>287.89912829636143</v>
      </c>
      <c r="N82" s="226">
        <f t="shared" si="5"/>
        <v>150.19903003795503</v>
      </c>
      <c r="O82" s="255">
        <f t="shared" si="0"/>
        <v>266.68412099774866</v>
      </c>
      <c r="P82" s="226">
        <f t="shared" si="1"/>
        <v>383.1692119575423</v>
      </c>
      <c r="Q82" s="196">
        <f>SQRT(G82^2+H82^2)/$P$8</f>
        <v>45.709523992696255</v>
      </c>
    </row>
    <row r="83" spans="1:17">
      <c r="A83" s="112" t="str">
        <f>'3.4D_LC'!A1361</f>
        <v>LC-43</v>
      </c>
      <c r="B83" s="112" t="str">
        <f>'3.4D_LC'!B1361</f>
        <v>LC-23 + Seismic Sx=1,Sz=0.3,Sy=0.3</v>
      </c>
      <c r="C83" s="11"/>
      <c r="D83" s="11"/>
      <c r="E83" s="191"/>
      <c r="F83" s="112">
        <f>'3.4D_LC'!F1361</f>
        <v>1409.4024570468844</v>
      </c>
      <c r="G83" s="112">
        <f>'3.4D_LC'!G1361</f>
        <v>260.43916816016576</v>
      </c>
      <c r="H83" s="112">
        <f>'3.4D_LC'!H1361</f>
        <v>80.682721805472397</v>
      </c>
      <c r="I83" s="112">
        <f>'3.4D_LC'!I1361</f>
        <v>1550.4106437387468</v>
      </c>
      <c r="J83" s="112">
        <f>'3.4D_LC'!J1361</f>
        <v>503.62411577616382</v>
      </c>
      <c r="K83" s="226">
        <f t="shared" si="2"/>
        <v>56.369971491992843</v>
      </c>
      <c r="L83" s="226">
        <f t="shared" si="3"/>
        <v>91.343868420893102</v>
      </c>
      <c r="M83" s="226">
        <f t="shared" si="4"/>
        <v>126.31776534979336</v>
      </c>
      <c r="N83" s="226">
        <f t="shared" si="5"/>
        <v>343.48305366583475</v>
      </c>
      <c r="O83" s="255">
        <f t="shared" si="0"/>
        <v>378.45695059473502</v>
      </c>
      <c r="P83" s="226">
        <f t="shared" si="1"/>
        <v>413.43084752363529</v>
      </c>
      <c r="Q83" s="196">
        <f>SQRT(G83^2+H83^2)/$P$8</f>
        <v>45.441739840364811</v>
      </c>
    </row>
    <row r="84" spans="1:17">
      <c r="A84" s="112" t="str">
        <f>'3.4D_LC'!A1407</f>
        <v>LC-44</v>
      </c>
      <c r="B84" s="112" t="str">
        <f>'3.4D_LC'!B1407</f>
        <v>LC-23 + Seismic Sx=0.3,Sz=1,Sy=0.3</v>
      </c>
      <c r="C84" s="11"/>
      <c r="D84" s="11"/>
      <c r="E84" s="191"/>
      <c r="F84" s="112">
        <f>'3.4D_LC'!F1407</f>
        <v>1409.4024570468844</v>
      </c>
      <c r="G84" s="112">
        <f>'3.4D_LC'!G1407</f>
        <v>85.21338772889672</v>
      </c>
      <c r="H84" s="112">
        <f>'3.4D_LC'!H1407</f>
        <v>260.68306343674146</v>
      </c>
      <c r="I84" s="112">
        <f>'3.4D_LC'!I1407</f>
        <v>514.55589393723426</v>
      </c>
      <c r="J84" s="112">
        <f>'3.4D_LC'!J1407</f>
        <v>1676.9621743200864</v>
      </c>
      <c r="K84" s="226">
        <f t="shared" si="2"/>
        <v>70.800638704360466</v>
      </c>
      <c r="L84" s="226">
        <f t="shared" si="3"/>
        <v>187.25634525436647</v>
      </c>
      <c r="M84" s="226">
        <f t="shared" si="4"/>
        <v>303.71205180437244</v>
      </c>
      <c r="N84" s="226">
        <f t="shared" si="5"/>
        <v>166.08876721125566</v>
      </c>
      <c r="O84" s="255">
        <f t="shared" si="0"/>
        <v>282.54447376126166</v>
      </c>
      <c r="P84" s="226">
        <f t="shared" si="1"/>
        <v>399.00018031126763</v>
      </c>
      <c r="Q84" s="196">
        <f>SQRT(G84^2+H84^2)/$P$8</f>
        <v>45.709523992696255</v>
      </c>
    </row>
    <row r="85" spans="1:17">
      <c r="A85" s="25"/>
      <c r="B85" s="26"/>
      <c r="C85" s="26"/>
      <c r="D85" s="26"/>
      <c r="E85" s="26"/>
      <c r="F85" s="25"/>
      <c r="G85" s="25"/>
      <c r="H85" s="25"/>
      <c r="I85" s="25"/>
      <c r="J85" s="25"/>
      <c r="K85" s="226"/>
      <c r="L85" s="226"/>
      <c r="M85" s="226"/>
      <c r="N85" s="226"/>
      <c r="O85" s="255"/>
      <c r="P85" s="226"/>
      <c r="Q85" s="196"/>
    </row>
    <row r="86" spans="1:17">
      <c r="A86" s="112" t="str">
        <f>'3.4D_LC'!A1453</f>
        <v>LC-45</v>
      </c>
      <c r="B86" s="112" t="str">
        <f>'3.4D_LC'!B1453</f>
        <v>LC-24 + Seismic Sx=1,Sz=0.3,Sy=-0.3</v>
      </c>
      <c r="C86" s="11"/>
      <c r="D86" s="11"/>
      <c r="E86" s="191"/>
      <c r="F86" s="112">
        <f>'3.4D_LC'!F1453</f>
        <v>1311.9262066303779</v>
      </c>
      <c r="G86" s="112">
        <f>'3.4D_LC'!G1453</f>
        <v>260.43916816016576</v>
      </c>
      <c r="H86" s="112">
        <f>'3.4D_LC'!H1453</f>
        <v>80.501255792900963</v>
      </c>
      <c r="I86" s="112">
        <f>'3.4D_LC'!I1453</f>
        <v>1561.5277882976038</v>
      </c>
      <c r="J86" s="112">
        <f>'3.4D_LC'!J1453</f>
        <v>502.42477140451973</v>
      </c>
      <c r="K86" s="226">
        <f t="shared" si="2"/>
        <v>39.177852322563602</v>
      </c>
      <c r="L86" s="226">
        <f t="shared" si="3"/>
        <v>74.068461447877468</v>
      </c>
      <c r="M86" s="226">
        <f t="shared" si="4"/>
        <v>108.95907057319133</v>
      </c>
      <c r="N86" s="226">
        <f t="shared" si="5"/>
        <v>328.34966497026801</v>
      </c>
      <c r="O86" s="255">
        <f t="shared" si="0"/>
        <v>363.24027409558187</v>
      </c>
      <c r="P86" s="226">
        <f t="shared" si="1"/>
        <v>398.13088322089573</v>
      </c>
      <c r="Q86" s="196">
        <f>SQRT(G86^2+H86^2)/$P$8</f>
        <v>45.432799121398695</v>
      </c>
    </row>
    <row r="87" spans="1:17">
      <c r="A87" s="112" t="str">
        <f>'3.4D_LC'!A1499</f>
        <v>LC-46</v>
      </c>
      <c r="B87" s="112" t="str">
        <f>'3.4D_LC'!B1499</f>
        <v>LC-24 + Seismic Sx=0.3,Sz=1,Sy=-0.3</v>
      </c>
      <c r="C87" s="11"/>
      <c r="D87" s="11"/>
      <c r="E87" s="191"/>
      <c r="F87" s="112">
        <f>'3.4D_LC'!F1499</f>
        <v>1311.9262066303779</v>
      </c>
      <c r="G87" s="112">
        <f>'3.4D_LC'!G1499</f>
        <v>85.21338772889672</v>
      </c>
      <c r="H87" s="112">
        <f>'3.4D_LC'!H1499</f>
        <v>260.07817672816998</v>
      </c>
      <c r="I87" s="112">
        <f>'3.4D_LC'!I1499</f>
        <v>525.67303849609152</v>
      </c>
      <c r="J87" s="112">
        <f>'3.4D_LC'!J1499</f>
        <v>1671.1200220168025</v>
      </c>
      <c r="K87" s="226">
        <f t="shared" si="2"/>
        <v>53.930936752406197</v>
      </c>
      <c r="L87" s="226">
        <f t="shared" si="3"/>
        <v>169.9809382813508</v>
      </c>
      <c r="M87" s="226">
        <f t="shared" si="4"/>
        <v>286.03093981029542</v>
      </c>
      <c r="N87" s="226">
        <f t="shared" si="5"/>
        <v>151.27779573316388</v>
      </c>
      <c r="O87" s="255">
        <f t="shared" si="0"/>
        <v>267.3277972621085</v>
      </c>
      <c r="P87" s="226">
        <f t="shared" si="1"/>
        <v>383.37779879105312</v>
      </c>
      <c r="Q87" s="196">
        <f>SQRT(G87^2+H87^2)/$P$8</f>
        <v>45.613710006021854</v>
      </c>
    </row>
    <row r="88" spans="1:17">
      <c r="A88" s="112" t="str">
        <f>'3.4D_LC'!A1545</f>
        <v>LC-47</v>
      </c>
      <c r="B88" s="112" t="str">
        <f>'3.4D_LC'!B1545</f>
        <v>LC-24 + Seismic Sx=1,Sz=0.3,Sy=0.3</v>
      </c>
      <c r="C88" s="11"/>
      <c r="D88" s="11"/>
      <c r="E88" s="191"/>
      <c r="F88" s="112">
        <f>'3.4D_LC'!F1545</f>
        <v>1406.7922339908844</v>
      </c>
      <c r="G88" s="112">
        <f>'3.4D_LC'!G1545</f>
        <v>260.43916816016576</v>
      </c>
      <c r="H88" s="112">
        <f>'3.4D_LC'!H1545</f>
        <v>80.501255792900963</v>
      </c>
      <c r="I88" s="112">
        <f>'3.4D_LC'!I1545</f>
        <v>1562.7709712987466</v>
      </c>
      <c r="J88" s="112">
        <f>'3.4D_LC'!J1545</f>
        <v>502.03916067722827</v>
      </c>
      <c r="K88" s="226">
        <f t="shared" si="2"/>
        <v>54.900525868233728</v>
      </c>
      <c r="L88" s="226">
        <f t="shared" si="3"/>
        <v>89.764356470819024</v>
      </c>
      <c r="M88" s="226">
        <f t="shared" si="4"/>
        <v>124.62818707340432</v>
      </c>
      <c r="N88" s="226">
        <f t="shared" si="5"/>
        <v>344.30255759022384</v>
      </c>
      <c r="O88" s="255">
        <f t="shared" si="0"/>
        <v>379.16638819280911</v>
      </c>
      <c r="P88" s="226">
        <f t="shared" si="1"/>
        <v>414.03021879539438</v>
      </c>
      <c r="Q88" s="196">
        <f>SQRT(G88^2+H88^2)/$P$8</f>
        <v>45.432799121398695</v>
      </c>
    </row>
    <row r="89" spans="1:17">
      <c r="A89" s="112" t="str">
        <f>'3.4D_LC'!A1591</f>
        <v>LC-48</v>
      </c>
      <c r="B89" s="112" t="str">
        <f>'3.4D_LC'!B1591</f>
        <v>LC-24 + Seismic Sx=0.3,Sz=1,Sy=0.3</v>
      </c>
      <c r="C89" s="11"/>
      <c r="D89" s="11"/>
      <c r="E89" s="191"/>
      <c r="F89" s="112">
        <f>'3.4D_LC'!F1591</f>
        <v>1406.7922339908844</v>
      </c>
      <c r="G89" s="112">
        <f>'3.4D_LC'!G1591</f>
        <v>85.21338772889672</v>
      </c>
      <c r="H89" s="112">
        <f>'3.4D_LC'!H1591</f>
        <v>260.07817672816998</v>
      </c>
      <c r="I89" s="112">
        <f>'3.4D_LC'!I1591</f>
        <v>526.91622149723435</v>
      </c>
      <c r="J89" s="112">
        <f>'3.4D_LC'!J1591</f>
        <v>1670.7344112895112</v>
      </c>
      <c r="K89" s="1003">
        <f t="shared" si="2"/>
        <v>69.653610298076316</v>
      </c>
      <c r="L89" s="1003">
        <f t="shared" si="3"/>
        <v>185.67683330429236</v>
      </c>
      <c r="M89" s="1003">
        <f t="shared" si="4"/>
        <v>301.70005631050839</v>
      </c>
      <c r="N89" s="1003">
        <f t="shared" si="5"/>
        <v>167.23068835311972</v>
      </c>
      <c r="O89" s="255">
        <f t="shared" si="0"/>
        <v>283.25391135933575</v>
      </c>
      <c r="P89" s="226">
        <f t="shared" si="1"/>
        <v>399.27713436555177</v>
      </c>
      <c r="Q89" s="196">
        <f>SQRT(G89^2+H89^2)/$P$8</f>
        <v>45.613710006021854</v>
      </c>
    </row>
  </sheetData>
  <mergeCells count="3">
    <mergeCell ref="F28:J28"/>
    <mergeCell ref="Q28:Q29"/>
    <mergeCell ref="K28:N28"/>
  </mergeCells>
  <pageMargins left="0.59055118110236204" right="0.15748031496063" top="0.59055118110236204" bottom="0.15748031496063" header="0.31496062992126" footer="0.31496062992126"/>
  <pageSetup paperSize="9" orientation="landscape" blackAndWhite="1" r:id="rId1"/>
  <rowBreaks count="2" manualBreakCount="2">
    <brk id="23" max="16383" man="1"/>
    <brk id="59" max="16383" man="1"/>
  </rowBreaks>
  <drawing r:id="rId2"/>
  <legacyDrawing r:id="rId3"/>
  <oleObjects>
    <oleObject progId="Equation.3" shapeId="145170" r:id="rId4"/>
  </oleObjects>
</worksheet>
</file>

<file path=xl/worksheets/sheet24.xml><?xml version="1.0" encoding="utf-8"?>
<worksheet xmlns="http://schemas.openxmlformats.org/spreadsheetml/2006/main" xmlns:r="http://schemas.openxmlformats.org/officeDocument/2006/relationships">
  <sheetPr codeName="Sheet20">
    <tabColor theme="5" tint="0.59999389629810485"/>
  </sheetPr>
  <dimension ref="A1:AA156"/>
  <sheetViews>
    <sheetView view="pageBreakPreview" topLeftCell="A3" zoomScaleSheetLayoutView="100" workbookViewId="0">
      <selection activeCell="K14" sqref="K14"/>
    </sheetView>
  </sheetViews>
  <sheetFormatPr defaultColWidth="7.7109375" defaultRowHeight="15"/>
  <cols>
    <col min="1" max="6" width="7.7109375" style="1"/>
    <col min="7" max="8" width="7.7109375" style="1" customWidth="1"/>
    <col min="9" max="10" width="8.28515625" style="1" customWidth="1"/>
    <col min="11" max="11" width="9" style="1" customWidth="1"/>
    <col min="12" max="21" width="7.7109375" style="1"/>
    <col min="22" max="27" width="7.7109375" style="1" customWidth="1"/>
    <col min="28" max="16384" width="7.7109375" style="7"/>
  </cols>
  <sheetData>
    <row r="1" spans="1:27">
      <c r="A1" s="62" t="s">
        <v>787</v>
      </c>
    </row>
    <row r="2" spans="1:27">
      <c r="A2" s="62"/>
    </row>
    <row r="3" spans="1:27">
      <c r="A3" s="214" t="s">
        <v>782</v>
      </c>
    </row>
    <row r="4" spans="1:27">
      <c r="A4" s="62" t="s">
        <v>685</v>
      </c>
      <c r="J4" s="224"/>
      <c r="K4" s="224"/>
      <c r="P4" s="1644" t="s">
        <v>783</v>
      </c>
      <c r="Q4" s="1645"/>
      <c r="R4" s="1646"/>
    </row>
    <row r="5" spans="1:27" ht="15" customHeight="1">
      <c r="A5" s="228" t="s">
        <v>73</v>
      </c>
      <c r="B5" s="548" t="s">
        <v>675</v>
      </c>
      <c r="C5" s="549"/>
      <c r="D5" s="549"/>
      <c r="E5" s="549"/>
      <c r="F5" s="549"/>
      <c r="G5" s="549"/>
      <c r="H5" s="1657" t="s">
        <v>679</v>
      </c>
      <c r="J5" s="1120" t="s">
        <v>1457</v>
      </c>
      <c r="K5" s="550"/>
      <c r="M5" s="548" t="s">
        <v>1458</v>
      </c>
      <c r="N5" s="550"/>
      <c r="O5" s="7"/>
      <c r="P5" s="1636" t="s">
        <v>784</v>
      </c>
      <c r="Q5" s="1638"/>
      <c r="R5" s="1655" t="s">
        <v>785</v>
      </c>
      <c r="S5" s="7"/>
      <c r="Y5" s="7"/>
      <c r="Z5" s="7"/>
      <c r="AA5" s="7"/>
    </row>
    <row r="6" spans="1:27" ht="15" customHeight="1">
      <c r="A6" s="237"/>
      <c r="B6" s="242">
        <v>1</v>
      </c>
      <c r="C6" s="257">
        <v>2</v>
      </c>
      <c r="D6" s="242">
        <v>3</v>
      </c>
      <c r="E6" s="243">
        <v>4</v>
      </c>
      <c r="F6" s="243">
        <v>5</v>
      </c>
      <c r="G6" s="243">
        <v>6</v>
      </c>
      <c r="H6" s="1658"/>
      <c r="J6" s="554" t="s">
        <v>1546</v>
      </c>
      <c r="K6" s="553" t="s">
        <v>1639</v>
      </c>
      <c r="M6" s="554" t="s">
        <v>1548</v>
      </c>
      <c r="N6" s="553" t="s">
        <v>1824</v>
      </c>
      <c r="O6" s="7"/>
      <c r="P6" s="554" t="s">
        <v>420</v>
      </c>
      <c r="Q6" s="553" t="s">
        <v>425</v>
      </c>
      <c r="R6" s="1656"/>
      <c r="S6" s="7"/>
      <c r="Y6" s="7"/>
      <c r="Z6" s="7"/>
      <c r="AA6" s="7"/>
    </row>
    <row r="7" spans="1:27">
      <c r="A7" s="411"/>
      <c r="B7" s="242" t="s">
        <v>34</v>
      </c>
      <c r="C7" s="242" t="s">
        <v>34</v>
      </c>
      <c r="D7" s="242" t="s">
        <v>34</v>
      </c>
      <c r="E7" s="242" t="s">
        <v>34</v>
      </c>
      <c r="F7" s="242" t="s">
        <v>34</v>
      </c>
      <c r="G7" s="242" t="s">
        <v>34</v>
      </c>
      <c r="H7" s="242" t="s">
        <v>34</v>
      </c>
      <c r="J7" s="242" t="s">
        <v>34</v>
      </c>
      <c r="K7" s="242" t="s">
        <v>34</v>
      </c>
      <c r="M7" s="242" t="s">
        <v>34</v>
      </c>
      <c r="N7" s="242" t="s">
        <v>34</v>
      </c>
      <c r="O7" s="7"/>
      <c r="P7" s="242" t="s">
        <v>34</v>
      </c>
      <c r="Q7" s="242" t="s">
        <v>34</v>
      </c>
      <c r="R7" s="242" t="s">
        <v>34</v>
      </c>
      <c r="S7" s="7"/>
      <c r="Y7" s="7"/>
      <c r="Z7" s="7"/>
      <c r="AA7" s="7"/>
    </row>
    <row r="8" spans="1:27">
      <c r="A8" s="112" t="str">
        <f>'3.4D_LC_sum'!A31</f>
        <v>LC-1</v>
      </c>
      <c r="B8" s="226">
        <f>'3.4D_LC_sum'!K31</f>
        <v>125.13000312057085</v>
      </c>
      <c r="C8" s="226">
        <f>'3.4D_LC_sum'!L31</f>
        <v>125.13000312057085</v>
      </c>
      <c r="D8" s="226">
        <f>'3.4D_LC_sum'!M31</f>
        <v>125.13000312057085</v>
      </c>
      <c r="E8" s="226">
        <f>'3.4D_LC_sum'!N31</f>
        <v>195.69884293538564</v>
      </c>
      <c r="F8" s="226">
        <f>'3.4D_LC_sum'!O31</f>
        <v>195.69884293538564</v>
      </c>
      <c r="G8" s="226">
        <f>'3.4D_LC_sum'!P31</f>
        <v>195.69884293538564</v>
      </c>
      <c r="H8" s="226">
        <f>'3.4D_LC_sum'!Q31</f>
        <v>3.6582500000000002</v>
      </c>
      <c r="J8" s="226">
        <f>SUM(B8:D8)</f>
        <v>375.39000936171254</v>
      </c>
      <c r="K8" s="226">
        <f>SUM(E8:G8)</f>
        <v>587.09652880615693</v>
      </c>
      <c r="M8" s="226">
        <f>B8+E8</f>
        <v>320.82884605595649</v>
      </c>
      <c r="N8" s="226">
        <f>D8+G8</f>
        <v>320.82884605595649</v>
      </c>
      <c r="O8" s="7"/>
      <c r="P8" s="226">
        <f>MAX(B8:G8)</f>
        <v>195.69884293538564</v>
      </c>
      <c r="Q8" s="226">
        <f>MIN(B8:G8)</f>
        <v>125.13000312057085</v>
      </c>
      <c r="R8" s="226">
        <f>H8</f>
        <v>3.6582500000000002</v>
      </c>
      <c r="S8" s="7"/>
      <c r="Y8" s="7"/>
      <c r="Z8" s="7"/>
      <c r="AA8" s="7"/>
    </row>
    <row r="9" spans="1:27">
      <c r="A9" s="112" t="str">
        <f>'3.4D_LC_sum'!A32</f>
        <v>LC-2</v>
      </c>
      <c r="B9" s="226">
        <f>'3.4D_LC_sum'!K32</f>
        <v>217.60409487983014</v>
      </c>
      <c r="C9" s="226">
        <f>'3.4D_LC_sum'!L32</f>
        <v>217.60409487983014</v>
      </c>
      <c r="D9" s="226">
        <f>'3.4D_LC_sum'!M32</f>
        <v>217.60409487983014</v>
      </c>
      <c r="E9" s="226">
        <f>'3.4D_LC_sum'!N32</f>
        <v>232.16708450945976</v>
      </c>
      <c r="F9" s="226">
        <f>'3.4D_LC_sum'!O32</f>
        <v>232.16708450945976</v>
      </c>
      <c r="G9" s="226">
        <f>'3.4D_LC_sum'!P32</f>
        <v>232.16708450945976</v>
      </c>
      <c r="H9" s="226">
        <f>'3.4D_LC_sum'!Q32</f>
        <v>1.4633000000000003</v>
      </c>
      <c r="J9" s="226">
        <f>SUM(B9:D9)</f>
        <v>652.81228463949037</v>
      </c>
      <c r="K9" s="226">
        <f>SUM(E9:G9)</f>
        <v>696.50125352837927</v>
      </c>
      <c r="M9" s="226">
        <f>B9+E9</f>
        <v>449.7711793892899</v>
      </c>
      <c r="N9" s="226">
        <f>D9+G9</f>
        <v>449.7711793892899</v>
      </c>
      <c r="O9" s="7"/>
      <c r="P9" s="226">
        <f>MAX(B9:G9)</f>
        <v>232.16708450945976</v>
      </c>
      <c r="Q9" s="226">
        <f>MIN(B9:G9)</f>
        <v>217.60409487983014</v>
      </c>
      <c r="R9" s="226">
        <f>H9</f>
        <v>1.4633000000000003</v>
      </c>
      <c r="S9" s="7"/>
      <c r="Y9" s="7"/>
      <c r="Z9" s="7"/>
      <c r="AA9" s="7"/>
    </row>
    <row r="10" spans="1:27">
      <c r="A10" s="112" t="str">
        <f>'3.4D_LC_sum'!A33</f>
        <v>LC-3</v>
      </c>
      <c r="B10" s="226">
        <f>'3.4D_LC_sum'!K33</f>
        <v>224.13387504668987</v>
      </c>
      <c r="C10" s="226">
        <f>'3.4D_LC_sum'!L33</f>
        <v>221.86655947665554</v>
      </c>
      <c r="D10" s="226">
        <f>'3.4D_LC_sum'!M33</f>
        <v>219.59924390662121</v>
      </c>
      <c r="E10" s="226">
        <f>'3.4D_LC_sum'!N33</f>
        <v>300.34479262552583</v>
      </c>
      <c r="F10" s="226">
        <f>'3.4D_LC_sum'!O33</f>
        <v>298.0774770554915</v>
      </c>
      <c r="G10" s="226">
        <f>'3.4D_LC_sum'!P33</f>
        <v>295.81016148545717</v>
      </c>
      <c r="H10" s="226">
        <f>'3.4D_LC_sum'!Q33</f>
        <v>8.0128194285714294</v>
      </c>
      <c r="J10" s="226">
        <f>SUM(B10:D10)</f>
        <v>665.59967842996662</v>
      </c>
      <c r="K10" s="226">
        <f>SUM(E10:G10)</f>
        <v>894.2324311664745</v>
      </c>
      <c r="M10" s="226">
        <f>B10+E10</f>
        <v>524.47866767221569</v>
      </c>
      <c r="N10" s="226">
        <f>D10+G10</f>
        <v>515.40940539207838</v>
      </c>
      <c r="O10" s="7"/>
      <c r="P10" s="226">
        <f>MAX(B10:G10)</f>
        <v>300.34479262552583</v>
      </c>
      <c r="Q10" s="226">
        <f>MIN(B10:G10)</f>
        <v>219.59924390662121</v>
      </c>
      <c r="R10" s="226">
        <f>H10</f>
        <v>8.0128194285714294</v>
      </c>
      <c r="S10" s="7"/>
      <c r="Y10" s="7"/>
      <c r="Z10" s="7"/>
      <c r="AA10" s="7"/>
    </row>
    <row r="11" spans="1:27">
      <c r="A11" s="112" t="str">
        <f>'3.4D_LC_sum'!A34</f>
        <v>LC-4</v>
      </c>
      <c r="B11" s="226">
        <f>'3.4D_LC_sum'!K34</f>
        <v>214.99652204451266</v>
      </c>
      <c r="C11" s="226">
        <f>'3.4D_LC_sum'!L34</f>
        <v>212.93027800681423</v>
      </c>
      <c r="D11" s="226">
        <f>'3.4D_LC_sum'!M34</f>
        <v>210.86403396911581</v>
      </c>
      <c r="E11" s="226">
        <f>'3.4D_LC_sum'!N34</f>
        <v>302.8568882773169</v>
      </c>
      <c r="F11" s="226">
        <f>'3.4D_LC_sum'!O34</f>
        <v>300.79064423961847</v>
      </c>
      <c r="G11" s="226">
        <f>'3.4D_LC_sum'!P34</f>
        <v>298.72440020192005</v>
      </c>
      <c r="H11" s="226">
        <f>'3.4D_LC_sum'!Q34</f>
        <v>7.4995564285714282</v>
      </c>
      <c r="J11" s="226">
        <f>SUM(B11:D11)</f>
        <v>638.79083402044273</v>
      </c>
      <c r="K11" s="226">
        <f>SUM(E11:G11)</f>
        <v>902.37193271885542</v>
      </c>
      <c r="M11" s="226">
        <f>B11+E11</f>
        <v>517.85341032182953</v>
      </c>
      <c r="N11" s="226">
        <f>D11+G11</f>
        <v>509.58843417103583</v>
      </c>
      <c r="O11" s="7"/>
      <c r="P11" s="226">
        <f>MAX(B11:G11)</f>
        <v>302.8568882773169</v>
      </c>
      <c r="Q11" s="226">
        <f>MIN(B11:G11)</f>
        <v>210.86403396911581</v>
      </c>
      <c r="R11" s="226">
        <f>H11</f>
        <v>7.4995564285714282</v>
      </c>
      <c r="S11" s="7"/>
      <c r="Y11" s="7"/>
      <c r="Z11" s="7"/>
      <c r="AA11" s="7"/>
    </row>
    <row r="12" spans="1:27">
      <c r="A12" s="112"/>
      <c r="B12" s="226"/>
      <c r="C12" s="226"/>
      <c r="D12" s="226"/>
      <c r="E12" s="226"/>
      <c r="F12" s="226"/>
      <c r="G12" s="226"/>
      <c r="H12" s="226"/>
      <c r="J12" s="226"/>
      <c r="K12" s="226"/>
      <c r="M12" s="226"/>
      <c r="N12" s="226"/>
      <c r="O12" s="7"/>
      <c r="P12" s="226"/>
      <c r="Q12" s="226"/>
      <c r="R12" s="226"/>
      <c r="S12" s="7"/>
      <c r="Y12" s="7"/>
      <c r="Z12" s="7"/>
      <c r="AA12" s="7"/>
    </row>
    <row r="13" spans="1:27">
      <c r="A13" s="112" t="str">
        <f>'3.4D_LC_sum'!A36</f>
        <v>LC-5</v>
      </c>
      <c r="B13" s="226">
        <f>'3.4D_LC_sum'!K36</f>
        <v>88.166537551588817</v>
      </c>
      <c r="C13" s="226">
        <f>'3.4D_LC_sum'!L36</f>
        <v>88.166537551588817</v>
      </c>
      <c r="D13" s="226">
        <f>'3.4D_LC_sum'!M36</f>
        <v>88.166537551588817</v>
      </c>
      <c r="E13" s="226">
        <f>'3.4D_LC_sum'!N36</f>
        <v>143.29581755158881</v>
      </c>
      <c r="F13" s="226">
        <f>'3.4D_LC_sum'!O36</f>
        <v>143.29581755158881</v>
      </c>
      <c r="G13" s="226">
        <f>'3.4D_LC_sum'!P36</f>
        <v>143.29581755158881</v>
      </c>
      <c r="H13" s="226">
        <f>'3.4D_LC_sum'!Q36</f>
        <v>3.1704833333333333</v>
      </c>
      <c r="J13" s="226">
        <f>SUM(B13:D13)</f>
        <v>264.49961265476645</v>
      </c>
      <c r="K13" s="226">
        <f>SUM(E13:G13)</f>
        <v>429.88745265476643</v>
      </c>
      <c r="M13" s="226">
        <f>B13+E13</f>
        <v>231.46235510317763</v>
      </c>
      <c r="N13" s="226">
        <f>D13+G13</f>
        <v>231.46235510317763</v>
      </c>
      <c r="O13" s="7"/>
      <c r="P13" s="226">
        <f>MAX(B13:G13)</f>
        <v>143.29581755158881</v>
      </c>
      <c r="Q13" s="226">
        <f>MIN(B13:G13)</f>
        <v>88.166537551588817</v>
      </c>
      <c r="R13" s="226">
        <f>H13</f>
        <v>3.1704833333333333</v>
      </c>
      <c r="S13" s="7"/>
      <c r="Y13" s="7"/>
      <c r="Z13" s="7"/>
      <c r="AA13" s="7"/>
    </row>
    <row r="14" spans="1:27">
      <c r="A14" s="112" t="str">
        <f>'3.4D_LC_sum'!A37</f>
        <v>LC-6</v>
      </c>
      <c r="B14" s="226">
        <f>'3.4D_LC_sum'!K37</f>
        <v>158.67415488492216</v>
      </c>
      <c r="C14" s="226">
        <f>'3.4D_LC_sum'!L37</f>
        <v>158.67415488492216</v>
      </c>
      <c r="D14" s="226">
        <f>'3.4D_LC_sum'!M37</f>
        <v>158.67415488492216</v>
      </c>
      <c r="E14" s="226">
        <f>'3.4D_LC_sum'!N37</f>
        <v>170.34153355158881</v>
      </c>
      <c r="F14" s="226">
        <f>'3.4D_LC_sum'!O37</f>
        <v>170.34153355158881</v>
      </c>
      <c r="G14" s="226">
        <f>'3.4D_LC_sum'!P37</f>
        <v>170.34153355158881</v>
      </c>
      <c r="H14" s="226">
        <f>'3.4D_LC_sum'!Q37</f>
        <v>1.2681933333333337</v>
      </c>
      <c r="J14" s="226">
        <f>SUM(B14:D14)</f>
        <v>476.02246465476651</v>
      </c>
      <c r="K14" s="226">
        <f>SUM(E14:G14)</f>
        <v>511.02460065476646</v>
      </c>
      <c r="M14" s="226">
        <f>B14+E14</f>
        <v>329.01568843651097</v>
      </c>
      <c r="N14" s="226">
        <f>D14+G14</f>
        <v>329.01568843651097</v>
      </c>
      <c r="O14" s="7"/>
      <c r="P14" s="226">
        <f>MAX(B14:G14)</f>
        <v>170.34153355158881</v>
      </c>
      <c r="Q14" s="226">
        <f>MIN(B14:G14)</f>
        <v>158.67415488492216</v>
      </c>
      <c r="R14" s="226">
        <f>H14</f>
        <v>1.2681933333333337</v>
      </c>
      <c r="S14" s="7"/>
      <c r="Y14" s="7"/>
      <c r="Z14" s="7"/>
      <c r="AA14" s="7"/>
    </row>
    <row r="15" spans="1:27">
      <c r="A15" s="112" t="str">
        <f>'3.4D_LC_sum'!A38</f>
        <v>LC-7</v>
      </c>
      <c r="B15" s="226">
        <f>'3.4D_LC_sum'!K38</f>
        <v>164.33329769620056</v>
      </c>
      <c r="C15" s="226">
        <f>'3.4D_LC_sum'!L38</f>
        <v>162.36829086883748</v>
      </c>
      <c r="D15" s="226">
        <f>'3.4D_LC_sum'!M38</f>
        <v>160.40328404147439</v>
      </c>
      <c r="E15" s="226">
        <f>'3.4D_LC_sum'!N38</f>
        <v>229.42888058551276</v>
      </c>
      <c r="F15" s="226">
        <f>'3.4D_LC_sum'!O38</f>
        <v>227.46387375814967</v>
      </c>
      <c r="G15" s="226">
        <f>'3.4D_LC_sum'!P38</f>
        <v>225.49886693078659</v>
      </c>
      <c r="H15" s="226">
        <f>'3.4D_LC_sum'!Q38</f>
        <v>6.9444435047619057</v>
      </c>
      <c r="J15" s="226">
        <f>SUM(B15:D15)</f>
        <v>487.10487260651246</v>
      </c>
      <c r="K15" s="226">
        <f>SUM(E15:G15)</f>
        <v>682.39162127444899</v>
      </c>
      <c r="M15" s="226">
        <f>B15+E15</f>
        <v>393.76217828171332</v>
      </c>
      <c r="N15" s="226">
        <f>D15+G15</f>
        <v>385.90215097226098</v>
      </c>
      <c r="O15" s="7"/>
      <c r="P15" s="226">
        <f>MAX(B15:G15)</f>
        <v>229.42888058551276</v>
      </c>
      <c r="Q15" s="226">
        <f>MIN(B15:G15)</f>
        <v>160.40328404147439</v>
      </c>
      <c r="R15" s="226">
        <f>H15</f>
        <v>6.9444435047619057</v>
      </c>
      <c r="S15" s="7"/>
      <c r="Y15" s="7"/>
      <c r="Z15" s="7"/>
      <c r="AA15" s="7"/>
    </row>
    <row r="16" spans="1:27">
      <c r="A16" s="112" t="str">
        <f>'3.4D_LC_sum'!A39</f>
        <v>LC-8</v>
      </c>
      <c r="B16" s="226">
        <f>'3.4D_LC_sum'!K39</f>
        <v>156.41425842764701</v>
      </c>
      <c r="C16" s="226">
        <f>'3.4D_LC_sum'!L39</f>
        <v>154.62351359497507</v>
      </c>
      <c r="D16" s="226">
        <f>'3.4D_LC_sum'!M39</f>
        <v>152.83276876230312</v>
      </c>
      <c r="E16" s="226">
        <f>'3.4D_LC_sum'!N39</f>
        <v>231.60603015039831</v>
      </c>
      <c r="F16" s="226">
        <f>'3.4D_LC_sum'!O39</f>
        <v>229.81528531772636</v>
      </c>
      <c r="G16" s="226">
        <f>'3.4D_LC_sum'!P39</f>
        <v>228.02454048505442</v>
      </c>
      <c r="H16" s="226">
        <f>'3.4D_LC_sum'!Q39</f>
        <v>6.4996155714285715</v>
      </c>
      <c r="J16" s="226">
        <f>SUM(B16:D16)</f>
        <v>463.8705407849252</v>
      </c>
      <c r="K16" s="226">
        <f>SUM(E16:G16)</f>
        <v>689.44585595317915</v>
      </c>
      <c r="M16" s="226">
        <f>B16+E16</f>
        <v>388.02028857804532</v>
      </c>
      <c r="N16" s="226">
        <f>D16+G16</f>
        <v>380.85730924735753</v>
      </c>
      <c r="O16" s="7"/>
      <c r="P16" s="226">
        <f>MAX(B16:G16)</f>
        <v>231.60603015039831</v>
      </c>
      <c r="Q16" s="226">
        <f>MIN(B16:G16)</f>
        <v>152.83276876230312</v>
      </c>
      <c r="R16" s="226">
        <f>H16</f>
        <v>6.4996155714285715</v>
      </c>
      <c r="S16" s="7"/>
      <c r="Y16" s="7"/>
      <c r="Z16" s="7"/>
      <c r="AA16" s="7"/>
    </row>
    <row r="17" spans="1:27">
      <c r="A17" s="112"/>
      <c r="B17" s="226"/>
      <c r="C17" s="226"/>
      <c r="D17" s="226"/>
      <c r="E17" s="226"/>
      <c r="F17" s="226"/>
      <c r="G17" s="226"/>
      <c r="H17" s="226"/>
      <c r="J17" s="226"/>
      <c r="K17" s="226"/>
      <c r="M17" s="226"/>
      <c r="N17" s="226"/>
      <c r="O17" s="7"/>
      <c r="P17" s="226"/>
      <c r="Q17" s="226"/>
      <c r="R17" s="226"/>
      <c r="S17" s="7"/>
      <c r="Y17" s="7"/>
      <c r="Z17" s="7"/>
      <c r="AA17" s="7"/>
    </row>
    <row r="18" spans="1:27">
      <c r="A18" s="112" t="str">
        <f>'3.4D_LC_sum'!A41</f>
        <v>LC-9</v>
      </c>
      <c r="B18" s="226">
        <f>'3.4D_LC_sum'!K41</f>
        <v>57.190317722240977</v>
      </c>
      <c r="C18" s="226">
        <f>'3.4D_LC_sum'!L41</f>
        <v>66.258824636104848</v>
      </c>
      <c r="D18" s="226">
        <f>'3.4D_LC_sum'!M41</f>
        <v>75.327331549968719</v>
      </c>
      <c r="E18" s="226">
        <f>'3.4D_LC_sum'!N41</f>
        <v>239.03637522613604</v>
      </c>
      <c r="F18" s="226">
        <f>'3.4D_LC_sum'!O41</f>
        <v>248.10488213999992</v>
      </c>
      <c r="G18" s="226">
        <f>'3.4D_LC_sum'!P41</f>
        <v>257.17338905386379</v>
      </c>
      <c r="H18" s="226">
        <f>'3.4D_LC_sum'!Q41</f>
        <v>17.257523407246346</v>
      </c>
      <c r="J18" s="226">
        <f>SUM(B18:D18)</f>
        <v>198.77647390831453</v>
      </c>
      <c r="K18" s="226">
        <f>SUM(E18:G18)</f>
        <v>744.31464641999969</v>
      </c>
      <c r="M18" s="226">
        <f>B18+E18</f>
        <v>296.22669294837704</v>
      </c>
      <c r="N18" s="226">
        <f>D18+G18</f>
        <v>332.50072060383252</v>
      </c>
      <c r="O18" s="7"/>
      <c r="P18" s="226">
        <f>MAX(B18:G18)</f>
        <v>257.17338905386379</v>
      </c>
      <c r="Q18" s="226">
        <f>MIN(B18:G18)</f>
        <v>57.190317722240977</v>
      </c>
      <c r="R18" s="226">
        <f>H18</f>
        <v>17.257523407246346</v>
      </c>
      <c r="S18" s="7"/>
      <c r="Y18" s="7"/>
      <c r="Z18" s="7"/>
      <c r="AA18" s="7"/>
    </row>
    <row r="19" spans="1:27">
      <c r="A19" s="112" t="str">
        <f>'3.4D_LC_sum'!A42</f>
        <v>LC-10</v>
      </c>
      <c r="B19" s="226">
        <f>'3.4D_LC_sum'!K42</f>
        <v>81.355888650051526</v>
      </c>
      <c r="C19" s="226">
        <f>'3.4D_LC_sum'!L42</f>
        <v>111.58424502959777</v>
      </c>
      <c r="D19" s="226">
        <f>'3.4D_LC_sum'!M42</f>
        <v>141.81260140914401</v>
      </c>
      <c r="E19" s="226">
        <f>'3.4D_LC_sum'!N42</f>
        <v>172.5511053669608</v>
      </c>
      <c r="F19" s="226">
        <f>'3.4D_LC_sum'!O42</f>
        <v>202.77946174650702</v>
      </c>
      <c r="G19" s="226">
        <f>'3.4D_LC_sum'!P42</f>
        <v>233.00781812605325</v>
      </c>
      <c r="H19" s="226">
        <f>'3.4D_LC_sum'!Q42</f>
        <v>11.264023470864549</v>
      </c>
      <c r="J19" s="226">
        <f>SUM(B19:D19)</f>
        <v>334.75273508879332</v>
      </c>
      <c r="K19" s="226">
        <f>SUM(E19:G19)</f>
        <v>608.33838523952113</v>
      </c>
      <c r="M19" s="226">
        <f>B19+E19</f>
        <v>253.90699401701232</v>
      </c>
      <c r="N19" s="226">
        <f>D19+G19</f>
        <v>374.82041953519729</v>
      </c>
      <c r="O19" s="7"/>
      <c r="P19" s="226">
        <f>MAX(B19:G19)</f>
        <v>233.00781812605325</v>
      </c>
      <c r="Q19" s="226">
        <f>MIN(B19:G19)</f>
        <v>81.355888650051526</v>
      </c>
      <c r="R19" s="226">
        <f>H19</f>
        <v>11.264023470864549</v>
      </c>
      <c r="S19" s="7"/>
      <c r="Y19" s="7"/>
      <c r="Z19" s="7"/>
      <c r="AA19" s="7"/>
    </row>
    <row r="20" spans="1:27">
      <c r="A20" s="112" t="str">
        <f>'3.4D_LC_sum'!A43</f>
        <v>LC-11</v>
      </c>
      <c r="B20" s="226">
        <f>'3.4D_LC_sum'!K43</f>
        <v>60.269942085426052</v>
      </c>
      <c r="C20" s="226">
        <f>'3.4D_LC_sum'!L43</f>
        <v>69.338448999289923</v>
      </c>
      <c r="D20" s="226">
        <f>'3.4D_LC_sum'!M43</f>
        <v>78.406955913153794</v>
      </c>
      <c r="E20" s="226">
        <f>'3.4D_LC_sum'!N43</f>
        <v>243.37769608932109</v>
      </c>
      <c r="F20" s="226">
        <f>'3.4D_LC_sum'!O43</f>
        <v>252.44620300318496</v>
      </c>
      <c r="G20" s="226">
        <f>'3.4D_LC_sum'!P43</f>
        <v>261.51470991704883</v>
      </c>
      <c r="H20" s="226">
        <f>'3.4D_LC_sum'!Q43</f>
        <v>17.257523407246346</v>
      </c>
      <c r="J20" s="226">
        <f>SUM(B20:D20)</f>
        <v>208.01534699786976</v>
      </c>
      <c r="K20" s="226">
        <f>SUM(E20:G20)</f>
        <v>757.33860900955483</v>
      </c>
      <c r="M20" s="226">
        <f>B20+E20</f>
        <v>303.64763817474716</v>
      </c>
      <c r="N20" s="226">
        <f>D20+G20</f>
        <v>339.92166583020264</v>
      </c>
      <c r="O20" s="7"/>
      <c r="P20" s="226">
        <f>MAX(B20:G20)</f>
        <v>261.51470991704883</v>
      </c>
      <c r="Q20" s="226">
        <f>MIN(B20:G20)</f>
        <v>60.269942085426052</v>
      </c>
      <c r="R20" s="226">
        <f>H20</f>
        <v>17.257523407246346</v>
      </c>
      <c r="S20" s="7"/>
      <c r="Y20" s="7"/>
      <c r="Z20" s="7"/>
      <c r="AA20" s="7"/>
    </row>
    <row r="21" spans="1:27">
      <c r="A21" s="112" t="str">
        <f>'3.4D_LC_sum'!A44</f>
        <v>LC-12</v>
      </c>
      <c r="B21" s="226">
        <f>'3.4D_LC_sum'!K44</f>
        <v>84.435513013236601</v>
      </c>
      <c r="C21" s="226">
        <f>'3.4D_LC_sum'!L44</f>
        <v>114.66386939278283</v>
      </c>
      <c r="D21" s="226">
        <f>'3.4D_LC_sum'!M44</f>
        <v>144.89222577232906</v>
      </c>
      <c r="E21" s="226">
        <f>'3.4D_LC_sum'!N44</f>
        <v>176.89242623014584</v>
      </c>
      <c r="F21" s="226">
        <f>'3.4D_LC_sum'!O44</f>
        <v>207.12078260969207</v>
      </c>
      <c r="G21" s="226">
        <f>'3.4D_LC_sum'!P44</f>
        <v>237.3491389892383</v>
      </c>
      <c r="H21" s="226">
        <f>'3.4D_LC_sum'!Q44</f>
        <v>11.264023470864549</v>
      </c>
      <c r="J21" s="226">
        <f>SUM(B21:D21)</f>
        <v>343.99160817834849</v>
      </c>
      <c r="K21" s="226">
        <f>SUM(E21:G21)</f>
        <v>621.36234782907627</v>
      </c>
      <c r="M21" s="226">
        <f>B21+E21</f>
        <v>261.32793924338245</v>
      </c>
      <c r="N21" s="226">
        <f>D21+G21</f>
        <v>382.24136476156735</v>
      </c>
      <c r="O21" s="7"/>
      <c r="P21" s="226">
        <f>MAX(B21:G21)</f>
        <v>237.3491389892383</v>
      </c>
      <c r="Q21" s="226">
        <f>MIN(B21:G21)</f>
        <v>84.435513013236601</v>
      </c>
      <c r="R21" s="226">
        <f>H21</f>
        <v>11.264023470864549</v>
      </c>
      <c r="S21" s="7"/>
      <c r="Y21" s="7"/>
      <c r="Z21" s="7"/>
      <c r="AA21" s="7"/>
    </row>
    <row r="22" spans="1:27">
      <c r="A22" s="112"/>
      <c r="B22" s="226"/>
      <c r="C22" s="226"/>
      <c r="D22" s="226"/>
      <c r="E22" s="226"/>
      <c r="F22" s="226"/>
      <c r="G22" s="226"/>
      <c r="H22" s="226"/>
      <c r="J22" s="226"/>
      <c r="K22" s="226"/>
      <c r="M22" s="226"/>
      <c r="N22" s="226"/>
      <c r="O22" s="7"/>
      <c r="P22" s="226"/>
      <c r="Q22" s="226"/>
      <c r="R22" s="226"/>
      <c r="S22" s="7"/>
      <c r="Y22" s="7"/>
      <c r="Z22" s="7"/>
      <c r="AA22" s="7"/>
    </row>
    <row r="23" spans="1:27">
      <c r="A23" s="112" t="str">
        <f>'3.4D_LC_sum'!A46</f>
        <v>LC-13</v>
      </c>
      <c r="B23" s="226">
        <f>'3.4D_LC_sum'!K46</f>
        <v>51.0235846398839</v>
      </c>
      <c r="C23" s="226">
        <f>'3.4D_LC_sum'!L46</f>
        <v>82.694993142379644</v>
      </c>
      <c r="D23" s="226">
        <f>'3.4D_LC_sum'!M46</f>
        <v>114.3664016448754</v>
      </c>
      <c r="E23" s="226">
        <f>'3.4D_LC_sum'!N46</f>
        <v>323.2427405180444</v>
      </c>
      <c r="F23" s="226">
        <f>'3.4D_LC_sum'!O46</f>
        <v>354.91414902054015</v>
      </c>
      <c r="G23" s="226">
        <f>'3.4D_LC_sum'!P46</f>
        <v>386.5855575230359</v>
      </c>
      <c r="H23" s="226">
        <f>'3.4D_LC_sum'!Q46</f>
        <v>33.007446989275508</v>
      </c>
      <c r="J23" s="226">
        <f>SUM(B23:D23)</f>
        <v>248.08497942713893</v>
      </c>
      <c r="K23" s="226">
        <f>SUM(E23:G23)</f>
        <v>1064.7424470616204</v>
      </c>
      <c r="M23" s="226">
        <f>B23+E23</f>
        <v>374.26632515792829</v>
      </c>
      <c r="N23" s="226">
        <f>D23+G23</f>
        <v>500.9519591679113</v>
      </c>
      <c r="O23" s="7"/>
      <c r="P23" s="226">
        <f>MAX(B23:G23)</f>
        <v>386.5855575230359</v>
      </c>
      <c r="Q23" s="226">
        <f>MIN(B23:G23)</f>
        <v>51.0235846398839</v>
      </c>
      <c r="R23" s="226">
        <f>H23</f>
        <v>33.007446989275508</v>
      </c>
      <c r="S23" s="7"/>
      <c r="Y23" s="7"/>
      <c r="Z23" s="7"/>
      <c r="AA23" s="7"/>
    </row>
    <row r="24" spans="1:27">
      <c r="A24" s="112" t="str">
        <f>'3.4D_LC_sum'!A47</f>
        <v>LC-14</v>
      </c>
      <c r="B24" s="226">
        <f>'3.4D_LC_sum'!K47</f>
        <v>67.774472254379631</v>
      </c>
      <c r="C24" s="226">
        <f>'3.4D_LC_sum'!L47</f>
        <v>173.34583392936545</v>
      </c>
      <c r="D24" s="226">
        <f>'3.4D_LC_sum'!M47</f>
        <v>278.91719560435126</v>
      </c>
      <c r="E24" s="226">
        <f>'3.4D_LC_sum'!N47</f>
        <v>158.69194655856853</v>
      </c>
      <c r="F24" s="226">
        <f>'3.4D_LC_sum'!O47</f>
        <v>264.26330823355437</v>
      </c>
      <c r="G24" s="226">
        <f>'3.4D_LC_sum'!P47</f>
        <v>369.83466990854021</v>
      </c>
      <c r="H24" s="226">
        <f>'3.4D_LC_sum'!Q47</f>
        <v>32.147035993521833</v>
      </c>
      <c r="J24" s="226">
        <f>SUM(B24:D24)</f>
        <v>520.03750178809628</v>
      </c>
      <c r="K24" s="226">
        <f>SUM(E24:G24)</f>
        <v>792.78992470066305</v>
      </c>
      <c r="M24" s="226">
        <f>B24+E24</f>
        <v>226.46641881294818</v>
      </c>
      <c r="N24" s="226">
        <f>D24+G24</f>
        <v>648.75186551289153</v>
      </c>
      <c r="O24" s="7"/>
      <c r="P24" s="226">
        <f>MAX(B24:G24)</f>
        <v>369.83466990854021</v>
      </c>
      <c r="Q24" s="226">
        <f>MIN(B24:G24)</f>
        <v>67.774472254379631</v>
      </c>
      <c r="R24" s="226">
        <f>H24</f>
        <v>32.147035993521833</v>
      </c>
      <c r="S24" s="7"/>
      <c r="Y24" s="7"/>
      <c r="Z24" s="7"/>
      <c r="AA24" s="7"/>
    </row>
    <row r="25" spans="1:27">
      <c r="A25" s="112" t="str">
        <f>'3.4D_LC_sum'!A48</f>
        <v>LC-15</v>
      </c>
      <c r="B25" s="226">
        <f>'3.4D_LC_sum'!K48</f>
        <v>63.185621866254003</v>
      </c>
      <c r="C25" s="226">
        <f>'3.4D_LC_sum'!L48</f>
        <v>94.857030368749747</v>
      </c>
      <c r="D25" s="226">
        <f>'3.4D_LC_sum'!M48</f>
        <v>126.5284388712455</v>
      </c>
      <c r="E25" s="226">
        <f>'3.4D_LC_sum'!N48</f>
        <v>335.4047777444145</v>
      </c>
      <c r="F25" s="226">
        <f>'3.4D_LC_sum'!O48</f>
        <v>367.07618624691025</v>
      </c>
      <c r="G25" s="226">
        <f>'3.4D_LC_sum'!P48</f>
        <v>398.74759474940601</v>
      </c>
      <c r="H25" s="226">
        <f>'3.4D_LC_sum'!Q48</f>
        <v>33.007446989275508</v>
      </c>
      <c r="J25" s="226">
        <f>SUM(B25:D25)</f>
        <v>284.57109110624924</v>
      </c>
      <c r="K25" s="226">
        <f>SUM(E25:G25)</f>
        <v>1101.2285587407307</v>
      </c>
      <c r="M25" s="226">
        <f>B25+E25</f>
        <v>398.5903996106685</v>
      </c>
      <c r="N25" s="226">
        <f>D25+G25</f>
        <v>525.27603362065156</v>
      </c>
      <c r="O25" s="7"/>
      <c r="P25" s="226">
        <f>MAX(B25:G25)</f>
        <v>398.74759474940601</v>
      </c>
      <c r="Q25" s="226">
        <f>MIN(B25:G25)</f>
        <v>63.185621866254003</v>
      </c>
      <c r="R25" s="226">
        <f>H25</f>
        <v>33.007446989275508</v>
      </c>
      <c r="S25" s="7"/>
      <c r="Y25" s="7"/>
      <c r="Z25" s="7"/>
      <c r="AA25" s="7"/>
    </row>
    <row r="26" spans="1:27">
      <c r="A26" s="112" t="str">
        <f>'3.4D_LC_sum'!A49</f>
        <v>LC-16</v>
      </c>
      <c r="B26" s="226">
        <f>'3.4D_LC_sum'!K49</f>
        <v>79.936509480749734</v>
      </c>
      <c r="C26" s="226">
        <f>'3.4D_LC_sum'!L49</f>
        <v>185.50787115573556</v>
      </c>
      <c r="D26" s="226">
        <f>'3.4D_LC_sum'!M49</f>
        <v>291.07923283072137</v>
      </c>
      <c r="E26" s="226">
        <f>'3.4D_LC_sum'!N49</f>
        <v>170.85398378493863</v>
      </c>
      <c r="F26" s="226">
        <f>'3.4D_LC_sum'!O49</f>
        <v>276.42534545992447</v>
      </c>
      <c r="G26" s="226">
        <f>'3.4D_LC_sum'!P49</f>
        <v>381.99670713491031</v>
      </c>
      <c r="H26" s="226">
        <f>'3.4D_LC_sum'!Q49</f>
        <v>32.147035993521833</v>
      </c>
      <c r="J26" s="226">
        <f>SUM(B26:D26)</f>
        <v>556.52361346720659</v>
      </c>
      <c r="K26" s="226">
        <f>SUM(E26:G26)</f>
        <v>829.27603637977336</v>
      </c>
      <c r="M26" s="226">
        <f>B26+E26</f>
        <v>250.79049326568838</v>
      </c>
      <c r="N26" s="226">
        <f>D26+G26</f>
        <v>673.07593996563173</v>
      </c>
      <c r="O26" s="7"/>
      <c r="P26" s="226">
        <f>MAX(B26:G26)</f>
        <v>381.99670713491031</v>
      </c>
      <c r="Q26" s="226">
        <f>MIN(B26:G26)</f>
        <v>79.936509480749734</v>
      </c>
      <c r="R26" s="226">
        <f>H26</f>
        <v>32.147035993521833</v>
      </c>
      <c r="S26" s="7"/>
      <c r="Y26" s="7"/>
      <c r="Z26" s="7"/>
      <c r="AA26" s="7"/>
    </row>
    <row r="27" spans="1:27">
      <c r="A27" s="112"/>
      <c r="B27" s="226"/>
      <c r="C27" s="226"/>
      <c r="D27" s="226"/>
      <c r="E27" s="226"/>
      <c r="F27" s="226"/>
      <c r="G27" s="226"/>
      <c r="H27" s="226"/>
      <c r="J27" s="226"/>
      <c r="K27" s="226"/>
      <c r="M27" s="226"/>
      <c r="N27" s="226"/>
      <c r="O27" s="7"/>
      <c r="P27" s="226"/>
      <c r="Q27" s="226"/>
      <c r="R27" s="226"/>
      <c r="S27" s="7"/>
      <c r="Y27" s="7"/>
      <c r="Z27" s="7"/>
      <c r="AA27" s="7"/>
    </row>
    <row r="28" spans="1:27">
      <c r="A28" s="112" t="str">
        <f>'3.4D_LC_sum'!A51</f>
        <v>LC-17</v>
      </c>
      <c r="B28" s="226">
        <f>'3.4D_LC_sum'!K51</f>
        <v>54.93655463610709</v>
      </c>
      <c r="C28" s="226">
        <f>'3.4D_LC_sum'!L51</f>
        <v>87.878473492432562</v>
      </c>
      <c r="D28" s="226">
        <f>'3.4D_LC_sum'!M51</f>
        <v>120.82039234875803</v>
      </c>
      <c r="E28" s="226">
        <f>'3.4D_LC_sum'!N51</f>
        <v>325.69041065225707</v>
      </c>
      <c r="F28" s="226">
        <f>'3.4D_LC_sum'!O51</f>
        <v>358.63232950858253</v>
      </c>
      <c r="G28" s="226">
        <f>'3.4D_LC_sum'!P51</f>
        <v>391.57424836490799</v>
      </c>
      <c r="H28" s="226">
        <f>'3.4D_LC_sum'!Q51</f>
        <v>32.932331480890589</v>
      </c>
      <c r="J28" s="226">
        <f>SUM(B28:D28)</f>
        <v>263.63542047729771</v>
      </c>
      <c r="K28" s="226">
        <f>SUM(E28:G28)</f>
        <v>1075.8969885257477</v>
      </c>
      <c r="M28" s="226">
        <f>B28+E28</f>
        <v>380.62696528836415</v>
      </c>
      <c r="N28" s="226">
        <f>D28+G28</f>
        <v>512.39464071366604</v>
      </c>
      <c r="O28" s="7"/>
      <c r="P28" s="226">
        <f>MAX(B28:G28)</f>
        <v>391.57424836490799</v>
      </c>
      <c r="Q28" s="226">
        <f>MIN(B28:G28)</f>
        <v>54.93655463610709</v>
      </c>
      <c r="R28" s="226">
        <f>H28</f>
        <v>32.932331480890589</v>
      </c>
      <c r="S28" s="7"/>
      <c r="Y28" s="7"/>
      <c r="Z28" s="7"/>
      <c r="AA28" s="7"/>
    </row>
    <row r="29" spans="1:27">
      <c r="A29" s="112" t="str">
        <f>'3.4D_LC_sum'!A52</f>
        <v>LC-18</v>
      </c>
      <c r="B29" s="226">
        <f>'3.4D_LC_sum'!K52</f>
        <v>68.051812836852804</v>
      </c>
      <c r="C29" s="226">
        <f>'3.4D_LC_sum'!L52</f>
        <v>178.52931427941837</v>
      </c>
      <c r="D29" s="226">
        <f>'3.4D_LC_sum'!M52</f>
        <v>289.00681572198391</v>
      </c>
      <c r="E29" s="226">
        <f>'3.4D_LC_sum'!N52</f>
        <v>157.50398727903112</v>
      </c>
      <c r="F29" s="226">
        <f>'3.4D_LC_sum'!O52</f>
        <v>267.98148872159669</v>
      </c>
      <c r="G29" s="226">
        <f>'3.4D_LC_sum'!P52</f>
        <v>378.45899016416229</v>
      </c>
      <c r="H29" s="226">
        <f>'3.4D_LC_sum'!Q52</f>
        <v>33.168647984517385</v>
      </c>
      <c r="J29" s="226">
        <f>SUM(B29:D29)</f>
        <v>535.58794283825512</v>
      </c>
      <c r="K29" s="226">
        <f>SUM(E29:G29)</f>
        <v>803.94446616479013</v>
      </c>
      <c r="M29" s="226">
        <f>B29+E29</f>
        <v>225.55580011588393</v>
      </c>
      <c r="N29" s="226">
        <f>D29+G29</f>
        <v>667.4658058861462</v>
      </c>
      <c r="O29" s="7"/>
      <c r="P29" s="226">
        <f>MAX(B29:G29)</f>
        <v>378.45899016416229</v>
      </c>
      <c r="Q29" s="226">
        <f>MIN(B29:G29)</f>
        <v>68.051812836852804</v>
      </c>
      <c r="R29" s="226">
        <f>H29</f>
        <v>33.168647984517385</v>
      </c>
      <c r="S29" s="7"/>
      <c r="Y29" s="7"/>
      <c r="Z29" s="7"/>
      <c r="AA29" s="7"/>
    </row>
    <row r="30" spans="1:27">
      <c r="A30" s="112" t="str">
        <f>'3.4D_LC_sum'!A53</f>
        <v>LC-19</v>
      </c>
      <c r="B30" s="226">
        <f>'3.4D_LC_sum'!K53</f>
        <v>67.573673963693409</v>
      </c>
      <c r="C30" s="226">
        <f>'3.4D_LC_sum'!L53</f>
        <v>100.48620841023123</v>
      </c>
      <c r="D30" s="226">
        <f>'3.4D_LC_sum'!M53</f>
        <v>133.39874285676905</v>
      </c>
      <c r="E30" s="226">
        <f>'3.4D_LC_sum'!N53</f>
        <v>338.34557482555761</v>
      </c>
      <c r="F30" s="226">
        <f>'3.4D_LC_sum'!O53</f>
        <v>371.25810927209545</v>
      </c>
      <c r="G30" s="226">
        <f>'3.4D_LC_sum'!P53</f>
        <v>404.1706437186333</v>
      </c>
      <c r="H30" s="226">
        <f>'3.4D_LC_sum'!Q53</f>
        <v>32.932331480890589</v>
      </c>
      <c r="J30" s="226">
        <f>SUM(B30:D30)</f>
        <v>301.45862523069366</v>
      </c>
      <c r="K30" s="226">
        <f>SUM(E30:G30)</f>
        <v>1113.7743278162864</v>
      </c>
      <c r="M30" s="226">
        <f>B30+E30</f>
        <v>405.91924878925101</v>
      </c>
      <c r="N30" s="226">
        <f>D30+G30</f>
        <v>537.5693865754024</v>
      </c>
      <c r="O30" s="7"/>
      <c r="P30" s="226">
        <f>MAX(B30:G30)</f>
        <v>404.1706437186333</v>
      </c>
      <c r="Q30" s="226">
        <f>MIN(B30:G30)</f>
        <v>67.573673963693409</v>
      </c>
      <c r="R30" s="226">
        <f>H30</f>
        <v>32.932331480890589</v>
      </c>
      <c r="S30" s="7"/>
      <c r="Y30" s="7"/>
      <c r="Z30" s="7"/>
      <c r="AA30" s="7"/>
    </row>
    <row r="31" spans="1:27">
      <c r="A31" s="112" t="str">
        <f>'3.4D_LC_sum'!A54</f>
        <v>LC-20</v>
      </c>
      <c r="B31" s="226">
        <f>'3.4D_LC_sum'!K54</f>
        <v>80.688932164439152</v>
      </c>
      <c r="C31" s="226">
        <f>'3.4D_LC_sum'!L54</f>
        <v>191.13704919721704</v>
      </c>
      <c r="D31" s="226">
        <f>'3.4D_LC_sum'!M54</f>
        <v>301.58516622999491</v>
      </c>
      <c r="E31" s="226">
        <f>'3.4D_LC_sum'!N54</f>
        <v>170.15915145233174</v>
      </c>
      <c r="F31" s="226">
        <f>'3.4D_LC_sum'!O54</f>
        <v>280.60726848510961</v>
      </c>
      <c r="G31" s="226">
        <f>'3.4D_LC_sum'!P54</f>
        <v>391.05538551788749</v>
      </c>
      <c r="H31" s="226">
        <f>'3.4D_LC_sum'!Q54</f>
        <v>33.168647984517385</v>
      </c>
      <c r="J31" s="226">
        <f>SUM(B31:D31)</f>
        <v>573.41114759165112</v>
      </c>
      <c r="K31" s="226">
        <f>SUM(E31:G31)</f>
        <v>841.82180545532879</v>
      </c>
      <c r="M31" s="226">
        <f>B31+E31</f>
        <v>250.84808361677091</v>
      </c>
      <c r="N31" s="226">
        <f>D31+G31</f>
        <v>692.64055174788245</v>
      </c>
      <c r="O31" s="7"/>
      <c r="P31" s="226">
        <f>MAX(B31:G31)</f>
        <v>391.05538551788749</v>
      </c>
      <c r="Q31" s="226">
        <f>MIN(B31:G31)</f>
        <v>80.688932164439152</v>
      </c>
      <c r="R31" s="226">
        <f>H31</f>
        <v>33.168647984517385</v>
      </c>
      <c r="S31" s="7"/>
      <c r="Y31" s="7"/>
      <c r="Z31" s="7"/>
      <c r="AA31" s="7"/>
    </row>
    <row r="32" spans="1:27">
      <c r="A32" s="112"/>
      <c r="B32" s="226"/>
      <c r="C32" s="226"/>
      <c r="D32" s="226"/>
      <c r="E32" s="226"/>
      <c r="F32" s="226"/>
      <c r="G32" s="226"/>
      <c r="H32" s="226"/>
      <c r="J32" s="226"/>
      <c r="K32" s="226"/>
      <c r="M32" s="226"/>
      <c r="N32" s="226"/>
      <c r="O32" s="7"/>
      <c r="P32" s="226"/>
      <c r="Q32" s="226"/>
      <c r="R32" s="226"/>
      <c r="S32" s="7"/>
      <c r="Y32" s="7"/>
      <c r="Z32" s="7"/>
      <c r="AA32" s="7"/>
    </row>
    <row r="33" spans="1:27">
      <c r="A33" s="112" t="str">
        <f>'3.4D_LC_sum'!A56</f>
        <v>LC-21</v>
      </c>
      <c r="B33" s="226">
        <f>'3.4D_LC_sum'!K56</f>
        <v>53.616127794264173</v>
      </c>
      <c r="C33" s="226">
        <f>'3.4D_LC_sum'!L56</f>
        <v>86.445374437215605</v>
      </c>
      <c r="D33" s="226">
        <f>'3.4D_LC_sum'!M56</f>
        <v>119.27462108016704</v>
      </c>
      <c r="E33" s="226">
        <f>'3.4D_LC_sum'!N56</f>
        <v>326.44675912999082</v>
      </c>
      <c r="F33" s="226">
        <f>'3.4D_LC_sum'!O56</f>
        <v>359.27600577294226</v>
      </c>
      <c r="G33" s="226">
        <f>'3.4D_LC_sum'!P56</f>
        <v>392.10525241589369</v>
      </c>
      <c r="H33" s="226">
        <f>'3.4D_LC_sum'!Q56</f>
        <v>32.923654009321858</v>
      </c>
      <c r="J33" s="226">
        <f>SUM(B33:D33)</f>
        <v>259.33612331164682</v>
      </c>
      <c r="K33" s="226">
        <f>SUM(E33:G33)</f>
        <v>1077.8280173188268</v>
      </c>
      <c r="M33" s="226">
        <f>B33+E33</f>
        <v>380.062886924255</v>
      </c>
      <c r="N33" s="226">
        <f>D33+G33</f>
        <v>511.37987349606072</v>
      </c>
      <c r="O33" s="7"/>
      <c r="P33" s="226">
        <f>MAX(B33:G33)</f>
        <v>392.10525241589369</v>
      </c>
      <c r="Q33" s="226">
        <f>MIN(B33:G33)</f>
        <v>53.616127794264173</v>
      </c>
      <c r="R33" s="226">
        <f>H33</f>
        <v>32.923654009321858</v>
      </c>
      <c r="S33" s="7"/>
      <c r="Y33" s="7"/>
      <c r="Z33" s="7"/>
      <c r="AA33" s="7"/>
    </row>
    <row r="34" spans="1:27">
      <c r="A34" s="112" t="str">
        <f>'3.4D_LC_sum'!A57</f>
        <v>LC-22</v>
      </c>
      <c r="B34" s="226">
        <f>'3.4D_LC_sum'!K57</f>
        <v>67.053803212484894</v>
      </c>
      <c r="C34" s="226">
        <f>'3.4D_LC_sum'!L57</f>
        <v>177.09621522420142</v>
      </c>
      <c r="D34" s="226">
        <f>'3.4D_LC_sum'!M57</f>
        <v>287.13862723591797</v>
      </c>
      <c r="E34" s="226">
        <f>'3.4D_LC_sum'!N57</f>
        <v>158.5827529742399</v>
      </c>
      <c r="F34" s="226">
        <f>'3.4D_LC_sum'!O57</f>
        <v>268.62516498595642</v>
      </c>
      <c r="G34" s="226">
        <f>'3.4D_LC_sum'!P57</f>
        <v>378.66757699767294</v>
      </c>
      <c r="H34" s="226">
        <f>'3.4D_LC_sum'!Q57</f>
        <v>33.072792675005822</v>
      </c>
      <c r="J34" s="226">
        <f>SUM(B34:D34)</f>
        <v>531.28864567260428</v>
      </c>
      <c r="K34" s="226">
        <f>SUM(E34:G34)</f>
        <v>805.87549495786925</v>
      </c>
      <c r="M34" s="226">
        <f>B34+E34</f>
        <v>225.63655618672479</v>
      </c>
      <c r="N34" s="226">
        <f>D34+G34</f>
        <v>665.80620423359096</v>
      </c>
      <c r="O34" s="7"/>
      <c r="P34" s="226">
        <f>MAX(B34:G34)</f>
        <v>378.66757699767294</v>
      </c>
      <c r="Q34" s="226">
        <f>MIN(B34:G34)</f>
        <v>67.053803212484894</v>
      </c>
      <c r="R34" s="226">
        <f>H34</f>
        <v>33.072792675005822</v>
      </c>
      <c r="S34" s="7"/>
      <c r="Y34" s="7"/>
      <c r="Z34" s="7"/>
      <c r="AA34" s="7"/>
    </row>
    <row r="35" spans="1:27">
      <c r="A35" s="112" t="str">
        <f>'3.4D_LC_sum'!A58</f>
        <v>LC-23</v>
      </c>
      <c r="B35" s="226">
        <f>'3.4D_LC_sum'!K58</f>
        <v>66.104228339934295</v>
      </c>
      <c r="C35" s="226">
        <f>'3.4D_LC_sum'!L58</f>
        <v>98.90669646015715</v>
      </c>
      <c r="D35" s="226">
        <f>'3.4D_LC_sum'!M58</f>
        <v>131.70916458037999</v>
      </c>
      <c r="E35" s="226">
        <f>'3.4D_LC_sum'!N58</f>
        <v>339.16507874994664</v>
      </c>
      <c r="F35" s="226">
        <f>'3.4D_LC_sum'!O58</f>
        <v>371.96754687016949</v>
      </c>
      <c r="G35" s="226">
        <f>'3.4D_LC_sum'!P58</f>
        <v>404.77001499039233</v>
      </c>
      <c r="H35" s="226">
        <f>'3.4D_LC_sum'!Q58</f>
        <v>32.923654009321858</v>
      </c>
      <c r="J35" s="226">
        <f>SUM(B35:D35)</f>
        <v>296.72008938047145</v>
      </c>
      <c r="K35" s="226">
        <f>SUM(E35:G35)</f>
        <v>1115.9026406105086</v>
      </c>
      <c r="M35" s="226">
        <f>B35+E35</f>
        <v>405.26930708988095</v>
      </c>
      <c r="N35" s="226">
        <f>D35+G35</f>
        <v>536.47917957077232</v>
      </c>
      <c r="O35" s="7"/>
      <c r="P35" s="226">
        <f>MAX(B35:G35)</f>
        <v>404.77001499039233</v>
      </c>
      <c r="Q35" s="226">
        <f>MIN(B35:G35)</f>
        <v>66.104228339934295</v>
      </c>
      <c r="R35" s="226">
        <f>H35</f>
        <v>32.923654009321858</v>
      </c>
      <c r="S35" s="7"/>
      <c r="Y35" s="7"/>
      <c r="Z35" s="7"/>
      <c r="AA35" s="7"/>
    </row>
    <row r="36" spans="1:27">
      <c r="A36" s="112" t="str">
        <f>'3.4D_LC_sum'!A59</f>
        <v>LC-24</v>
      </c>
      <c r="B36" s="226">
        <f>'3.4D_LC_sum'!K59</f>
        <v>79.541903758154973</v>
      </c>
      <c r="C36" s="226">
        <f>'3.4D_LC_sum'!L59</f>
        <v>189.55753724714293</v>
      </c>
      <c r="D36" s="226">
        <f>'3.4D_LC_sum'!M59</f>
        <v>299.57317073613092</v>
      </c>
      <c r="E36" s="226">
        <f>'3.4D_LC_sum'!N59</f>
        <v>171.30107259419574</v>
      </c>
      <c r="F36" s="226">
        <f>'3.4D_LC_sum'!O59</f>
        <v>281.3167060831837</v>
      </c>
      <c r="G36" s="226">
        <f>'3.4D_LC_sum'!P59</f>
        <v>391.33233957217169</v>
      </c>
      <c r="H36" s="226">
        <f>'3.4D_LC_sum'!Q59</f>
        <v>33.072792675005822</v>
      </c>
      <c r="J36" s="226">
        <f>SUM(B36:D36)</f>
        <v>568.6726117414288</v>
      </c>
      <c r="K36" s="226">
        <f>SUM(E36:G36)</f>
        <v>843.95011824955111</v>
      </c>
      <c r="M36" s="226">
        <f>B36+E36</f>
        <v>250.84297635235072</v>
      </c>
      <c r="N36" s="226">
        <f>D36+G36</f>
        <v>690.90551030830261</v>
      </c>
      <c r="O36" s="7"/>
      <c r="P36" s="226">
        <f>MAX(B36:G36)</f>
        <v>391.33233957217169</v>
      </c>
      <c r="Q36" s="226">
        <f>MIN(B36:G36)</f>
        <v>79.541903758154973</v>
      </c>
      <c r="R36" s="226">
        <f>H36</f>
        <v>33.072792675005822</v>
      </c>
      <c r="S36" s="7"/>
      <c r="Y36" s="7"/>
      <c r="Z36" s="7"/>
      <c r="AA36" s="7"/>
    </row>
    <row r="37" spans="1:27">
      <c r="A37" s="112"/>
      <c r="B37" s="226"/>
      <c r="C37" s="226"/>
      <c r="D37" s="226"/>
      <c r="E37" s="226"/>
      <c r="F37" s="226"/>
      <c r="G37" s="226"/>
      <c r="H37" s="226"/>
      <c r="J37" s="226"/>
      <c r="K37" s="226"/>
      <c r="M37" s="226"/>
      <c r="N37" s="226"/>
      <c r="O37" s="7"/>
      <c r="P37" s="226"/>
      <c r="Q37" s="226"/>
      <c r="R37" s="226"/>
      <c r="S37" s="7"/>
      <c r="Y37" s="7"/>
      <c r="Z37" s="7"/>
      <c r="AA37" s="7"/>
    </row>
    <row r="38" spans="1:27">
      <c r="A38" s="112" t="str">
        <f>'3.4D_LC_sum'!A61</f>
        <v>LC-25</v>
      </c>
      <c r="B38" s="226">
        <f>'3.4D_LC_sum'!K61</f>
        <v>112.27835549442354</v>
      </c>
      <c r="C38" s="226">
        <f>'3.4D_LC_sum'!L61</f>
        <v>112.64847781898641</v>
      </c>
      <c r="D38" s="226">
        <f>'3.4D_LC_sum'!M61</f>
        <v>113.01860014354928</v>
      </c>
      <c r="E38" s="226">
        <f>'3.4D_LC_sum'!N61</f>
        <v>183.38994558892361</v>
      </c>
      <c r="F38" s="226">
        <f>'3.4D_LC_sum'!O61</f>
        <v>183.76006791348647</v>
      </c>
      <c r="G38" s="226">
        <f>'3.4D_LC_sum'!P61</f>
        <v>184.13019023804932</v>
      </c>
      <c r="H38" s="226">
        <f>'3.4D_LC_sum'!Q61</f>
        <v>4.2470287759288423</v>
      </c>
      <c r="J38" s="226">
        <f>SUM(B38:D38)</f>
        <v>337.94543345695922</v>
      </c>
      <c r="K38" s="226">
        <f>SUM(E38:G38)</f>
        <v>551.28020374045934</v>
      </c>
      <c r="M38" s="226">
        <f>B38+E38</f>
        <v>295.66830108334716</v>
      </c>
      <c r="N38" s="226">
        <f>D38+G38</f>
        <v>297.14879038159859</v>
      </c>
      <c r="O38" s="7"/>
      <c r="P38" s="226">
        <f>MAX(B38:G38)</f>
        <v>184.13019023804932</v>
      </c>
      <c r="Q38" s="226">
        <f>MIN(B38:G38)</f>
        <v>112.27835549442354</v>
      </c>
      <c r="R38" s="226">
        <f>H38</f>
        <v>4.2470287759288423</v>
      </c>
      <c r="S38" s="7"/>
      <c r="Y38" s="7"/>
      <c r="Z38" s="7"/>
      <c r="AA38" s="7"/>
    </row>
    <row r="39" spans="1:27">
      <c r="A39" s="112" t="str">
        <f>'3.4D_LC_sum'!A62</f>
        <v>LC-26</v>
      </c>
      <c r="B39" s="226">
        <f>'3.4D_LC_sum'!K62</f>
        <v>205.74718799442357</v>
      </c>
      <c r="C39" s="226">
        <f>'3.4D_LC_sum'!L62</f>
        <v>206.11731031898643</v>
      </c>
      <c r="D39" s="226">
        <f>'3.4D_LC_sum'!M62</f>
        <v>206.48743264354928</v>
      </c>
      <c r="E39" s="226">
        <f>'3.4D_LC_sum'!N62</f>
        <v>221.61811308892359</v>
      </c>
      <c r="F39" s="226">
        <f>'3.4D_LC_sum'!O62</f>
        <v>221.98823541348645</v>
      </c>
      <c r="G39" s="226">
        <f>'3.4D_LC_sum'!P62</f>
        <v>222.35835773804931</v>
      </c>
      <c r="H39" s="226">
        <f>'3.4D_LC_sum'!Q62</f>
        <v>2.0956574025540289</v>
      </c>
      <c r="J39" s="226">
        <f>SUM(B39:D39)</f>
        <v>618.35193095695922</v>
      </c>
      <c r="K39" s="226">
        <f>SUM(E39:G39)</f>
        <v>665.96470624045935</v>
      </c>
      <c r="M39" s="226">
        <f>B39+E39</f>
        <v>427.36530108334716</v>
      </c>
      <c r="N39" s="226">
        <f>D39+G39</f>
        <v>428.84579038159859</v>
      </c>
      <c r="O39" s="7"/>
      <c r="P39" s="226">
        <f>MAX(B39:G39)</f>
        <v>222.35835773804931</v>
      </c>
      <c r="Q39" s="226">
        <f>MIN(B39:G39)</f>
        <v>205.74718799442357</v>
      </c>
      <c r="R39" s="226">
        <f>H39</f>
        <v>2.0956574025540289</v>
      </c>
      <c r="S39" s="7"/>
      <c r="Y39" s="7"/>
      <c r="Z39" s="7"/>
      <c r="AA39" s="7"/>
    </row>
    <row r="40" spans="1:27">
      <c r="A40" s="112" t="str">
        <f>'3.4D_LC_sum'!A63</f>
        <v>LC-27</v>
      </c>
      <c r="B40" s="226">
        <f>'3.4D_LC_sum'!K63</f>
        <v>212.27696816128326</v>
      </c>
      <c r="C40" s="226">
        <f>'3.4D_LC_sum'!L63</f>
        <v>210.37977491581182</v>
      </c>
      <c r="D40" s="226">
        <f>'3.4D_LC_sum'!M63</f>
        <v>208.48258167034038</v>
      </c>
      <c r="E40" s="226">
        <f>'3.4D_LC_sum'!N63</f>
        <v>289.79582120498969</v>
      </c>
      <c r="F40" s="226">
        <f>'3.4D_LC_sum'!O63</f>
        <v>287.89862795951825</v>
      </c>
      <c r="G40" s="226">
        <f>'3.4D_LC_sum'!P63</f>
        <v>286.00143471404681</v>
      </c>
      <c r="H40" s="226">
        <f>'3.4D_LC_sum'!Q63</f>
        <v>8.5807281641928697</v>
      </c>
      <c r="J40" s="226">
        <f>SUM(B40:D40)</f>
        <v>631.13932474743547</v>
      </c>
      <c r="K40" s="226">
        <f>SUM(E40:G40)</f>
        <v>863.6958838785547</v>
      </c>
      <c r="M40" s="226">
        <f>B40+E40</f>
        <v>502.07278936627296</v>
      </c>
      <c r="N40" s="226">
        <f>D40+G40</f>
        <v>494.48401638438719</v>
      </c>
      <c r="O40" s="7"/>
      <c r="P40" s="226">
        <f>MAX(B40:G40)</f>
        <v>289.79582120498969</v>
      </c>
      <c r="Q40" s="226">
        <f>MIN(B40:G40)</f>
        <v>208.48258167034038</v>
      </c>
      <c r="R40" s="226">
        <f>H40</f>
        <v>8.5807281641928697</v>
      </c>
      <c r="S40" s="7"/>
      <c r="Y40" s="7"/>
      <c r="Z40" s="7"/>
      <c r="AA40" s="7"/>
    </row>
    <row r="41" spans="1:27">
      <c r="A41" s="112" t="str">
        <f>'3.4D_LC_sum'!A64</f>
        <v>LC-28</v>
      </c>
      <c r="B41" s="226">
        <f>'3.4D_LC_sum'!K64</f>
        <v>203.13961515910609</v>
      </c>
      <c r="C41" s="226">
        <f>'3.4D_LC_sum'!L64</f>
        <v>201.44349344597055</v>
      </c>
      <c r="D41" s="226">
        <f>'3.4D_LC_sum'!M64</f>
        <v>199.74737173283501</v>
      </c>
      <c r="E41" s="226">
        <f>'3.4D_LC_sum'!N64</f>
        <v>292.30791685678071</v>
      </c>
      <c r="F41" s="226">
        <f>'3.4D_LC_sum'!O64</f>
        <v>290.61179514364517</v>
      </c>
      <c r="G41" s="226">
        <f>'3.4D_LC_sum'!P64</f>
        <v>288.91567343050963</v>
      </c>
      <c r="H41" s="226">
        <f>'3.4D_LC_sum'!Q64</f>
        <v>8.0687568681290518</v>
      </c>
      <c r="J41" s="226">
        <f>SUM(B41:D41)</f>
        <v>604.33048033791169</v>
      </c>
      <c r="K41" s="226">
        <f>SUM(E41:G41)</f>
        <v>871.8353854309355</v>
      </c>
      <c r="M41" s="226">
        <f>B41+E41</f>
        <v>495.44753201588679</v>
      </c>
      <c r="N41" s="226">
        <f>D41+G41</f>
        <v>488.66304516334463</v>
      </c>
      <c r="O41" s="7"/>
      <c r="P41" s="226">
        <f>MAX(B41:G41)</f>
        <v>292.30791685678071</v>
      </c>
      <c r="Q41" s="226">
        <f>MIN(B41:G41)</f>
        <v>199.74737173283501</v>
      </c>
      <c r="R41" s="226">
        <f>H41</f>
        <v>8.0687568681290518</v>
      </c>
      <c r="S41" s="7"/>
      <c r="Y41" s="7"/>
      <c r="Z41" s="7"/>
      <c r="AA41" s="7"/>
    </row>
    <row r="42" spans="1:27">
      <c r="A42" s="112"/>
      <c r="B42" s="226"/>
      <c r="C42" s="226"/>
      <c r="D42" s="226"/>
      <c r="E42" s="226"/>
      <c r="F42" s="226"/>
      <c r="G42" s="226"/>
      <c r="H42" s="226"/>
      <c r="J42" s="226"/>
      <c r="K42" s="226"/>
      <c r="M42" s="226"/>
      <c r="N42" s="226"/>
      <c r="O42" s="7"/>
      <c r="P42" s="226"/>
      <c r="Q42" s="226"/>
      <c r="R42" s="226"/>
      <c r="S42" s="7"/>
      <c r="Y42" s="7"/>
      <c r="Z42" s="7"/>
      <c r="AA42" s="7"/>
    </row>
    <row r="43" spans="1:27">
      <c r="A43" s="112" t="str">
        <f>'3.4D_LC_sum'!A66</f>
        <v>LC-29</v>
      </c>
      <c r="B43" s="226">
        <f>'3.4D_LC_sum'!K66</f>
        <v>78.446907220456865</v>
      </c>
      <c r="C43" s="226">
        <f>'3.4D_LC_sum'!L66</f>
        <v>78.817029545019736</v>
      </c>
      <c r="D43" s="226">
        <f>'3.4D_LC_sum'!M66</f>
        <v>79.187151869582607</v>
      </c>
      <c r="E43" s="226">
        <f>'3.4D_LC_sum'!N66</f>
        <v>134.8841226853273</v>
      </c>
      <c r="F43" s="226">
        <f>'3.4D_LC_sum'!O66</f>
        <v>135.25424500989016</v>
      </c>
      <c r="G43" s="226">
        <f>'3.4D_LC_sum'!P66</f>
        <v>135.62436733445301</v>
      </c>
      <c r="H43" s="226">
        <f>'3.4D_LC_sum'!Q66</f>
        <v>3.7646007571665767</v>
      </c>
      <c r="J43" s="226">
        <f>SUM(B43:D43)</f>
        <v>236.45108863505922</v>
      </c>
      <c r="K43" s="226">
        <f>SUM(E43:G43)</f>
        <v>405.76273502967047</v>
      </c>
      <c r="M43" s="226">
        <f>B43+E43</f>
        <v>213.33102990578416</v>
      </c>
      <c r="N43" s="226">
        <f>D43+G43</f>
        <v>214.81151920403562</v>
      </c>
      <c r="O43" s="7"/>
      <c r="P43" s="226">
        <f>MAX(B43:G43)</f>
        <v>135.62436733445301</v>
      </c>
      <c r="Q43" s="226">
        <f>MIN(B43:G43)</f>
        <v>78.446907220456865</v>
      </c>
      <c r="R43" s="226">
        <f>H43</f>
        <v>3.7646007571665767</v>
      </c>
      <c r="S43" s="7"/>
      <c r="Y43" s="7"/>
      <c r="Z43" s="7"/>
      <c r="AA43" s="7"/>
    </row>
    <row r="44" spans="1:27">
      <c r="A44" s="112" t="str">
        <f>'3.4D_LC_sum'!A67</f>
        <v>LC-30</v>
      </c>
      <c r="B44" s="226">
        <f>'3.4D_LC_sum'!K67</f>
        <v>148.95452455379021</v>
      </c>
      <c r="C44" s="226">
        <f>'3.4D_LC_sum'!L67</f>
        <v>149.32464687835306</v>
      </c>
      <c r="D44" s="226">
        <f>'3.4D_LC_sum'!M67</f>
        <v>149.69476920291592</v>
      </c>
      <c r="E44" s="226">
        <f>'3.4D_LC_sum'!N67</f>
        <v>161.92983868532727</v>
      </c>
      <c r="F44" s="226">
        <f>'3.4D_LC_sum'!O67</f>
        <v>162.29996100989013</v>
      </c>
      <c r="G44" s="226">
        <f>'3.4D_LC_sum'!P67</f>
        <v>162.67008333445298</v>
      </c>
      <c r="H44" s="226">
        <f>'3.4D_LC_sum'!Q67</f>
        <v>1.9092315110351186</v>
      </c>
      <c r="J44" s="226">
        <f>SUM(B44:D44)</f>
        <v>447.97394063505919</v>
      </c>
      <c r="K44" s="226">
        <f>SUM(E44:G44)</f>
        <v>486.89988302967038</v>
      </c>
      <c r="M44" s="226">
        <f>B44+E44</f>
        <v>310.88436323911748</v>
      </c>
      <c r="N44" s="226">
        <f>D44+G44</f>
        <v>312.3648525373689</v>
      </c>
      <c r="O44" s="7"/>
      <c r="P44" s="226">
        <f>MAX(B44:G44)</f>
        <v>162.67008333445298</v>
      </c>
      <c r="Q44" s="226">
        <f>MIN(B44:G44)</f>
        <v>148.95452455379021</v>
      </c>
      <c r="R44" s="226">
        <f>H44</f>
        <v>1.9092315110351186</v>
      </c>
      <c r="S44" s="7"/>
      <c r="Y44" s="7"/>
      <c r="Z44" s="7"/>
      <c r="AA44" s="7"/>
    </row>
    <row r="45" spans="1:27">
      <c r="A45" s="112" t="str">
        <f>'3.4D_LC_sum'!A68</f>
        <v>LC-31</v>
      </c>
      <c r="B45" s="226">
        <f>'3.4D_LC_sum'!K68</f>
        <v>154.61366736506858</v>
      </c>
      <c r="C45" s="226">
        <f>'3.4D_LC_sum'!L68</f>
        <v>153.01878286226838</v>
      </c>
      <c r="D45" s="226">
        <f>'3.4D_LC_sum'!M68</f>
        <v>151.42389835946818</v>
      </c>
      <c r="E45" s="226">
        <f>'3.4D_LC_sum'!N68</f>
        <v>221.01718571925119</v>
      </c>
      <c r="F45" s="226">
        <f>'3.4D_LC_sum'!O68</f>
        <v>219.42230121645099</v>
      </c>
      <c r="G45" s="226">
        <f>'3.4D_LC_sum'!P68</f>
        <v>217.82741671365079</v>
      </c>
      <c r="H45" s="226">
        <f>'3.4D_LC_sum'!Q68</f>
        <v>7.515239325551522</v>
      </c>
      <c r="J45" s="226">
        <f>SUM(B45:D45)</f>
        <v>459.05634858680514</v>
      </c>
      <c r="K45" s="226">
        <f>SUM(E45:G45)</f>
        <v>658.26690364935303</v>
      </c>
      <c r="M45" s="226">
        <f>B45+E45</f>
        <v>375.63085308431977</v>
      </c>
      <c r="N45" s="226">
        <f>D45+G45</f>
        <v>369.25131507311897</v>
      </c>
      <c r="O45" s="7"/>
      <c r="P45" s="226">
        <f>MAX(B45:G45)</f>
        <v>221.01718571925119</v>
      </c>
      <c r="Q45" s="226">
        <f>MIN(B45:G45)</f>
        <v>151.42389835946818</v>
      </c>
      <c r="R45" s="226">
        <f>H45</f>
        <v>7.515239325551522</v>
      </c>
      <c r="S45" s="7"/>
      <c r="Y45" s="7"/>
      <c r="Z45" s="7"/>
      <c r="AA45" s="7"/>
    </row>
    <row r="46" spans="1:27">
      <c r="A46" s="112" t="str">
        <f>'3.4D_LC_sum'!A69</f>
        <v>LC-32</v>
      </c>
      <c r="B46" s="226">
        <f>'3.4D_LC_sum'!K69</f>
        <v>146.69462809651503</v>
      </c>
      <c r="C46" s="226">
        <f>'3.4D_LC_sum'!L69</f>
        <v>145.27400558840594</v>
      </c>
      <c r="D46" s="226">
        <f>'3.4D_LC_sum'!M69</f>
        <v>143.85338308029685</v>
      </c>
      <c r="E46" s="226">
        <f>'3.4D_LC_sum'!N69</f>
        <v>223.1943352841368</v>
      </c>
      <c r="F46" s="226">
        <f>'3.4D_LC_sum'!O69</f>
        <v>221.77371277602771</v>
      </c>
      <c r="G46" s="226">
        <f>'3.4D_LC_sum'!P69</f>
        <v>220.35309026791862</v>
      </c>
      <c r="H46" s="226">
        <f>'3.4D_LC_sum'!Q69</f>
        <v>7.071870324940817</v>
      </c>
      <c r="J46" s="226">
        <f>SUM(B46:D46)</f>
        <v>435.82201676521782</v>
      </c>
      <c r="K46" s="226">
        <f>SUM(E46:G46)</f>
        <v>665.32113832808318</v>
      </c>
      <c r="M46" s="226">
        <f>B46+E46</f>
        <v>369.88896338065183</v>
      </c>
      <c r="N46" s="226">
        <f>D46+G46</f>
        <v>364.20647334821547</v>
      </c>
      <c r="O46" s="7"/>
      <c r="P46" s="226">
        <f>MAX(B46:G46)</f>
        <v>223.1943352841368</v>
      </c>
      <c r="Q46" s="226">
        <f>MIN(B46:G46)</f>
        <v>143.85338308029685</v>
      </c>
      <c r="R46" s="226">
        <f>H46</f>
        <v>7.071870324940817</v>
      </c>
      <c r="S46" s="7"/>
      <c r="Y46" s="7"/>
      <c r="Z46" s="7"/>
      <c r="AA46" s="7"/>
    </row>
    <row r="47" spans="1:27">
      <c r="A47" s="112"/>
      <c r="B47" s="226"/>
      <c r="C47" s="226"/>
      <c r="D47" s="226"/>
      <c r="E47" s="226"/>
      <c r="F47" s="226"/>
      <c r="G47" s="226"/>
      <c r="H47" s="226"/>
      <c r="J47" s="226"/>
      <c r="K47" s="226"/>
      <c r="M47" s="226"/>
      <c r="N47" s="226"/>
      <c r="O47" s="7"/>
      <c r="P47" s="226"/>
      <c r="Q47" s="226"/>
      <c r="R47" s="226"/>
      <c r="S47" s="7"/>
      <c r="Y47" s="7"/>
      <c r="Z47" s="7"/>
      <c r="AA47" s="7"/>
    </row>
    <row r="48" spans="1:27">
      <c r="A48" s="112" t="str">
        <f>'3.4D_LC_sum'!A71</f>
        <v>LC-33</v>
      </c>
      <c r="B48" s="226">
        <f>'3.4D_LC_sum'!K71</f>
        <v>39.555262915829623</v>
      </c>
      <c r="C48" s="226">
        <f>'3.4D_LC_sum'!L71</f>
        <v>50.034891358543533</v>
      </c>
      <c r="D48" s="226">
        <f>'3.4D_LC_sum'!M71</f>
        <v>60.514519801257443</v>
      </c>
      <c r="E48" s="226">
        <f>'3.4D_LC_sum'!N71</f>
        <v>247.05382880814878</v>
      </c>
      <c r="F48" s="226">
        <f>'3.4D_LC_sum'!O71</f>
        <v>257.53345725086268</v>
      </c>
      <c r="G48" s="226">
        <f>'3.4D_LC_sum'!P71</f>
        <v>268.01308569357661</v>
      </c>
      <c r="H48" s="226">
        <f>'3.4D_LC_sum'!Q71</f>
        <v>25.62280095275813</v>
      </c>
      <c r="J48" s="226">
        <f>SUM(B48:D48)</f>
        <v>150.10467407563061</v>
      </c>
      <c r="K48" s="226">
        <f>SUM(E48:G48)</f>
        <v>772.6003717525881</v>
      </c>
      <c r="M48" s="226">
        <f>B48+E48</f>
        <v>286.60909172397839</v>
      </c>
      <c r="N48" s="226">
        <f>D48+G48</f>
        <v>328.52760549483406</v>
      </c>
      <c r="O48" s="7"/>
      <c r="P48" s="226">
        <f>MAX(B48:G48)</f>
        <v>268.01308569357661</v>
      </c>
      <c r="Q48" s="226">
        <f>MIN(B48:G48)</f>
        <v>39.555262915829623</v>
      </c>
      <c r="R48" s="226">
        <f>H48</f>
        <v>25.62280095275813</v>
      </c>
      <c r="S48" s="7"/>
      <c r="Y48" s="7"/>
      <c r="Z48" s="7"/>
      <c r="AA48" s="7"/>
    </row>
    <row r="49" spans="1:27">
      <c r="A49" s="112" t="str">
        <f>'3.4D_LC_sum'!A72</f>
        <v>LC-34</v>
      </c>
      <c r="B49" s="226">
        <f>'3.4D_LC_sum'!K72</f>
        <v>63.922653723547185</v>
      </c>
      <c r="C49" s="226">
        <f>'3.4D_LC_sum'!L72</f>
        <v>97.991129775280214</v>
      </c>
      <c r="D49" s="226">
        <f>'3.4D_LC_sum'!M72</f>
        <v>132.05960582701323</v>
      </c>
      <c r="E49" s="226">
        <f>'3.4D_LC_sum'!N72</f>
        <v>175.50874278239294</v>
      </c>
      <c r="F49" s="226">
        <f>'3.4D_LC_sum'!O72</f>
        <v>209.57721883412597</v>
      </c>
      <c r="G49" s="226">
        <f>'3.4D_LC_sum'!P72</f>
        <v>243.645694885859</v>
      </c>
      <c r="H49" s="226">
        <f>'3.4D_LC_sum'!Q72</f>
        <v>19.395771127491194</v>
      </c>
      <c r="J49" s="226">
        <f>SUM(B49:D49)</f>
        <v>293.97338932584063</v>
      </c>
      <c r="K49" s="226">
        <f>SUM(E49:G49)</f>
        <v>628.73165650237797</v>
      </c>
      <c r="M49" s="226">
        <f>B49+E49</f>
        <v>239.43139650594014</v>
      </c>
      <c r="N49" s="226">
        <f>D49+G49</f>
        <v>375.70530071287226</v>
      </c>
      <c r="O49" s="7"/>
      <c r="P49" s="226">
        <f>MAX(B49:G49)</f>
        <v>243.645694885859</v>
      </c>
      <c r="Q49" s="226">
        <f>MIN(B49:G49)</f>
        <v>63.922653723547185</v>
      </c>
      <c r="R49" s="226">
        <f>H49</f>
        <v>19.395771127491194</v>
      </c>
      <c r="S49" s="7"/>
      <c r="Y49" s="7"/>
      <c r="Z49" s="7"/>
      <c r="AA49" s="7"/>
    </row>
    <row r="50" spans="1:27">
      <c r="A50" s="112" t="str">
        <f>'3.4D_LC_sum'!A73</f>
        <v>LC-35</v>
      </c>
      <c r="B50" s="226">
        <f>'3.4D_LC_sum'!K73</f>
        <v>44.252173779014733</v>
      </c>
      <c r="C50" s="226">
        <f>'3.4D_LC_sum'!L73</f>
        <v>54.731802221728643</v>
      </c>
      <c r="D50" s="226">
        <f>'3.4D_LC_sum'!M73</f>
        <v>65.21143066444256</v>
      </c>
      <c r="E50" s="226">
        <f>'3.4D_LC_sum'!N73</f>
        <v>253.01243617133386</v>
      </c>
      <c r="F50" s="226">
        <f>'3.4D_LC_sum'!O73</f>
        <v>263.49206461404776</v>
      </c>
      <c r="G50" s="226">
        <f>'3.4D_LC_sum'!P73</f>
        <v>273.97169305676169</v>
      </c>
      <c r="H50" s="226">
        <f>'3.4D_LC_sum'!Q73</f>
        <v>25.62280095275813</v>
      </c>
      <c r="J50" s="226">
        <f>SUM(B50:D50)</f>
        <v>164.19540666518594</v>
      </c>
      <c r="K50" s="226">
        <f>SUM(E50:G50)</f>
        <v>790.4761938421434</v>
      </c>
      <c r="M50" s="226">
        <f>B50+E50</f>
        <v>297.26460995034859</v>
      </c>
      <c r="N50" s="226">
        <f>D50+G50</f>
        <v>339.18312372120425</v>
      </c>
      <c r="O50" s="7"/>
      <c r="P50" s="226">
        <f>MAX(B50:G50)</f>
        <v>273.97169305676169</v>
      </c>
      <c r="Q50" s="226">
        <f>MIN(B50:G50)</f>
        <v>44.252173779014733</v>
      </c>
      <c r="R50" s="226">
        <f>H50</f>
        <v>25.62280095275813</v>
      </c>
      <c r="S50" s="7"/>
      <c r="Y50" s="7"/>
      <c r="Z50" s="7"/>
      <c r="AA50" s="7"/>
    </row>
    <row r="51" spans="1:27">
      <c r="A51" s="112" t="str">
        <f>'3.4D_LC_sum'!A74</f>
        <v>LC-36</v>
      </c>
      <c r="B51" s="226">
        <f>'3.4D_LC_sum'!K74</f>
        <v>68.619564586732281</v>
      </c>
      <c r="C51" s="226">
        <f>'3.4D_LC_sum'!L74</f>
        <v>102.68804063846531</v>
      </c>
      <c r="D51" s="226">
        <f>'3.4D_LC_sum'!M74</f>
        <v>136.75651669019834</v>
      </c>
      <c r="E51" s="226">
        <f>'3.4D_LC_sum'!N74</f>
        <v>181.46735014557805</v>
      </c>
      <c r="F51" s="226">
        <f>'3.4D_LC_sum'!O74</f>
        <v>215.53582619731108</v>
      </c>
      <c r="G51" s="226">
        <f>'3.4D_LC_sum'!P74</f>
        <v>249.60430224904411</v>
      </c>
      <c r="H51" s="226">
        <f>'3.4D_LC_sum'!Q74</f>
        <v>19.395771127491194</v>
      </c>
      <c r="J51" s="226">
        <f>SUM(B51:D51)</f>
        <v>308.06412191539596</v>
      </c>
      <c r="K51" s="226">
        <f>SUM(E51:G51)</f>
        <v>646.60747859193316</v>
      </c>
      <c r="M51" s="226">
        <f>B51+E51</f>
        <v>250.08691473231033</v>
      </c>
      <c r="N51" s="226">
        <f>D51+G51</f>
        <v>386.36081893924245</v>
      </c>
      <c r="O51" s="7"/>
      <c r="P51" s="226">
        <f>MAX(B51:G51)</f>
        <v>249.60430224904411</v>
      </c>
      <c r="Q51" s="226">
        <f>MIN(B51:G51)</f>
        <v>68.619564586732281</v>
      </c>
      <c r="R51" s="226">
        <f>H51</f>
        <v>19.395771127491194</v>
      </c>
      <c r="S51" s="7"/>
      <c r="Y51" s="7"/>
      <c r="Z51" s="7"/>
      <c r="AA51" s="7"/>
    </row>
    <row r="52" spans="1:27">
      <c r="A52" s="112"/>
      <c r="B52" s="226"/>
      <c r="C52" s="226"/>
      <c r="D52" s="226"/>
      <c r="E52" s="226"/>
      <c r="F52" s="226">
        <f>'3.4D_LC_sum'!O75</f>
        <v>0</v>
      </c>
      <c r="G52" s="226">
        <f>'3.4D_LC_sum'!P75</f>
        <v>0</v>
      </c>
      <c r="H52" s="226"/>
      <c r="J52" s="226"/>
      <c r="K52" s="226"/>
      <c r="M52" s="226"/>
      <c r="N52" s="226"/>
      <c r="O52" s="7"/>
      <c r="P52" s="226"/>
      <c r="Q52" s="226"/>
      <c r="R52" s="226"/>
      <c r="S52" s="7"/>
      <c r="Y52" s="7"/>
      <c r="Z52" s="7"/>
      <c r="AA52" s="7"/>
    </row>
    <row r="53" spans="1:27">
      <c r="A53" s="112" t="str">
        <f>'3.4D_LC_sum'!A76</f>
        <v>LC-37</v>
      </c>
      <c r="B53" s="226">
        <f>'3.4D_LC_sum'!K76</f>
        <v>35.912191168183313</v>
      </c>
      <c r="C53" s="226">
        <f>'3.4D_LC_sum'!L76</f>
        <v>69.64496215304149</v>
      </c>
      <c r="D53" s="226">
        <f>'3.4D_LC_sum'!M76</f>
        <v>103.37773313789967</v>
      </c>
      <c r="E53" s="226">
        <f>'3.4D_LC_sum'!N76</f>
        <v>325.81876435832152</v>
      </c>
      <c r="F53" s="226">
        <f>'3.4D_LC_sum'!O76</f>
        <v>359.55153534317969</v>
      </c>
      <c r="G53" s="226">
        <f>'3.4D_LC_sum'!P76</f>
        <v>393.28430632803787</v>
      </c>
      <c r="H53" s="226">
        <f>'3.4D_LC_sum'!Q76</f>
        <v>45.653021691729634</v>
      </c>
      <c r="J53" s="226">
        <f>SUM(B53:D53)</f>
        <v>208.93488645912447</v>
      </c>
      <c r="K53" s="226">
        <f>SUM(E53:G53)</f>
        <v>1078.6546060295391</v>
      </c>
      <c r="M53" s="226">
        <f>B53+E53</f>
        <v>361.73095552650483</v>
      </c>
      <c r="N53" s="226">
        <f>D53+G53</f>
        <v>496.66203946593754</v>
      </c>
      <c r="O53" s="7"/>
      <c r="P53" s="226">
        <f>MAX(B53:G53)</f>
        <v>393.28430632803787</v>
      </c>
      <c r="Q53" s="226">
        <f>MIN(B53:G53)</f>
        <v>35.912191168183313</v>
      </c>
      <c r="R53" s="226">
        <f>H53</f>
        <v>45.653021691729634</v>
      </c>
      <c r="S53" s="7"/>
      <c r="Y53" s="7"/>
      <c r="Z53" s="7"/>
      <c r="AA53" s="7"/>
    </row>
    <row r="54" spans="1:27">
      <c r="A54" s="112" t="str">
        <f>'3.4D_LC_sum'!A77</f>
        <v>LC-38</v>
      </c>
      <c r="B54" s="226">
        <f>'3.4D_LC_sum'!K77</f>
        <v>53.978487794300889</v>
      </c>
      <c r="C54" s="226">
        <f>'3.4D_LC_sum'!L77</f>
        <v>165.55743898651482</v>
      </c>
      <c r="D54" s="226">
        <f>'3.4D_LC_sum'!M77</f>
        <v>277.13639017872879</v>
      </c>
      <c r="E54" s="226">
        <f>'3.4D_LC_sum'!N77</f>
        <v>152.06010731749245</v>
      </c>
      <c r="F54" s="226">
        <f>'3.4D_LC_sum'!O77</f>
        <v>263.63905850970639</v>
      </c>
      <c r="G54" s="226">
        <f>'3.4D_LC_sum'!P77</f>
        <v>375.21800970192032</v>
      </c>
      <c r="H54" s="226">
        <f>'3.4D_LC_sum'!Q77</f>
        <v>44.734803408695875</v>
      </c>
      <c r="J54" s="226">
        <f>SUM(B54:D54)</f>
        <v>496.6723169595445</v>
      </c>
      <c r="K54" s="226">
        <f>SUM(E54:G54)</f>
        <v>790.91717552911916</v>
      </c>
      <c r="M54" s="226">
        <f>B54+E54</f>
        <v>206.03859511179334</v>
      </c>
      <c r="N54" s="226">
        <f>D54+G54</f>
        <v>652.35439988064911</v>
      </c>
      <c r="O54" s="7"/>
      <c r="P54" s="226">
        <f>MAX(B54:G54)</f>
        <v>375.21800970192032</v>
      </c>
      <c r="Q54" s="226">
        <f>MIN(B54:G54)</f>
        <v>53.978487794300889</v>
      </c>
      <c r="R54" s="226">
        <f>H54</f>
        <v>44.734803408695875</v>
      </c>
      <c r="S54" s="7"/>
      <c r="Y54" s="7"/>
      <c r="Z54" s="7"/>
      <c r="AA54" s="7"/>
    </row>
    <row r="55" spans="1:27">
      <c r="A55" s="112" t="str">
        <f>'3.4D_LC_sum'!A78</f>
        <v>LC-39</v>
      </c>
      <c r="B55" s="226">
        <f>'3.4D_LC_sum'!K78</f>
        <v>51.308801394553456</v>
      </c>
      <c r="C55" s="226">
        <f>'3.4D_LC_sum'!L78</f>
        <v>85.041572379411633</v>
      </c>
      <c r="D55" s="226">
        <f>'3.4D_LC_sum'!M78</f>
        <v>118.77434336426981</v>
      </c>
      <c r="E55" s="226">
        <f>'3.4D_LC_sum'!N78</f>
        <v>341.21537458469169</v>
      </c>
      <c r="F55" s="226">
        <f>'3.4D_LC_sum'!O78</f>
        <v>374.94814556954987</v>
      </c>
      <c r="G55" s="226">
        <f>'3.4D_LC_sum'!P78</f>
        <v>408.68091655440804</v>
      </c>
      <c r="H55" s="226">
        <f>'3.4D_LC_sum'!Q78</f>
        <v>45.653021691729634</v>
      </c>
      <c r="J55" s="226">
        <f>SUM(B55:D55)</f>
        <v>255.1247171382349</v>
      </c>
      <c r="K55" s="226">
        <f>SUM(E55:G55)</f>
        <v>1124.8444367086495</v>
      </c>
      <c r="M55" s="226">
        <f>B55+E55</f>
        <v>392.52417597924511</v>
      </c>
      <c r="N55" s="226">
        <f>D55+G55</f>
        <v>527.45525991867783</v>
      </c>
      <c r="O55" s="7"/>
      <c r="P55" s="226">
        <f>MAX(B55:G55)</f>
        <v>408.68091655440804</v>
      </c>
      <c r="Q55" s="226">
        <f>MIN(B55:G55)</f>
        <v>51.308801394553456</v>
      </c>
      <c r="R55" s="226">
        <f>H55</f>
        <v>45.653021691729634</v>
      </c>
      <c r="S55" s="7"/>
      <c r="Y55" s="7"/>
      <c r="Z55" s="7"/>
      <c r="AA55" s="7"/>
    </row>
    <row r="56" spans="1:27">
      <c r="A56" s="112" t="str">
        <f>'3.4D_LC_sum'!A79</f>
        <v>LC-40</v>
      </c>
      <c r="B56" s="226">
        <f>'3.4D_LC_sum'!K79</f>
        <v>69.375098020671032</v>
      </c>
      <c r="C56" s="226">
        <f>'3.4D_LC_sum'!L79</f>
        <v>180.95404921288497</v>
      </c>
      <c r="D56" s="226">
        <f>'3.4D_LC_sum'!M79</f>
        <v>292.5330004050989</v>
      </c>
      <c r="E56" s="226">
        <f>'3.4D_LC_sum'!N79</f>
        <v>167.45671754386257</v>
      </c>
      <c r="F56" s="226">
        <f>'3.4D_LC_sum'!O79</f>
        <v>279.0356687360765</v>
      </c>
      <c r="G56" s="226">
        <f>'3.4D_LC_sum'!P79</f>
        <v>390.61461992829044</v>
      </c>
      <c r="H56" s="226">
        <f>'3.4D_LC_sum'!Q79</f>
        <v>44.734803408695875</v>
      </c>
      <c r="J56" s="226">
        <f>SUM(B56:D56)</f>
        <v>542.86214763865496</v>
      </c>
      <c r="K56" s="226">
        <f>SUM(E56:G56)</f>
        <v>837.10700620822945</v>
      </c>
      <c r="M56" s="226">
        <f>B56+E56</f>
        <v>236.8318155645336</v>
      </c>
      <c r="N56" s="226">
        <f>D56+G56</f>
        <v>683.14762033338934</v>
      </c>
      <c r="O56" s="7"/>
      <c r="P56" s="226">
        <f>MAX(B56:G56)</f>
        <v>390.61461992829044</v>
      </c>
      <c r="Q56" s="226">
        <f>MIN(B56:G56)</f>
        <v>69.375098020671032</v>
      </c>
      <c r="R56" s="226">
        <f>H56</f>
        <v>44.734803408695875</v>
      </c>
      <c r="S56" s="7"/>
      <c r="Y56" s="7"/>
      <c r="Z56" s="7"/>
      <c r="AA56" s="7"/>
    </row>
    <row r="57" spans="1:27">
      <c r="A57" s="112"/>
      <c r="B57" s="226"/>
      <c r="C57" s="226"/>
      <c r="D57" s="226"/>
      <c r="E57" s="226"/>
      <c r="F57" s="226"/>
      <c r="G57" s="226"/>
      <c r="H57" s="226"/>
      <c r="J57" s="226"/>
      <c r="K57" s="226"/>
      <c r="M57" s="226"/>
      <c r="N57" s="226"/>
      <c r="O57" s="7"/>
      <c r="P57" s="226"/>
      <c r="Q57" s="226"/>
      <c r="R57" s="226"/>
      <c r="S57" s="7"/>
      <c r="Y57" s="7"/>
      <c r="Z57" s="7"/>
      <c r="AA57" s="7"/>
    </row>
    <row r="58" spans="1:27">
      <c r="A58" s="112" t="str">
        <f>'3.4D_LC_sum'!A81</f>
        <v>LC-41</v>
      </c>
      <c r="B58" s="226">
        <f>'3.4D_LC_sum'!K81</f>
        <v>40.49827916440649</v>
      </c>
      <c r="C58" s="226">
        <f>'3.4D_LC_sum'!L81</f>
        <v>75.501560503094396</v>
      </c>
      <c r="D58" s="226">
        <f>'3.4D_LC_sum'!M81</f>
        <v>110.50484184178231</v>
      </c>
      <c r="E58" s="226">
        <f>'3.4D_LC_sum'!N81</f>
        <v>327.5933164925342</v>
      </c>
      <c r="F58" s="226">
        <f>'3.4D_LC_sum'!O81</f>
        <v>362.59659783122208</v>
      </c>
      <c r="G58" s="226">
        <f>'3.4D_LC_sum'!P81</f>
        <v>397.59987916990997</v>
      </c>
      <c r="H58" s="226">
        <f>'3.4D_LC_sum'!Q81</f>
        <v>45.441739840364811</v>
      </c>
      <c r="J58" s="226">
        <f>SUM(B58:D58)</f>
        <v>226.50468150928319</v>
      </c>
      <c r="K58" s="226">
        <f>SUM(E58:G58)</f>
        <v>1087.7897934936664</v>
      </c>
      <c r="M58" s="226">
        <f>B58+E58</f>
        <v>368.09159565694068</v>
      </c>
      <c r="N58" s="226">
        <f>D58+G58</f>
        <v>508.10472101169228</v>
      </c>
      <c r="O58" s="7"/>
      <c r="P58" s="226">
        <f>MAX(B58:G58)</f>
        <v>397.59987916990997</v>
      </c>
      <c r="Q58" s="226">
        <f>MIN(B58:G58)</f>
        <v>40.49827916440649</v>
      </c>
      <c r="R58" s="226">
        <f>H58</f>
        <v>45.441739840364811</v>
      </c>
      <c r="S58" s="7"/>
      <c r="Y58" s="7"/>
      <c r="Z58" s="7"/>
      <c r="AA58" s="7"/>
    </row>
    <row r="59" spans="1:27">
      <c r="A59" s="112" t="str">
        <f>'3.4D_LC_sum'!A82</f>
        <v>LC-42</v>
      </c>
      <c r="B59" s="226">
        <f>'3.4D_LC_sum'!K82</f>
        <v>54.928946376774135</v>
      </c>
      <c r="C59" s="226">
        <f>'3.4D_LC_sum'!L82</f>
        <v>171.41403733656779</v>
      </c>
      <c r="D59" s="226">
        <f>'3.4D_LC_sum'!M82</f>
        <v>287.89912829636143</v>
      </c>
      <c r="E59" s="226">
        <f>'3.4D_LC_sum'!N82</f>
        <v>150.19903003795503</v>
      </c>
      <c r="F59" s="226">
        <f>'3.4D_LC_sum'!O82</f>
        <v>266.68412099774866</v>
      </c>
      <c r="G59" s="226">
        <f>'3.4D_LC_sum'!P82</f>
        <v>383.1692119575423</v>
      </c>
      <c r="H59" s="226">
        <f>'3.4D_LC_sum'!Q82</f>
        <v>45.709523992696255</v>
      </c>
      <c r="J59" s="226">
        <f>SUM(B59:D59)</f>
        <v>514.24211200970331</v>
      </c>
      <c r="K59" s="226">
        <f>SUM(E59:G59)</f>
        <v>800.05236299324599</v>
      </c>
      <c r="M59" s="226">
        <f>B59+E59</f>
        <v>205.12797641472918</v>
      </c>
      <c r="N59" s="226">
        <f>D59+G59</f>
        <v>671.06834025390367</v>
      </c>
      <c r="O59" s="7"/>
      <c r="P59" s="226">
        <f>MAX(B59:G59)</f>
        <v>383.1692119575423</v>
      </c>
      <c r="Q59" s="226">
        <f>MIN(B59:G59)</f>
        <v>54.928946376774135</v>
      </c>
      <c r="R59" s="226">
        <f>H59</f>
        <v>45.709523992696255</v>
      </c>
      <c r="S59" s="7"/>
      <c r="Y59" s="7"/>
      <c r="Z59" s="7"/>
      <c r="AA59" s="7"/>
    </row>
    <row r="60" spans="1:27">
      <c r="A60" s="112" t="str">
        <f>'3.4D_LC_sum'!A83</f>
        <v>LC-43</v>
      </c>
      <c r="B60" s="226">
        <f>'3.4D_LC_sum'!K83</f>
        <v>56.369971491992843</v>
      </c>
      <c r="C60" s="226">
        <f>'3.4D_LC_sum'!L83</f>
        <v>91.343868420893102</v>
      </c>
      <c r="D60" s="226">
        <f>'3.4D_LC_sum'!M83</f>
        <v>126.31776534979336</v>
      </c>
      <c r="E60" s="226">
        <f>'3.4D_LC_sum'!N83</f>
        <v>343.48305366583475</v>
      </c>
      <c r="F60" s="226">
        <f>'3.4D_LC_sum'!O83</f>
        <v>378.45695059473502</v>
      </c>
      <c r="G60" s="226">
        <f>'3.4D_LC_sum'!P83</f>
        <v>413.43084752363529</v>
      </c>
      <c r="H60" s="226">
        <f>'3.4D_LC_sum'!Q83</f>
        <v>45.441739840364811</v>
      </c>
      <c r="J60" s="226">
        <f>SUM(B60:D60)</f>
        <v>274.03160526267931</v>
      </c>
      <c r="K60" s="226">
        <f>SUM(E60:G60)</f>
        <v>1135.3708517842051</v>
      </c>
      <c r="M60" s="226">
        <f>B60+E60</f>
        <v>399.85302515782757</v>
      </c>
      <c r="N60" s="226">
        <f>D60+G60</f>
        <v>539.74861287342867</v>
      </c>
      <c r="O60" s="7"/>
      <c r="P60" s="226">
        <f>MAX(B60:G60)</f>
        <v>413.43084752363529</v>
      </c>
      <c r="Q60" s="226">
        <f>MIN(B60:G60)</f>
        <v>56.369971491992843</v>
      </c>
      <c r="R60" s="226">
        <f>H60</f>
        <v>45.441739840364811</v>
      </c>
      <c r="S60" s="7"/>
      <c r="Y60" s="7"/>
      <c r="Z60" s="7"/>
      <c r="AA60" s="7"/>
    </row>
    <row r="61" spans="1:27">
      <c r="A61" s="112" t="str">
        <f>'3.4D_LC_sum'!A84</f>
        <v>LC-44</v>
      </c>
      <c r="B61" s="226">
        <f>'3.4D_LC_sum'!K84</f>
        <v>70.800638704360466</v>
      </c>
      <c r="C61" s="226">
        <f>'3.4D_LC_sum'!L84</f>
        <v>187.25634525436647</v>
      </c>
      <c r="D61" s="226">
        <f>'3.4D_LC_sum'!M84</f>
        <v>303.71205180437244</v>
      </c>
      <c r="E61" s="226">
        <f>'3.4D_LC_sum'!N84</f>
        <v>166.08876721125566</v>
      </c>
      <c r="F61" s="226">
        <f>'3.4D_LC_sum'!O84</f>
        <v>282.54447376126166</v>
      </c>
      <c r="G61" s="226">
        <f>'3.4D_LC_sum'!P84</f>
        <v>399.00018031126763</v>
      </c>
      <c r="H61" s="226">
        <f>'3.4D_LC_sum'!Q84</f>
        <v>45.709523992696255</v>
      </c>
      <c r="J61" s="226">
        <f>SUM(B61:D61)</f>
        <v>561.7690357630994</v>
      </c>
      <c r="K61" s="226">
        <f>SUM(E61:G61)</f>
        <v>847.63342128378497</v>
      </c>
      <c r="M61" s="226">
        <f>B61+E61</f>
        <v>236.88940591561612</v>
      </c>
      <c r="N61" s="226">
        <f>D61+G61</f>
        <v>702.71223211564006</v>
      </c>
      <c r="O61" s="7"/>
      <c r="P61" s="226">
        <f>MAX(B61:G61)</f>
        <v>399.00018031126763</v>
      </c>
      <c r="Q61" s="226">
        <f>MIN(B61:G61)</f>
        <v>70.800638704360466</v>
      </c>
      <c r="R61" s="226">
        <f>H61</f>
        <v>45.709523992696255</v>
      </c>
      <c r="S61" s="7"/>
      <c r="Y61" s="7"/>
      <c r="Z61" s="7"/>
      <c r="AA61" s="7"/>
    </row>
    <row r="62" spans="1:27">
      <c r="A62" s="112"/>
      <c r="B62" s="226"/>
      <c r="C62" s="226"/>
      <c r="D62" s="226"/>
      <c r="E62" s="226"/>
      <c r="F62" s="226"/>
      <c r="G62" s="226"/>
      <c r="H62" s="226"/>
      <c r="J62" s="226"/>
      <c r="K62" s="226"/>
      <c r="M62" s="226"/>
      <c r="N62" s="226"/>
      <c r="O62" s="7"/>
      <c r="P62" s="226"/>
      <c r="Q62" s="226"/>
      <c r="R62" s="226"/>
      <c r="S62" s="7"/>
      <c r="Y62" s="7"/>
      <c r="Z62" s="7"/>
      <c r="AA62" s="7"/>
    </row>
    <row r="63" spans="1:27">
      <c r="A63" s="112" t="str">
        <f>'3.4D_LC_sum'!A86</f>
        <v>LC-45</v>
      </c>
      <c r="B63" s="226">
        <f>'3.4D_LC_sum'!K86</f>
        <v>39.177852322563602</v>
      </c>
      <c r="C63" s="226">
        <f>'3.4D_LC_sum'!L86</f>
        <v>74.068461447877468</v>
      </c>
      <c r="D63" s="226">
        <f>'3.4D_LC_sum'!M86</f>
        <v>108.95907057319133</v>
      </c>
      <c r="E63" s="226">
        <f>'3.4D_LC_sum'!N86</f>
        <v>328.34966497026801</v>
      </c>
      <c r="F63" s="226">
        <f>'3.4D_LC_sum'!O86</f>
        <v>363.24027409558187</v>
      </c>
      <c r="G63" s="226">
        <f>'3.4D_LC_sum'!P86</f>
        <v>398.13088322089573</v>
      </c>
      <c r="H63" s="226">
        <f>'3.4D_LC_sum'!Q86</f>
        <v>45.432799121398695</v>
      </c>
      <c r="J63" s="226">
        <f>SUM(B63:D63)</f>
        <v>222.2053843436324</v>
      </c>
      <c r="K63" s="226">
        <f>SUM(E63:G63)</f>
        <v>1089.7208222867457</v>
      </c>
      <c r="M63" s="226">
        <f>B63+E63</f>
        <v>367.52751729283159</v>
      </c>
      <c r="N63" s="226">
        <f>D63+G63</f>
        <v>507.08995379408702</v>
      </c>
      <c r="O63" s="7"/>
      <c r="P63" s="226">
        <f>MAX(B63:G63)</f>
        <v>398.13088322089573</v>
      </c>
      <c r="Q63" s="226">
        <f>MIN(B63:G63)</f>
        <v>39.177852322563602</v>
      </c>
      <c r="R63" s="226">
        <f>H63</f>
        <v>45.432799121398695</v>
      </c>
      <c r="S63" s="7"/>
      <c r="Y63" s="7"/>
      <c r="Z63" s="7"/>
      <c r="AA63" s="7"/>
    </row>
    <row r="64" spans="1:27">
      <c r="A64" s="112" t="str">
        <f>'3.4D_LC_sum'!A87</f>
        <v>LC-46</v>
      </c>
      <c r="B64" s="226">
        <f>'3.4D_LC_sum'!K87</f>
        <v>53.930936752406197</v>
      </c>
      <c r="C64" s="226">
        <f>'3.4D_LC_sum'!L87</f>
        <v>169.9809382813508</v>
      </c>
      <c r="D64" s="226">
        <f>'3.4D_LC_sum'!M87</f>
        <v>286.03093981029542</v>
      </c>
      <c r="E64" s="226">
        <f>'3.4D_LC_sum'!N87</f>
        <v>151.27779573316388</v>
      </c>
      <c r="F64" s="226">
        <f>'3.4D_LC_sum'!O87</f>
        <v>267.3277972621085</v>
      </c>
      <c r="G64" s="226">
        <f>'3.4D_LC_sum'!P87</f>
        <v>383.37779879105312</v>
      </c>
      <c r="H64" s="226">
        <f>'3.4D_LC_sum'!Q87</f>
        <v>45.613710006021854</v>
      </c>
      <c r="J64" s="226">
        <f>SUM(B64:D64)</f>
        <v>509.94281484405241</v>
      </c>
      <c r="K64" s="226">
        <f>SUM(E64:G64)</f>
        <v>801.98339178632546</v>
      </c>
      <c r="M64" s="226">
        <f>B64+E64</f>
        <v>205.20873248557007</v>
      </c>
      <c r="N64" s="226">
        <f>D64+G64</f>
        <v>669.40873860134855</v>
      </c>
      <c r="O64" s="7"/>
      <c r="P64" s="226">
        <f>MAX(B64:G64)</f>
        <v>383.37779879105312</v>
      </c>
      <c r="Q64" s="226">
        <f>MIN(B64:G64)</f>
        <v>53.930936752406197</v>
      </c>
      <c r="R64" s="226">
        <f>H64</f>
        <v>45.613710006021854</v>
      </c>
      <c r="S64" s="7"/>
      <c r="Y64" s="7"/>
      <c r="Z64" s="7"/>
      <c r="AA64" s="7"/>
    </row>
    <row r="65" spans="1:27">
      <c r="A65" s="112" t="str">
        <f>'3.4D_LC_sum'!A88</f>
        <v>LC-47</v>
      </c>
      <c r="B65" s="226">
        <f>'3.4D_LC_sum'!K88</f>
        <v>54.900525868233728</v>
      </c>
      <c r="C65" s="226">
        <f>'3.4D_LC_sum'!L88</f>
        <v>89.764356470819024</v>
      </c>
      <c r="D65" s="226">
        <f>'3.4D_LC_sum'!M88</f>
        <v>124.62818707340432</v>
      </c>
      <c r="E65" s="226">
        <f>'3.4D_LC_sum'!N88</f>
        <v>344.30255759022384</v>
      </c>
      <c r="F65" s="226">
        <f>'3.4D_LC_sum'!O88</f>
        <v>379.16638819280911</v>
      </c>
      <c r="G65" s="226">
        <f>'3.4D_LC_sum'!P88</f>
        <v>414.03021879539438</v>
      </c>
      <c r="H65" s="226">
        <f>'3.4D_LC_sum'!Q88</f>
        <v>45.432799121398695</v>
      </c>
      <c r="J65" s="226">
        <f>SUM(B65:D65)</f>
        <v>269.29306941245704</v>
      </c>
      <c r="K65" s="226">
        <f>SUM(E65:G65)</f>
        <v>1137.4991645784273</v>
      </c>
      <c r="M65" s="226">
        <f>B65+E65</f>
        <v>399.20308345845757</v>
      </c>
      <c r="N65" s="226">
        <f>D65+G65</f>
        <v>538.6584058687987</v>
      </c>
      <c r="O65" s="7"/>
      <c r="P65" s="226">
        <f>MAX(B65:G65)</f>
        <v>414.03021879539438</v>
      </c>
      <c r="Q65" s="226">
        <f>MIN(B65:G65)</f>
        <v>54.900525868233728</v>
      </c>
      <c r="R65" s="226">
        <f>H65</f>
        <v>45.432799121398695</v>
      </c>
      <c r="S65" s="7"/>
      <c r="Y65" s="7"/>
      <c r="Z65" s="7"/>
      <c r="AA65" s="7"/>
    </row>
    <row r="66" spans="1:27">
      <c r="A66" s="112" t="str">
        <f>'3.4D_LC_sum'!A89</f>
        <v>LC-48</v>
      </c>
      <c r="B66" s="226">
        <f>'3.4D_LC_sum'!K89</f>
        <v>69.653610298076316</v>
      </c>
      <c r="C66" s="226">
        <f>'3.4D_LC_sum'!L89</f>
        <v>185.67683330429236</v>
      </c>
      <c r="D66" s="226">
        <f>'3.4D_LC_sum'!M89</f>
        <v>301.70005631050839</v>
      </c>
      <c r="E66" s="226">
        <f>'3.4D_LC_sum'!N89</f>
        <v>167.23068835311972</v>
      </c>
      <c r="F66" s="226">
        <f>'3.4D_LC_sum'!O89</f>
        <v>283.25391135933575</v>
      </c>
      <c r="G66" s="226">
        <f>'3.4D_LC_sum'!P89</f>
        <v>399.27713436555177</v>
      </c>
      <c r="H66" s="226">
        <f>'3.4D_LC_sum'!Q89</f>
        <v>45.613710006021854</v>
      </c>
      <c r="J66" s="226">
        <f>SUM(B66:D66)</f>
        <v>557.03049991287708</v>
      </c>
      <c r="K66" s="226">
        <f>SUM(E66:G66)</f>
        <v>849.76173407800729</v>
      </c>
      <c r="M66" s="226">
        <f>B66+E66</f>
        <v>236.88429865119605</v>
      </c>
      <c r="N66" s="226">
        <f>D66+G66</f>
        <v>700.97719067606022</v>
      </c>
      <c r="O66" s="7"/>
      <c r="P66" s="226">
        <f>MAX(B66:G66)</f>
        <v>399.27713436555177</v>
      </c>
      <c r="Q66" s="226">
        <f>MIN(B66:G66)</f>
        <v>69.653610298076316</v>
      </c>
      <c r="R66" s="226">
        <f>H66</f>
        <v>45.613710006021854</v>
      </c>
      <c r="S66" s="7"/>
      <c r="Y66" s="7"/>
      <c r="Z66" s="7"/>
      <c r="AA66" s="7"/>
    </row>
    <row r="67" spans="1:27">
      <c r="A67" s="112"/>
      <c r="B67" s="226"/>
      <c r="C67" s="226"/>
      <c r="D67" s="226"/>
      <c r="E67" s="226"/>
      <c r="F67" s="226"/>
      <c r="G67" s="226"/>
      <c r="H67" s="226"/>
      <c r="J67" s="226"/>
      <c r="K67" s="226"/>
      <c r="M67" s="226"/>
      <c r="N67" s="226"/>
      <c r="O67" s="7"/>
      <c r="P67" s="226"/>
      <c r="Q67" s="226"/>
      <c r="R67" s="226"/>
      <c r="S67" s="7"/>
      <c r="T67" s="7"/>
      <c r="U67" s="7"/>
      <c r="Y67" s="7"/>
      <c r="Z67" s="7"/>
      <c r="AA67" s="7"/>
    </row>
    <row r="68" spans="1:27">
      <c r="A68" s="112"/>
      <c r="B68" s="226"/>
      <c r="C68" s="226"/>
      <c r="D68" s="226"/>
      <c r="E68" s="226"/>
      <c r="F68" s="226"/>
      <c r="G68" s="226"/>
      <c r="H68" s="226"/>
      <c r="J68" s="226"/>
      <c r="K68" s="226"/>
      <c r="M68" s="226"/>
      <c r="N68" s="226"/>
      <c r="O68" s="7"/>
      <c r="P68" s="226"/>
      <c r="Q68" s="226"/>
      <c r="R68" s="226"/>
      <c r="S68" s="7"/>
      <c r="T68" s="7"/>
      <c r="U68" s="7"/>
      <c r="Y68" s="7"/>
      <c r="Z68" s="7"/>
      <c r="AA68" s="7"/>
    </row>
    <row r="69" spans="1:27">
      <c r="A69" s="62"/>
    </row>
    <row r="70" spans="1:27">
      <c r="A70" s="224"/>
      <c r="I70" s="224"/>
      <c r="K70" s="224"/>
      <c r="L70" s="224"/>
    </row>
    <row r="71" spans="1:27">
      <c r="B71" s="498">
        <f>'3.4_LC_sum'!C7</f>
        <v>0.75</v>
      </c>
      <c r="C71" s="63">
        <f>'3.3S_LC_SUM'!C3</f>
        <v>3.6</v>
      </c>
      <c r="D71" s="78"/>
      <c r="E71" s="224"/>
      <c r="F71" s="224"/>
      <c r="G71" s="78"/>
      <c r="J71" s="224"/>
      <c r="O71" s="11"/>
      <c r="P71" s="11"/>
      <c r="Q71" s="11"/>
      <c r="V71" s="11"/>
      <c r="W71" s="11"/>
      <c r="X71" s="11"/>
      <c r="Y71" s="7"/>
    </row>
    <row r="72" spans="1:27">
      <c r="B72" s="78"/>
      <c r="C72" s="78"/>
      <c r="D72" s="78"/>
      <c r="E72" s="224"/>
      <c r="F72" s="224"/>
      <c r="G72" s="11"/>
      <c r="H72" s="78"/>
      <c r="I72" s="11"/>
      <c r="J72" s="30"/>
      <c r="K72" s="31"/>
      <c r="L72" s="31"/>
      <c r="M72" s="31"/>
      <c r="N72" s="30"/>
      <c r="O72" s="31" t="s">
        <v>605</v>
      </c>
      <c r="P72" s="32"/>
      <c r="Q72" s="31" t="s">
        <v>229</v>
      </c>
      <c r="R72" s="32"/>
      <c r="V72" s="11"/>
      <c r="W72" s="11"/>
      <c r="X72" s="11"/>
    </row>
    <row r="73" spans="1:27" s="11" customFormat="1">
      <c r="A73" s="498">
        <f>'3.3S_LC_SUM'!E5</f>
        <v>0.75</v>
      </c>
      <c r="B73" s="78"/>
      <c r="C73" s="78"/>
      <c r="D73" s="78"/>
      <c r="I73" s="1"/>
      <c r="J73" s="25" t="s">
        <v>677</v>
      </c>
      <c r="K73" s="26"/>
      <c r="L73" s="26"/>
      <c r="M73" s="26"/>
      <c r="N73" s="25" t="s">
        <v>1</v>
      </c>
      <c r="O73" s="172">
        <f>MAX(B8:G16)</f>
        <v>302.8568882773169</v>
      </c>
      <c r="P73" s="27" t="s">
        <v>34</v>
      </c>
      <c r="Q73" s="172">
        <f>MAX(B18:G36)</f>
        <v>404.77001499039233</v>
      </c>
      <c r="R73" s="27" t="s">
        <v>34</v>
      </c>
    </row>
    <row r="74" spans="1:27" s="11" customFormat="1">
      <c r="A74" s="1"/>
      <c r="B74" s="78"/>
      <c r="C74" s="78"/>
      <c r="D74" s="78"/>
      <c r="E74" s="224"/>
      <c r="F74" s="224"/>
      <c r="G74" s="401">
        <f>(H80-D79)/2</f>
        <v>0.99999999999999956</v>
      </c>
      <c r="H74" s="78"/>
      <c r="J74" s="25" t="s">
        <v>678</v>
      </c>
      <c r="K74" s="26"/>
      <c r="L74" s="26"/>
      <c r="M74" s="26"/>
      <c r="N74" s="25" t="s">
        <v>1</v>
      </c>
      <c r="O74" s="172">
        <f>MIN(B8:G16)</f>
        <v>88.166537551588817</v>
      </c>
      <c r="P74" s="27" t="s">
        <v>34</v>
      </c>
      <c r="Q74" s="172">
        <f>MIN(B18:G36)</f>
        <v>51.0235846398839</v>
      </c>
      <c r="R74" s="27" t="s">
        <v>34</v>
      </c>
    </row>
    <row r="75" spans="1:27" s="11" customFormat="1">
      <c r="A75" s="1"/>
      <c r="B75" s="78"/>
      <c r="C75" s="78"/>
      <c r="E75" s="224"/>
      <c r="F75" s="224"/>
      <c r="J75" s="25" t="s">
        <v>680</v>
      </c>
      <c r="K75" s="26"/>
      <c r="L75" s="26"/>
      <c r="M75" s="26"/>
      <c r="N75" s="25" t="s">
        <v>1</v>
      </c>
      <c r="O75" s="172">
        <f>MAX(H8:H16)</f>
        <v>8.0128194285714294</v>
      </c>
      <c r="P75" s="27" t="s">
        <v>34</v>
      </c>
      <c r="Q75" s="172">
        <f>MAX(H18:H36)</f>
        <v>33.168647984517385</v>
      </c>
      <c r="R75" s="27" t="s">
        <v>34</v>
      </c>
    </row>
    <row r="76" spans="1:27" s="11" customFormat="1">
      <c r="A76" s="1"/>
      <c r="B76" s="78"/>
      <c r="C76" s="78"/>
      <c r="D76" s="78"/>
      <c r="E76" s="224"/>
      <c r="F76" s="296">
        <f>N84</f>
        <v>1.62</v>
      </c>
      <c r="H76" s="78"/>
      <c r="J76" s="28"/>
      <c r="K76" s="15"/>
      <c r="L76" s="15"/>
      <c r="M76" s="15"/>
      <c r="N76" s="28"/>
      <c r="O76" s="15"/>
      <c r="P76" s="22"/>
      <c r="Q76" s="15"/>
      <c r="R76" s="22"/>
    </row>
    <row r="77" spans="1:27" s="11" customFormat="1">
      <c r="A77" s="1"/>
      <c r="B77" s="78"/>
      <c r="C77" s="78"/>
      <c r="D77" s="78"/>
      <c r="J77" s="23"/>
      <c r="K77" s="24"/>
      <c r="L77" s="24"/>
      <c r="M77" s="24"/>
      <c r="N77" s="23"/>
      <c r="O77" s="24"/>
      <c r="P77" s="21"/>
      <c r="Q77" s="661"/>
      <c r="R77" s="584"/>
    </row>
    <row r="78" spans="1:27" s="11" customFormat="1">
      <c r="A78" s="1119">
        <f>'3.3S_LC_SUM'!E8</f>
        <v>3.6</v>
      </c>
      <c r="C78" s="78"/>
      <c r="H78" s="78"/>
      <c r="J78" s="112" t="s">
        <v>689</v>
      </c>
      <c r="L78" s="26"/>
      <c r="M78" s="296" t="s">
        <v>1</v>
      </c>
      <c r="N78" s="1009">
        <f>GEN!F97</f>
        <v>1.2</v>
      </c>
      <c r="O78" s="11" t="s">
        <v>2</v>
      </c>
      <c r="P78" s="27"/>
      <c r="R78" s="191"/>
    </row>
    <row r="79" spans="1:27" s="11" customFormat="1">
      <c r="A79" s="1"/>
      <c r="B79" s="78"/>
      <c r="C79" s="78"/>
      <c r="D79" s="1005">
        <f>GEN!H194</f>
        <v>6.7</v>
      </c>
      <c r="E79" s="224"/>
      <c r="F79" s="224"/>
      <c r="H79" s="78"/>
      <c r="J79" s="112" t="s">
        <v>696</v>
      </c>
      <c r="L79" s="26"/>
      <c r="M79" s="296" t="s">
        <v>1</v>
      </c>
      <c r="N79" s="1009">
        <f>GEN!H146</f>
        <v>1.8</v>
      </c>
      <c r="O79" s="11" t="s">
        <v>2</v>
      </c>
      <c r="P79" s="27"/>
      <c r="R79" s="191"/>
    </row>
    <row r="80" spans="1:27" s="11" customFormat="1" ht="17.25">
      <c r="A80" s="1"/>
      <c r="D80" s="1027"/>
      <c r="E80" s="224"/>
      <c r="F80" s="224"/>
      <c r="H80" s="497">
        <f>'3.4_LC_sum'!G15</f>
        <v>8.6999999999999993</v>
      </c>
      <c r="J80" s="112" t="s">
        <v>49</v>
      </c>
      <c r="L80" s="26"/>
      <c r="M80" s="1008" t="s">
        <v>1</v>
      </c>
      <c r="N80" s="1010">
        <f>GEN!H32</f>
        <v>2.5</v>
      </c>
      <c r="O80" s="26" t="s">
        <v>21</v>
      </c>
      <c r="P80" s="27"/>
      <c r="R80" s="191"/>
    </row>
    <row r="81" spans="1:27" s="11" customFormat="1">
      <c r="A81" s="1"/>
      <c r="B81" s="78"/>
      <c r="C81" s="78"/>
      <c r="D81" s="78"/>
      <c r="E81" s="224"/>
      <c r="F81" s="224"/>
      <c r="H81" s="78"/>
      <c r="J81" s="112" t="s">
        <v>698</v>
      </c>
      <c r="L81" s="26"/>
      <c r="M81" s="1008" t="s">
        <v>1</v>
      </c>
      <c r="N81" s="265">
        <f>GEN!K141-GEN!K144</f>
        <v>0.5</v>
      </c>
      <c r="O81" s="26" t="s">
        <v>2</v>
      </c>
      <c r="P81" s="27"/>
      <c r="R81" s="191"/>
    </row>
    <row r="82" spans="1:27" s="11" customFormat="1" ht="17.25">
      <c r="A82" s="529">
        <f>A78</f>
        <v>3.6</v>
      </c>
      <c r="B82" s="78"/>
      <c r="C82" s="78"/>
      <c r="D82" s="78"/>
      <c r="E82" s="224"/>
      <c r="F82" s="224"/>
      <c r="H82" s="78"/>
      <c r="J82" s="25" t="s">
        <v>699</v>
      </c>
      <c r="K82" s="26"/>
      <c r="L82" s="26"/>
      <c r="M82" s="924" t="s">
        <v>1</v>
      </c>
      <c r="N82" s="1010">
        <f>GEN!H33</f>
        <v>2</v>
      </c>
      <c r="O82" s="26" t="s">
        <v>21</v>
      </c>
      <c r="P82" s="27"/>
      <c r="R82" s="191"/>
    </row>
    <row r="83" spans="1:27" s="11" customFormat="1">
      <c r="A83" s="1"/>
      <c r="B83" s="78"/>
      <c r="C83" s="78"/>
      <c r="D83" s="78"/>
      <c r="E83" s="224"/>
      <c r="F83" s="224"/>
      <c r="H83" s="78"/>
      <c r="J83" s="25"/>
      <c r="K83" s="26"/>
      <c r="L83" s="26"/>
      <c r="M83" s="924"/>
      <c r="N83" s="25"/>
      <c r="O83" s="26"/>
      <c r="P83" s="27"/>
      <c r="R83" s="191"/>
    </row>
    <row r="84" spans="1:27" s="11" customFormat="1">
      <c r="A84" s="1"/>
      <c r="B84" s="78"/>
      <c r="C84" s="78"/>
      <c r="D84" s="78"/>
      <c r="E84" s="224"/>
      <c r="F84" s="224"/>
      <c r="H84" s="78"/>
      <c r="J84" s="25" t="s">
        <v>714</v>
      </c>
      <c r="K84" s="26"/>
      <c r="L84" s="26"/>
      <c r="M84" s="924" t="s">
        <v>1</v>
      </c>
      <c r="N84" s="66">
        <f>N79*0.9</f>
        <v>1.62</v>
      </c>
      <c r="O84" s="26" t="s">
        <v>2</v>
      </c>
      <c r="P84" s="27"/>
      <c r="R84" s="191"/>
    </row>
    <row r="85" spans="1:27" s="11" customFormat="1">
      <c r="A85" s="1"/>
      <c r="B85" s="78"/>
      <c r="C85" s="78"/>
      <c r="D85" s="78"/>
      <c r="E85" s="224"/>
      <c r="F85" s="224"/>
      <c r="H85" s="224"/>
      <c r="J85" s="113"/>
      <c r="K85" s="651"/>
      <c r="L85" s="651"/>
      <c r="M85" s="651"/>
      <c r="N85" s="113"/>
      <c r="O85" s="651"/>
      <c r="P85" s="652"/>
      <c r="Q85" s="651"/>
      <c r="R85" s="652"/>
    </row>
    <row r="86" spans="1:27" s="11" customFormat="1">
      <c r="A86" s="1"/>
      <c r="B86" s="78"/>
      <c r="C86" s="78"/>
      <c r="D86" s="78"/>
      <c r="E86" s="224"/>
      <c r="F86" s="224"/>
      <c r="H86" s="224"/>
    </row>
    <row r="87" spans="1:27" s="11" customFormat="1">
      <c r="A87" s="1"/>
      <c r="B87" s="78"/>
      <c r="C87" s="526">
        <f>N84</f>
        <v>1.62</v>
      </c>
      <c r="D87" s="78"/>
      <c r="E87" s="224"/>
      <c r="F87" s="224"/>
      <c r="H87" s="224"/>
    </row>
    <row r="88" spans="1:27" s="11" customFormat="1">
      <c r="A88" s="1"/>
      <c r="B88" s="1005">
        <f>GEN!E203</f>
        <v>1.9499999999999997</v>
      </c>
      <c r="C88" s="78"/>
      <c r="D88" s="78"/>
      <c r="E88" s="401">
        <f>GEN!G203</f>
        <v>1.9499999999999997</v>
      </c>
      <c r="F88" s="401"/>
      <c r="H88" s="224"/>
    </row>
    <row r="89" spans="1:27" s="11" customFormat="1">
      <c r="A89" s="1"/>
      <c r="B89" s="78"/>
      <c r="C89" s="78"/>
      <c r="D89" s="78"/>
      <c r="E89" s="224"/>
      <c r="F89" s="224"/>
      <c r="G89" s="224"/>
    </row>
    <row r="90" spans="1:27" s="11" customFormat="1">
      <c r="A90" s="1"/>
      <c r="B90" s="78"/>
      <c r="C90" s="63">
        <f>'3.3S_LC_SUM'!C18</f>
        <v>5.0999999999999996</v>
      </c>
      <c r="D90" s="78"/>
      <c r="E90" s="224"/>
      <c r="F90" s="224"/>
      <c r="G90" s="224"/>
    </row>
    <row r="91" spans="1:27" s="11" customFormat="1">
      <c r="M91" s="26"/>
    </row>
    <row r="92" spans="1:27" s="11" customFormat="1">
      <c r="A92" s="502" t="s">
        <v>713</v>
      </c>
      <c r="N92" s="26"/>
      <c r="O92" s="26"/>
      <c r="P92" s="26"/>
      <c r="Q92" s="26"/>
      <c r="R92" s="26"/>
      <c r="S92" s="26"/>
      <c r="T92" s="26"/>
      <c r="U92" s="26"/>
      <c r="V92" s="26"/>
      <c r="W92" s="26"/>
      <c r="X92" s="26"/>
      <c r="Y92" s="26"/>
      <c r="Z92" s="26"/>
      <c r="AA92" s="26"/>
    </row>
    <row r="93" spans="1:27" s="11" customFormat="1">
      <c r="A93" s="1064"/>
      <c r="B93" s="661"/>
      <c r="C93" s="661"/>
      <c r="D93" s="661"/>
      <c r="E93" s="661"/>
      <c r="F93" s="661"/>
      <c r="G93" s="661"/>
      <c r="H93" s="1659" t="s">
        <v>1455</v>
      </c>
      <c r="I93" s="1660"/>
      <c r="J93" s="1660"/>
      <c r="K93" s="1660"/>
      <c r="L93" s="1661"/>
      <c r="M93" s="990"/>
      <c r="N93" s="1662" t="s">
        <v>1456</v>
      </c>
      <c r="O93" s="1663"/>
      <c r="P93" s="1663"/>
      <c r="Q93" s="1663"/>
      <c r="R93" s="1664"/>
      <c r="S93" s="26"/>
      <c r="T93" s="26"/>
      <c r="U93" s="26"/>
      <c r="V93" s="26"/>
      <c r="W93" s="26"/>
      <c r="X93" s="26"/>
      <c r="Y93" s="26"/>
      <c r="Z93" s="26"/>
      <c r="AA93" s="26"/>
    </row>
    <row r="94" spans="1:27" s="372" customFormat="1">
      <c r="A94" s="1155" t="s">
        <v>687</v>
      </c>
      <c r="B94" s="1153"/>
      <c r="C94" s="1153"/>
      <c r="D94" s="1153"/>
      <c r="E94" s="1153"/>
      <c r="F94" s="1153"/>
      <c r="G94" s="1153"/>
      <c r="H94" s="1148" t="s">
        <v>1546</v>
      </c>
      <c r="I94" s="1149"/>
      <c r="J94" s="1162"/>
      <c r="K94" s="1163" t="s">
        <v>1547</v>
      </c>
      <c r="L94" s="1157"/>
      <c r="M94" s="1155"/>
      <c r="N94" s="1150" t="s">
        <v>1548</v>
      </c>
      <c r="O94" s="1164"/>
      <c r="P94" s="374"/>
      <c r="Q94" s="1151" t="s">
        <v>1824</v>
      </c>
      <c r="R94" s="80"/>
      <c r="S94" s="46"/>
      <c r="T94" s="46"/>
      <c r="U94" s="46"/>
      <c r="W94" s="46"/>
      <c r="X94" s="46"/>
      <c r="Y94" s="46"/>
      <c r="Z94" s="46"/>
      <c r="AA94" s="46"/>
    </row>
    <row r="95" spans="1:27" s="11" customFormat="1">
      <c r="A95" s="308" t="s">
        <v>686</v>
      </c>
      <c r="B95" s="661"/>
      <c r="C95" s="661"/>
      <c r="D95" s="661"/>
      <c r="E95" s="661"/>
      <c r="F95" s="661"/>
      <c r="G95" s="584" t="s">
        <v>1</v>
      </c>
      <c r="H95" s="1158">
        <f>MAX(J8:J66)</f>
        <v>665.59967842996662</v>
      </c>
      <c r="I95" s="661" t="s">
        <v>51</v>
      </c>
      <c r="J95" s="584"/>
      <c r="K95" s="1159">
        <f>MAX(K8:K66)</f>
        <v>1137.4991645784273</v>
      </c>
      <c r="L95" s="584" t="s">
        <v>51</v>
      </c>
      <c r="N95" s="1065">
        <f>MAX(M8:M66)</f>
        <v>524.47866767221569</v>
      </c>
      <c r="O95" s="191" t="s">
        <v>51</v>
      </c>
      <c r="P95" s="112"/>
      <c r="Q95" s="1024">
        <f>MAX(N8:N66)</f>
        <v>702.71223211564006</v>
      </c>
      <c r="R95" s="191" t="s">
        <v>51</v>
      </c>
      <c r="S95" s="26"/>
      <c r="T95" s="26"/>
      <c r="U95" s="26"/>
      <c r="V95" s="26"/>
      <c r="W95" s="26"/>
      <c r="X95" s="26"/>
      <c r="Y95" s="26"/>
      <c r="Z95" s="26"/>
      <c r="AA95" s="26"/>
    </row>
    <row r="96" spans="1:27" s="11" customFormat="1">
      <c r="A96" s="112" t="s">
        <v>691</v>
      </c>
      <c r="G96" s="191" t="s">
        <v>1</v>
      </c>
      <c r="H96" s="112">
        <f>B88-B71</f>
        <v>1.1999999999999997</v>
      </c>
      <c r="I96" s="11" t="s">
        <v>2</v>
      </c>
      <c r="J96" s="191"/>
      <c r="K96" s="11">
        <f>H96</f>
        <v>1.1999999999999997</v>
      </c>
      <c r="L96" s="191" t="s">
        <v>2</v>
      </c>
      <c r="N96" s="1066">
        <f>G74-A73</f>
        <v>0.24999999999999956</v>
      </c>
      <c r="O96" s="191" t="s">
        <v>2</v>
      </c>
      <c r="P96" s="112"/>
      <c r="Q96" s="206">
        <f>N96</f>
        <v>0.24999999999999956</v>
      </c>
      <c r="R96" s="191" t="s">
        <v>2</v>
      </c>
      <c r="S96" s="26"/>
      <c r="T96" s="26"/>
      <c r="U96" s="26"/>
      <c r="V96" s="26"/>
      <c r="W96" s="26"/>
      <c r="X96" s="26"/>
      <c r="Y96" s="26"/>
      <c r="Z96" s="26"/>
      <c r="AA96" s="26"/>
    </row>
    <row r="97" spans="1:27" s="11" customFormat="1">
      <c r="A97" s="112"/>
      <c r="G97" s="191"/>
      <c r="H97" s="112"/>
      <c r="J97" s="191"/>
      <c r="L97" s="191"/>
      <c r="N97" s="1066"/>
      <c r="O97" s="191"/>
      <c r="P97" s="112"/>
      <c r="Q97" s="206"/>
      <c r="R97" s="191"/>
      <c r="S97" s="26"/>
      <c r="T97" s="26"/>
      <c r="U97" s="26"/>
      <c r="V97" s="26"/>
      <c r="W97" s="26"/>
      <c r="X97" s="26"/>
      <c r="Y97" s="26"/>
      <c r="Z97" s="26"/>
      <c r="AA97" s="26"/>
    </row>
    <row r="98" spans="1:27" s="11" customFormat="1">
      <c r="A98" s="112" t="s">
        <v>692</v>
      </c>
      <c r="G98" s="191" t="s">
        <v>1</v>
      </c>
      <c r="H98" s="112">
        <f>N78</f>
        <v>1.2</v>
      </c>
      <c r="I98" s="11" t="s">
        <v>2</v>
      </c>
      <c r="J98" s="191"/>
      <c r="K98" s="11">
        <f>N78</f>
        <v>1.2</v>
      </c>
      <c r="L98" s="191" t="s">
        <v>2</v>
      </c>
      <c r="N98" s="1066">
        <f>N78</f>
        <v>1.2</v>
      </c>
      <c r="O98" s="191" t="s">
        <v>2</v>
      </c>
      <c r="P98" s="112"/>
      <c r="Q98" s="206">
        <f>N98</f>
        <v>1.2</v>
      </c>
      <c r="R98" s="191" t="s">
        <v>2</v>
      </c>
      <c r="S98" s="26"/>
      <c r="T98" s="26"/>
      <c r="U98" s="26"/>
      <c r="V98" s="26"/>
      <c r="W98" s="26"/>
      <c r="X98" s="26"/>
      <c r="Y98" s="26"/>
      <c r="Z98" s="26"/>
      <c r="AA98" s="26"/>
    </row>
    <row r="99" spans="1:27" s="11" customFormat="1">
      <c r="A99" s="112" t="s">
        <v>690</v>
      </c>
      <c r="G99" s="191" t="s">
        <v>1</v>
      </c>
      <c r="H99" s="112">
        <f>MIN(H98,H96+H98/2)</f>
        <v>1.2</v>
      </c>
      <c r="I99" s="11" t="s">
        <v>2</v>
      </c>
      <c r="J99" s="191"/>
      <c r="K99" s="11">
        <f>MIN(K98,K96+K98/2)</f>
        <v>1.2</v>
      </c>
      <c r="L99" s="191" t="s">
        <v>2</v>
      </c>
      <c r="N99" s="1067">
        <f>MIN(N98,N96+N98/2)</f>
        <v>0.84999999999999953</v>
      </c>
      <c r="O99" s="191" t="s">
        <v>2</v>
      </c>
      <c r="P99" s="112"/>
      <c r="Q99" s="536">
        <f>MIN(Q98,Q96+Q98/2)</f>
        <v>0.84999999999999953</v>
      </c>
      <c r="R99" s="191" t="s">
        <v>2</v>
      </c>
      <c r="S99" s="26"/>
      <c r="T99" s="26"/>
      <c r="U99" s="26"/>
      <c r="V99" s="26"/>
      <c r="W99" s="26"/>
      <c r="X99" s="26"/>
      <c r="Y99" s="26"/>
      <c r="Z99" s="26"/>
      <c r="AA99" s="26"/>
    </row>
    <row r="100" spans="1:27" s="11" customFormat="1">
      <c r="A100" s="112" t="s">
        <v>693</v>
      </c>
      <c r="G100" s="191" t="s">
        <v>1</v>
      </c>
      <c r="H100" s="744">
        <f>H95*H99/H98</f>
        <v>665.59967842996662</v>
      </c>
      <c r="I100" s="11" t="s">
        <v>51</v>
      </c>
      <c r="J100" s="191"/>
      <c r="K100" s="186">
        <f>K95*K99/K98</f>
        <v>1137.4991645784273</v>
      </c>
      <c r="L100" s="191" t="s">
        <v>51</v>
      </c>
      <c r="N100" s="1063">
        <f>N95*N99/N98</f>
        <v>371.5057229344859</v>
      </c>
      <c r="O100" s="191" t="s">
        <v>51</v>
      </c>
      <c r="P100" s="112"/>
      <c r="Q100" s="1025">
        <f>Q95*Q99/Q98</f>
        <v>497.75449774857816</v>
      </c>
      <c r="R100" s="191" t="s">
        <v>51</v>
      </c>
      <c r="S100" s="26"/>
      <c r="T100" s="26"/>
      <c r="U100" s="26"/>
      <c r="V100" s="26"/>
      <c r="W100" s="26"/>
      <c r="X100" s="26"/>
      <c r="Y100" s="26"/>
      <c r="Z100" s="26"/>
      <c r="AA100" s="26"/>
    </row>
    <row r="101" spans="1:27" s="11" customFormat="1">
      <c r="A101" s="112" t="s">
        <v>707</v>
      </c>
      <c r="G101" s="191" t="s">
        <v>1</v>
      </c>
      <c r="H101" s="294">
        <f>H100/H80</f>
        <v>76.50571016436399</v>
      </c>
      <c r="I101" s="11" t="s">
        <v>602</v>
      </c>
      <c r="J101" s="191"/>
      <c r="K101" s="186">
        <f>K100/H80</f>
        <v>130.74703041131349</v>
      </c>
      <c r="L101" s="191" t="s">
        <v>602</v>
      </c>
      <c r="N101" s="1068">
        <f>N100/C90</f>
        <v>72.844259398918808</v>
      </c>
      <c r="O101" s="191" t="s">
        <v>602</v>
      </c>
      <c r="P101" s="112"/>
      <c r="Q101" s="1026">
        <f>Q100/C90</f>
        <v>97.59892112717219</v>
      </c>
      <c r="R101" s="191" t="s">
        <v>602</v>
      </c>
      <c r="S101" s="26"/>
      <c r="T101" s="26"/>
      <c r="U101" s="26"/>
      <c r="V101" s="26"/>
      <c r="W101" s="26"/>
      <c r="X101" s="26"/>
      <c r="Y101" s="26"/>
      <c r="Z101" s="26"/>
      <c r="AA101" s="26"/>
    </row>
    <row r="102" spans="1:27" s="11" customFormat="1">
      <c r="A102" s="112" t="s">
        <v>688</v>
      </c>
      <c r="G102" s="191" t="s">
        <v>1</v>
      </c>
      <c r="H102" s="112">
        <f>MAX((H96-H98/2),0)+H99/2</f>
        <v>1.1999999999999997</v>
      </c>
      <c r="I102" s="11" t="s">
        <v>2</v>
      </c>
      <c r="J102" s="191"/>
      <c r="K102" s="11">
        <f>MAX((K96-K98/2),0)+K99/2</f>
        <v>1.1999999999999997</v>
      </c>
      <c r="L102" s="191" t="s">
        <v>2</v>
      </c>
      <c r="N102" s="1067">
        <f>MAX((N96-N98/2),0)+N99/2</f>
        <v>0.42499999999999977</v>
      </c>
      <c r="O102" s="191" t="s">
        <v>2</v>
      </c>
      <c r="P102" s="112"/>
      <c r="Q102" s="536">
        <f>MAX((Q96-Q98/2),0)+Q99/2</f>
        <v>0.42499999999999977</v>
      </c>
      <c r="R102" s="191" t="s">
        <v>2</v>
      </c>
      <c r="S102" s="26"/>
      <c r="T102" s="26"/>
      <c r="U102" s="26"/>
      <c r="V102" s="26"/>
      <c r="W102" s="26"/>
      <c r="X102" s="26"/>
      <c r="Y102" s="26"/>
      <c r="Z102" s="26"/>
      <c r="AA102" s="26"/>
    </row>
    <row r="103" spans="1:27" s="11" customFormat="1">
      <c r="A103" s="112" t="s">
        <v>701</v>
      </c>
      <c r="G103" s="191" t="s">
        <v>1</v>
      </c>
      <c r="H103" s="294">
        <f>H101*H102</f>
        <v>91.806852197236765</v>
      </c>
      <c r="I103" s="186" t="s">
        <v>602</v>
      </c>
      <c r="J103" s="211"/>
      <c r="K103" s="186">
        <f>K101*K102</f>
        <v>156.89643649357615</v>
      </c>
      <c r="L103" s="745" t="s">
        <v>602</v>
      </c>
      <c r="N103" s="1068">
        <f>N101*N102</f>
        <v>30.958810244540476</v>
      </c>
      <c r="O103" s="745" t="s">
        <v>602</v>
      </c>
      <c r="P103" s="112"/>
      <c r="Q103" s="1026">
        <f>Q101*Q102</f>
        <v>41.479541479048159</v>
      </c>
      <c r="R103" s="745" t="s">
        <v>602</v>
      </c>
      <c r="S103" s="26"/>
      <c r="T103" s="26"/>
      <c r="U103" s="26"/>
      <c r="V103" s="26"/>
      <c r="W103" s="26"/>
      <c r="X103" s="26"/>
      <c r="Y103" s="26"/>
      <c r="Z103" s="26"/>
      <c r="AA103" s="26"/>
    </row>
    <row r="104" spans="1:27" s="11" customFormat="1">
      <c r="A104" s="112"/>
      <c r="G104" s="191"/>
      <c r="H104" s="112"/>
      <c r="J104" s="191"/>
      <c r="L104" s="191"/>
      <c r="N104" s="25"/>
      <c r="O104" s="27"/>
      <c r="P104" s="112"/>
      <c r="Q104" s="26"/>
      <c r="R104" s="27"/>
      <c r="S104" s="26"/>
      <c r="T104" s="26"/>
      <c r="U104" s="26"/>
      <c r="V104" s="26"/>
      <c r="W104" s="26"/>
      <c r="X104" s="26"/>
      <c r="Y104" s="26"/>
      <c r="Z104" s="26"/>
      <c r="AA104" s="26"/>
    </row>
    <row r="105" spans="1:27" s="11" customFormat="1">
      <c r="A105" s="112" t="s">
        <v>694</v>
      </c>
      <c r="G105" s="191"/>
      <c r="H105" s="112"/>
      <c r="J105" s="191"/>
      <c r="L105" s="191"/>
      <c r="N105" s="25"/>
      <c r="O105" s="27"/>
      <c r="P105" s="112"/>
      <c r="Q105" s="26"/>
      <c r="R105" s="27"/>
      <c r="S105" s="26"/>
      <c r="T105" s="26"/>
      <c r="U105" s="26"/>
      <c r="V105" s="26"/>
      <c r="W105" s="26"/>
      <c r="X105" s="26"/>
      <c r="Y105" s="26"/>
      <c r="Z105" s="26"/>
      <c r="AA105" s="26"/>
    </row>
    <row r="106" spans="1:27" s="11" customFormat="1" ht="17.25">
      <c r="A106" s="112" t="s">
        <v>695</v>
      </c>
      <c r="G106" s="191" t="s">
        <v>1</v>
      </c>
      <c r="H106" s="112">
        <f>N79*N80</f>
        <v>4.5</v>
      </c>
      <c r="I106" s="11" t="s">
        <v>71</v>
      </c>
      <c r="J106" s="191"/>
      <c r="K106" s="11">
        <f>N79*N80</f>
        <v>4.5</v>
      </c>
      <c r="L106" s="191" t="s">
        <v>71</v>
      </c>
      <c r="N106" s="25">
        <f>N79*N80</f>
        <v>4.5</v>
      </c>
      <c r="O106" s="191" t="s">
        <v>71</v>
      </c>
      <c r="P106" s="112"/>
      <c r="Q106" s="26">
        <f>N79*N80</f>
        <v>4.5</v>
      </c>
      <c r="R106" s="191" t="s">
        <v>71</v>
      </c>
      <c r="S106" s="26"/>
      <c r="T106" s="26"/>
      <c r="U106" s="26"/>
      <c r="V106" s="26"/>
      <c r="W106" s="26"/>
      <c r="X106" s="26"/>
      <c r="Y106" s="26"/>
      <c r="Z106" s="26"/>
      <c r="AA106" s="26"/>
    </row>
    <row r="107" spans="1:27" s="11" customFormat="1">
      <c r="A107" s="112" t="s">
        <v>579</v>
      </c>
      <c r="C107" s="11" t="s">
        <v>1</v>
      </c>
      <c r="D107" s="77">
        <v>1.35</v>
      </c>
      <c r="G107" s="191"/>
      <c r="H107" s="112"/>
      <c r="J107" s="191"/>
      <c r="L107" s="191"/>
      <c r="N107" s="25"/>
      <c r="O107" s="191"/>
      <c r="P107" s="112"/>
      <c r="Q107" s="26"/>
      <c r="R107" s="191"/>
      <c r="S107" s="26"/>
      <c r="T107" s="26"/>
      <c r="U107" s="26"/>
      <c r="V107" s="26"/>
      <c r="W107" s="26"/>
      <c r="X107" s="26"/>
      <c r="Y107" s="26"/>
      <c r="Z107" s="26"/>
      <c r="AA107" s="26"/>
    </row>
    <row r="108" spans="1:27" s="11" customFormat="1" ht="17.25">
      <c r="A108" s="112" t="s">
        <v>697</v>
      </c>
      <c r="G108" s="191" t="s">
        <v>1</v>
      </c>
      <c r="H108" s="744">
        <f>H106*D107</f>
        <v>6.0750000000000002</v>
      </c>
      <c r="I108" s="11" t="s">
        <v>71</v>
      </c>
      <c r="J108" s="191"/>
      <c r="K108" s="417">
        <f>K106*D107</f>
        <v>6.0750000000000002</v>
      </c>
      <c r="L108" s="191" t="s">
        <v>71</v>
      </c>
      <c r="N108" s="76">
        <f>N106*D107</f>
        <v>6.0750000000000002</v>
      </c>
      <c r="O108" s="191" t="s">
        <v>71</v>
      </c>
      <c r="P108" s="112"/>
      <c r="Q108" s="38">
        <f>Q106*D107</f>
        <v>6.0750000000000002</v>
      </c>
      <c r="R108" s="191" t="s">
        <v>71</v>
      </c>
      <c r="S108" s="26"/>
      <c r="T108" s="26"/>
      <c r="U108" s="26"/>
      <c r="V108" s="26"/>
      <c r="W108" s="26"/>
      <c r="X108" s="26"/>
      <c r="Y108" s="26"/>
      <c r="Z108" s="26"/>
      <c r="AA108" s="26"/>
    </row>
    <row r="109" spans="1:27" s="11" customFormat="1">
      <c r="A109" s="112" t="s">
        <v>708</v>
      </c>
      <c r="G109" s="191" t="s">
        <v>1</v>
      </c>
      <c r="H109" s="744">
        <f>H108*B88</f>
        <v>11.84625</v>
      </c>
      <c r="I109" s="11" t="s">
        <v>48</v>
      </c>
      <c r="J109" s="191"/>
      <c r="K109" s="417">
        <f>K108*B88</f>
        <v>11.84625</v>
      </c>
      <c r="L109" s="191" t="s">
        <v>48</v>
      </c>
      <c r="N109" s="76">
        <f>N108*G74</f>
        <v>6.0749999999999975</v>
      </c>
      <c r="O109" s="191" t="s">
        <v>48</v>
      </c>
      <c r="P109" s="112"/>
      <c r="Q109" s="38">
        <f>Q108*G74</f>
        <v>6.0749999999999975</v>
      </c>
      <c r="R109" s="191" t="s">
        <v>48</v>
      </c>
      <c r="S109" s="26"/>
      <c r="T109" s="26"/>
      <c r="U109" s="26"/>
      <c r="V109" s="26"/>
      <c r="W109" s="26"/>
      <c r="X109" s="26"/>
      <c r="Y109" s="26"/>
      <c r="Z109" s="26"/>
      <c r="AA109" s="26"/>
    </row>
    <row r="110" spans="1:27" s="11" customFormat="1">
      <c r="A110" s="112" t="s">
        <v>709</v>
      </c>
      <c r="G110" s="191" t="s">
        <v>1</v>
      </c>
      <c r="H110" s="112">
        <f>B88/2</f>
        <v>0.97499999999999987</v>
      </c>
      <c r="I110" s="11" t="s">
        <v>2</v>
      </c>
      <c r="J110" s="191"/>
      <c r="K110" s="11">
        <f>B88/2</f>
        <v>0.97499999999999987</v>
      </c>
      <c r="L110" s="191" t="s">
        <v>2</v>
      </c>
      <c r="N110" s="112">
        <f>G74/2</f>
        <v>0.49999999999999978</v>
      </c>
      <c r="O110" s="191" t="s">
        <v>2</v>
      </c>
      <c r="P110" s="112"/>
      <c r="Q110" s="11">
        <f>G74/2</f>
        <v>0.49999999999999978</v>
      </c>
      <c r="R110" s="191" t="s">
        <v>2</v>
      </c>
      <c r="S110" s="26"/>
      <c r="T110" s="26"/>
      <c r="U110" s="26"/>
      <c r="V110" s="26"/>
      <c r="W110" s="26"/>
      <c r="X110" s="26"/>
      <c r="Y110" s="26"/>
      <c r="Z110" s="26"/>
      <c r="AA110" s="26"/>
    </row>
    <row r="111" spans="1:27" s="11" customFormat="1">
      <c r="A111" s="112" t="s">
        <v>702</v>
      </c>
      <c r="G111" s="191" t="s">
        <v>1</v>
      </c>
      <c r="H111" s="744">
        <f>H109*H110</f>
        <v>11.550093749999998</v>
      </c>
      <c r="I111" s="417" t="s">
        <v>577</v>
      </c>
      <c r="J111" s="745"/>
      <c r="K111" s="417">
        <f>K109*K110</f>
        <v>11.550093749999998</v>
      </c>
      <c r="L111" s="745" t="s">
        <v>577</v>
      </c>
      <c r="N111" s="744">
        <f>N109*N110</f>
        <v>3.0374999999999974</v>
      </c>
      <c r="O111" s="745" t="s">
        <v>577</v>
      </c>
      <c r="P111" s="112"/>
      <c r="Q111" s="417">
        <f>Q109*Q110</f>
        <v>3.0374999999999974</v>
      </c>
      <c r="R111" s="745" t="s">
        <v>577</v>
      </c>
      <c r="S111" s="26"/>
      <c r="T111" s="26"/>
      <c r="U111" s="26"/>
      <c r="V111" s="26"/>
      <c r="W111" s="26"/>
      <c r="X111" s="26"/>
      <c r="Y111" s="26"/>
      <c r="Z111" s="26"/>
      <c r="AA111" s="26"/>
    </row>
    <row r="112" spans="1:27" s="11" customFormat="1">
      <c r="A112" s="112"/>
      <c r="G112" s="191"/>
      <c r="H112" s="112"/>
      <c r="J112" s="191"/>
      <c r="L112" s="191"/>
      <c r="N112" s="25"/>
      <c r="O112" s="191"/>
      <c r="P112" s="112"/>
      <c r="Q112" s="26"/>
      <c r="R112" s="191"/>
      <c r="S112" s="26"/>
      <c r="T112" s="26"/>
      <c r="U112" s="26"/>
      <c r="V112" s="26"/>
      <c r="W112" s="26"/>
      <c r="X112" s="26"/>
      <c r="Y112" s="26"/>
      <c r="Z112" s="26"/>
      <c r="AA112" s="26"/>
    </row>
    <row r="113" spans="1:27" s="11" customFormat="1" ht="17.25">
      <c r="A113" s="112" t="s">
        <v>700</v>
      </c>
      <c r="G113" s="191" t="s">
        <v>1</v>
      </c>
      <c r="H113" s="112">
        <f>N81*N82</f>
        <v>1</v>
      </c>
      <c r="I113" s="11" t="s">
        <v>71</v>
      </c>
      <c r="J113" s="191"/>
      <c r="K113" s="11">
        <f>N81*N82</f>
        <v>1</v>
      </c>
      <c r="L113" s="191" t="s">
        <v>71</v>
      </c>
      <c r="N113" s="25">
        <f>N81*N82</f>
        <v>1</v>
      </c>
      <c r="O113" s="191" t="s">
        <v>71</v>
      </c>
      <c r="P113" s="112"/>
      <c r="Q113" s="26">
        <f>N81*N82</f>
        <v>1</v>
      </c>
      <c r="R113" s="191" t="s">
        <v>71</v>
      </c>
      <c r="S113" s="26"/>
      <c r="T113" s="26"/>
      <c r="U113" s="26"/>
      <c r="V113" s="26"/>
      <c r="W113" s="26"/>
      <c r="X113" s="26"/>
      <c r="Y113" s="26"/>
      <c r="Z113" s="26"/>
      <c r="AA113" s="26"/>
    </row>
    <row r="114" spans="1:27" s="11" customFormat="1">
      <c r="A114" s="112" t="s">
        <v>579</v>
      </c>
      <c r="C114" s="11" t="s">
        <v>1</v>
      </c>
      <c r="D114" s="77">
        <v>1.35</v>
      </c>
      <c r="G114" s="191"/>
      <c r="H114" s="112"/>
      <c r="J114" s="191"/>
      <c r="L114" s="191"/>
      <c r="N114" s="25"/>
      <c r="O114" s="191"/>
      <c r="P114" s="112"/>
      <c r="Q114" s="26"/>
      <c r="R114" s="191"/>
      <c r="S114" s="26"/>
      <c r="T114" s="26"/>
      <c r="U114" s="26"/>
      <c r="V114" s="26"/>
      <c r="W114" s="26"/>
      <c r="X114" s="26"/>
      <c r="Y114" s="26"/>
      <c r="Z114" s="26"/>
      <c r="AA114" s="26"/>
    </row>
    <row r="115" spans="1:27" s="11" customFormat="1" ht="17.25">
      <c r="A115" s="112" t="s">
        <v>697</v>
      </c>
      <c r="G115" s="191" t="s">
        <v>1</v>
      </c>
      <c r="H115" s="112">
        <f>H113*$D$114</f>
        <v>1.35</v>
      </c>
      <c r="I115" s="11" t="s">
        <v>71</v>
      </c>
      <c r="J115" s="191"/>
      <c r="K115" s="11">
        <f>K113*D114</f>
        <v>1.35</v>
      </c>
      <c r="L115" s="191" t="s">
        <v>71</v>
      </c>
      <c r="N115" s="112">
        <f>N113*$D$114</f>
        <v>1.35</v>
      </c>
      <c r="O115" s="191" t="s">
        <v>71</v>
      </c>
      <c r="P115" s="112"/>
      <c r="Q115" s="11">
        <f>Q113*$D$114</f>
        <v>1.35</v>
      </c>
      <c r="R115" s="191" t="s">
        <v>71</v>
      </c>
      <c r="S115" s="26"/>
      <c r="T115" s="26"/>
      <c r="U115" s="26"/>
      <c r="V115" s="26"/>
      <c r="W115" s="26"/>
      <c r="X115" s="26"/>
      <c r="Y115" s="26"/>
      <c r="Z115" s="26"/>
      <c r="AA115" s="26"/>
    </row>
    <row r="116" spans="1:27" s="11" customFormat="1">
      <c r="A116" s="112" t="s">
        <v>708</v>
      </c>
      <c r="G116" s="191" t="s">
        <v>1</v>
      </c>
      <c r="H116" s="744">
        <f>H115*B88</f>
        <v>2.6324999999999998</v>
      </c>
      <c r="I116" s="11" t="s">
        <v>48</v>
      </c>
      <c r="J116" s="191"/>
      <c r="K116" s="417">
        <f>K115*B88</f>
        <v>2.6324999999999998</v>
      </c>
      <c r="L116" s="191" t="s">
        <v>48</v>
      </c>
      <c r="N116" s="744">
        <f>N115*G74</f>
        <v>1.3499999999999994</v>
      </c>
      <c r="O116" s="191" t="s">
        <v>48</v>
      </c>
      <c r="P116" s="112"/>
      <c r="Q116" s="417">
        <f>Q115*G74</f>
        <v>1.3499999999999994</v>
      </c>
      <c r="R116" s="191" t="s">
        <v>48</v>
      </c>
      <c r="S116" s="26"/>
      <c r="T116" s="26"/>
      <c r="U116" s="26"/>
      <c r="V116" s="26"/>
      <c r="W116" s="26"/>
      <c r="X116" s="26"/>
      <c r="Y116" s="26"/>
      <c r="Z116" s="26"/>
      <c r="AA116" s="26"/>
    </row>
    <row r="117" spans="1:27" s="11" customFormat="1">
      <c r="A117" s="112" t="s">
        <v>709</v>
      </c>
      <c r="G117" s="191" t="s">
        <v>1</v>
      </c>
      <c r="H117" s="744">
        <f>B88/2</f>
        <v>0.97499999999999987</v>
      </c>
      <c r="I117" s="11" t="s">
        <v>2</v>
      </c>
      <c r="J117" s="191"/>
      <c r="K117" s="417">
        <f>B88/2</f>
        <v>0.97499999999999987</v>
      </c>
      <c r="L117" s="191" t="s">
        <v>2</v>
      </c>
      <c r="N117" s="744">
        <f>G74/2</f>
        <v>0.49999999999999978</v>
      </c>
      <c r="O117" s="191" t="s">
        <v>2</v>
      </c>
      <c r="P117" s="112"/>
      <c r="Q117" s="417">
        <f>G74/2</f>
        <v>0.49999999999999978</v>
      </c>
      <c r="R117" s="191" t="s">
        <v>2</v>
      </c>
      <c r="S117" s="26"/>
      <c r="T117" s="26"/>
      <c r="U117" s="26"/>
      <c r="V117" s="26"/>
      <c r="W117" s="26"/>
      <c r="X117" s="26"/>
      <c r="Y117" s="26"/>
      <c r="Z117" s="26"/>
      <c r="AA117" s="26"/>
    </row>
    <row r="118" spans="1:27" s="11" customFormat="1">
      <c r="A118" s="112" t="s">
        <v>702</v>
      </c>
      <c r="G118" s="191" t="s">
        <v>1</v>
      </c>
      <c r="H118" s="744">
        <f>H116*H117</f>
        <v>2.5666874999999996</v>
      </c>
      <c r="I118" s="417" t="s">
        <v>577</v>
      </c>
      <c r="J118" s="745"/>
      <c r="K118" s="417">
        <f>K116*K117</f>
        <v>2.5666874999999996</v>
      </c>
      <c r="L118" s="745" t="s">
        <v>577</v>
      </c>
      <c r="N118" s="744">
        <f>N116*N117</f>
        <v>0.67499999999999938</v>
      </c>
      <c r="O118" s="745" t="s">
        <v>577</v>
      </c>
      <c r="P118" s="112"/>
      <c r="Q118" s="417">
        <f>Q116*Q117</f>
        <v>0.67499999999999938</v>
      </c>
      <c r="R118" s="745" t="s">
        <v>577</v>
      </c>
      <c r="S118" s="26"/>
      <c r="T118" s="26"/>
      <c r="U118" s="26"/>
      <c r="V118" s="26"/>
      <c r="W118" s="26"/>
      <c r="X118" s="26"/>
      <c r="Y118" s="26"/>
      <c r="Z118" s="26"/>
      <c r="AA118" s="26"/>
    </row>
    <row r="119" spans="1:27" s="11" customFormat="1">
      <c r="A119" s="112"/>
      <c r="G119" s="191"/>
      <c r="H119" s="112"/>
      <c r="J119" s="191"/>
      <c r="L119" s="191"/>
      <c r="N119" s="25"/>
      <c r="O119" s="191"/>
      <c r="P119" s="112"/>
      <c r="Q119" s="26"/>
      <c r="R119" s="191"/>
      <c r="S119" s="26"/>
      <c r="T119" s="26"/>
      <c r="U119" s="26"/>
      <c r="V119" s="26"/>
      <c r="W119" s="26"/>
      <c r="X119" s="26"/>
      <c r="Y119" s="26"/>
      <c r="Z119" s="26"/>
      <c r="AA119" s="26"/>
    </row>
    <row r="120" spans="1:27" s="11" customFormat="1">
      <c r="A120" s="112" t="s">
        <v>710</v>
      </c>
      <c r="G120" s="191" t="s">
        <v>1</v>
      </c>
      <c r="H120" s="744">
        <f>H109+H116</f>
        <v>14.47875</v>
      </c>
      <c r="I120" s="11" t="s">
        <v>48</v>
      </c>
      <c r="J120" s="191"/>
      <c r="K120" s="417">
        <f>K109+K116</f>
        <v>14.47875</v>
      </c>
      <c r="L120" s="191" t="s">
        <v>48</v>
      </c>
      <c r="N120" s="744">
        <f>N109+N116</f>
        <v>7.4249999999999972</v>
      </c>
      <c r="O120" s="191" t="s">
        <v>48</v>
      </c>
      <c r="P120" s="112"/>
      <c r="Q120" s="417">
        <f>Q109+Q116</f>
        <v>7.4249999999999972</v>
      </c>
      <c r="R120" s="191" t="s">
        <v>48</v>
      </c>
      <c r="S120" s="26"/>
      <c r="T120" s="26"/>
      <c r="U120" s="26"/>
      <c r="V120" s="26"/>
      <c r="W120" s="26"/>
      <c r="X120" s="26"/>
      <c r="Y120" s="26"/>
      <c r="Z120" s="26"/>
      <c r="AA120" s="26"/>
    </row>
    <row r="121" spans="1:27" s="11" customFormat="1">
      <c r="A121" s="112" t="s">
        <v>703</v>
      </c>
      <c r="G121" s="191" t="s">
        <v>1</v>
      </c>
      <c r="H121" s="744">
        <f>H111+H118</f>
        <v>14.116781249999999</v>
      </c>
      <c r="I121" s="417" t="s">
        <v>577</v>
      </c>
      <c r="J121" s="191"/>
      <c r="K121" s="417">
        <f>K111+K118</f>
        <v>14.116781249999999</v>
      </c>
      <c r="L121" s="745" t="s">
        <v>577</v>
      </c>
      <c r="N121" s="744">
        <f>N111+N118</f>
        <v>3.7124999999999968</v>
      </c>
      <c r="O121" s="745" t="s">
        <v>577</v>
      </c>
      <c r="P121" s="112"/>
      <c r="Q121" s="417">
        <f>Q111+Q118</f>
        <v>3.7124999999999968</v>
      </c>
      <c r="R121" s="745" t="s">
        <v>577</v>
      </c>
      <c r="S121" s="26"/>
      <c r="T121" s="26"/>
      <c r="U121" s="26"/>
      <c r="V121" s="26"/>
      <c r="W121" s="26"/>
      <c r="X121" s="26"/>
      <c r="Y121" s="26"/>
      <c r="Z121" s="26"/>
      <c r="AA121" s="26"/>
    </row>
    <row r="122" spans="1:27" s="11" customFormat="1">
      <c r="A122" s="112"/>
      <c r="G122" s="191"/>
      <c r="H122" s="112"/>
      <c r="J122" s="191"/>
      <c r="L122" s="191"/>
      <c r="N122" s="25"/>
      <c r="O122" s="191"/>
      <c r="P122" s="112"/>
      <c r="Q122" s="26"/>
      <c r="R122" s="191"/>
      <c r="S122" s="26"/>
      <c r="T122" s="26"/>
      <c r="U122" s="26"/>
      <c r="V122" s="26"/>
      <c r="W122" s="26"/>
      <c r="X122" s="26"/>
      <c r="Y122" s="26"/>
      <c r="Z122" s="26"/>
      <c r="AA122" s="26"/>
    </row>
    <row r="123" spans="1:27" s="11" customFormat="1">
      <c r="A123" s="112" t="s">
        <v>711</v>
      </c>
      <c r="G123" s="191" t="s">
        <v>1</v>
      </c>
      <c r="H123" s="744">
        <f>H101-H120</f>
        <v>62.026960164363992</v>
      </c>
      <c r="I123" s="11" t="s">
        <v>48</v>
      </c>
      <c r="J123" s="191"/>
      <c r="K123" s="417">
        <f>K101-K120</f>
        <v>116.26828041131348</v>
      </c>
      <c r="L123" s="191" t="s">
        <v>48</v>
      </c>
      <c r="N123" s="744">
        <f>N101-N120</f>
        <v>65.419259398918811</v>
      </c>
      <c r="O123" s="191" t="s">
        <v>48</v>
      </c>
      <c r="P123" s="112"/>
      <c r="Q123" s="417">
        <f>Q101-Q120</f>
        <v>90.173921127172193</v>
      </c>
      <c r="R123" s="191" t="s">
        <v>48</v>
      </c>
      <c r="S123" s="26"/>
      <c r="T123" s="26"/>
      <c r="U123" s="26"/>
      <c r="V123" s="26"/>
      <c r="W123" s="26"/>
      <c r="X123" s="26"/>
      <c r="Y123" s="26"/>
      <c r="Z123" s="26"/>
      <c r="AA123" s="26"/>
    </row>
    <row r="124" spans="1:27" s="11" customFormat="1">
      <c r="A124" s="112" t="s">
        <v>704</v>
      </c>
      <c r="G124" s="191" t="s">
        <v>1</v>
      </c>
      <c r="H124" s="744">
        <f>H103-H121</f>
        <v>77.690070947236762</v>
      </c>
      <c r="I124" s="11" t="s">
        <v>577</v>
      </c>
      <c r="J124" s="191"/>
      <c r="K124" s="417">
        <f>K103-K121</f>
        <v>142.77965524357614</v>
      </c>
      <c r="L124" s="191" t="s">
        <v>577</v>
      </c>
      <c r="N124" s="749">
        <f>N103-N121</f>
        <v>27.246310244540481</v>
      </c>
      <c r="O124" s="652" t="s">
        <v>577</v>
      </c>
      <c r="P124" s="113"/>
      <c r="Q124" s="750">
        <f>Q103-Q121</f>
        <v>37.76704147904816</v>
      </c>
      <c r="R124" s="652" t="s">
        <v>577</v>
      </c>
      <c r="S124" s="26"/>
      <c r="T124" s="26"/>
      <c r="U124" s="26"/>
      <c r="V124" s="26"/>
      <c r="W124" s="26"/>
      <c r="X124" s="26"/>
      <c r="Y124" s="26"/>
      <c r="Z124" s="26"/>
      <c r="AA124" s="26"/>
    </row>
    <row r="125" spans="1:27" s="11" customFormat="1">
      <c r="A125" s="113"/>
      <c r="B125" s="651"/>
      <c r="C125" s="651"/>
      <c r="D125" s="651"/>
      <c r="E125" s="651"/>
      <c r="F125" s="651"/>
      <c r="G125" s="652"/>
      <c r="H125" s="749"/>
      <c r="I125" s="651"/>
      <c r="J125" s="652"/>
      <c r="K125" s="750"/>
      <c r="L125" s="652"/>
      <c r="N125" s="1160"/>
      <c r="O125" s="227"/>
      <c r="P125" s="227"/>
      <c r="Q125" s="683"/>
      <c r="R125" s="657"/>
      <c r="S125" s="26"/>
      <c r="T125" s="26"/>
      <c r="U125" s="26"/>
      <c r="V125" s="26"/>
      <c r="W125" s="26"/>
      <c r="X125" s="26"/>
      <c r="Y125" s="26"/>
      <c r="Z125" s="26"/>
      <c r="AA125" s="26"/>
    </row>
    <row r="126" spans="1:27" s="11" customFormat="1">
      <c r="A126" s="112"/>
      <c r="H126" s="417"/>
      <c r="K126" s="417"/>
      <c r="N126" s="750"/>
      <c r="O126" s="651"/>
      <c r="P126" s="651"/>
      <c r="Q126" s="750"/>
      <c r="R126" s="191"/>
      <c r="S126" s="26"/>
      <c r="T126" s="26"/>
      <c r="U126" s="26"/>
      <c r="V126" s="26"/>
      <c r="W126" s="26"/>
      <c r="X126" s="26"/>
      <c r="Y126" s="26"/>
      <c r="Z126" s="26"/>
      <c r="AA126" s="26"/>
    </row>
    <row r="127" spans="1:27" s="11" customFormat="1">
      <c r="A127" s="374" t="s">
        <v>712</v>
      </c>
      <c r="B127" s="499"/>
      <c r="C127" s="499" t="s">
        <v>1</v>
      </c>
      <c r="D127" s="500">
        <f>MAX(H123,K123)</f>
        <v>116.26828041131348</v>
      </c>
      <c r="E127" s="501" t="s">
        <v>48</v>
      </c>
      <c r="F127" s="372"/>
      <c r="N127" s="374" t="s">
        <v>712</v>
      </c>
      <c r="O127" s="499"/>
      <c r="P127" s="1153" t="s">
        <v>1</v>
      </c>
      <c r="Q127" s="1154">
        <f>MAX(N123,Q123)</f>
        <v>90.173921127172193</v>
      </c>
      <c r="R127" s="191"/>
      <c r="S127" s="26"/>
      <c r="T127" s="26"/>
      <c r="U127" s="26"/>
      <c r="V127" s="26"/>
      <c r="W127" s="26"/>
      <c r="X127" s="26"/>
      <c r="Y127" s="26"/>
      <c r="Z127" s="26"/>
      <c r="AA127" s="26"/>
    </row>
    <row r="128" spans="1:27" s="11" customFormat="1">
      <c r="A128" s="374" t="s">
        <v>705</v>
      </c>
      <c r="B128" s="499"/>
      <c r="C128" s="499" t="s">
        <v>1</v>
      </c>
      <c r="D128" s="500">
        <f>MAX(H124,K124)</f>
        <v>142.77965524357614</v>
      </c>
      <c r="E128" s="501" t="s">
        <v>577</v>
      </c>
      <c r="F128" s="372"/>
      <c r="N128" s="374" t="s">
        <v>705</v>
      </c>
      <c r="O128" s="499"/>
      <c r="P128" s="499" t="s">
        <v>1</v>
      </c>
      <c r="Q128" s="1152">
        <f>MAX(N124,Q124)</f>
        <v>37.76704147904816</v>
      </c>
      <c r="R128" s="191"/>
      <c r="S128" s="26"/>
      <c r="T128" s="26"/>
      <c r="U128" s="26"/>
      <c r="V128" s="26"/>
      <c r="W128" s="26"/>
      <c r="X128" s="26"/>
      <c r="Y128" s="26"/>
      <c r="Z128" s="26"/>
      <c r="AA128" s="26"/>
    </row>
    <row r="129" spans="1:27" s="11" customFormat="1">
      <c r="A129" s="25"/>
      <c r="B129" s="26"/>
      <c r="C129" s="26"/>
      <c r="D129" s="26"/>
      <c r="E129" s="26"/>
      <c r="F129" s="26"/>
      <c r="G129" s="26"/>
      <c r="H129" s="26"/>
      <c r="I129" s="26"/>
      <c r="J129" s="26"/>
      <c r="K129" s="26"/>
      <c r="L129" s="26"/>
      <c r="M129" s="26"/>
      <c r="N129" s="24"/>
      <c r="O129" s="26"/>
      <c r="P129" s="26"/>
      <c r="Q129" s="26"/>
      <c r="R129" s="27"/>
      <c r="S129" s="26"/>
      <c r="T129" s="26"/>
      <c r="U129" s="26"/>
      <c r="V129" s="26"/>
      <c r="W129" s="26"/>
      <c r="X129" s="26"/>
      <c r="Y129" s="26"/>
      <c r="Z129" s="26"/>
      <c r="AA129" s="26"/>
    </row>
    <row r="130" spans="1:27" s="11" customForma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s="11" customForma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s="11" customFormat="1">
      <c r="A132" s="502" t="s">
        <v>706</v>
      </c>
      <c r="N132" s="26"/>
      <c r="O132" s="26"/>
      <c r="P132" s="26"/>
      <c r="Q132" s="26"/>
      <c r="R132" s="26"/>
      <c r="S132" s="26"/>
      <c r="T132" s="26"/>
      <c r="U132" s="26"/>
      <c r="V132" s="26"/>
      <c r="W132" s="26"/>
      <c r="X132" s="26"/>
      <c r="Y132" s="26"/>
      <c r="Z132" s="26"/>
      <c r="AA132" s="26"/>
    </row>
    <row r="133" spans="1:27" s="11" customFormat="1">
      <c r="A133" s="502"/>
      <c r="H133" s="371"/>
      <c r="I133" s="499" t="s">
        <v>1572</v>
      </c>
      <c r="J133" s="499"/>
      <c r="K133" s="227"/>
      <c r="L133" s="657"/>
      <c r="N133" s="42"/>
      <c r="O133" s="44" t="s">
        <v>1573</v>
      </c>
      <c r="P133" s="1161"/>
      <c r="Q133" s="44"/>
      <c r="R133" s="80"/>
      <c r="S133" s="26"/>
      <c r="T133" s="26"/>
      <c r="U133" s="26"/>
      <c r="V133" s="26"/>
      <c r="W133" s="26"/>
      <c r="X133" s="26"/>
      <c r="Y133" s="26"/>
      <c r="Z133" s="26"/>
      <c r="AA133" s="26"/>
    </row>
    <row r="134" spans="1:27" s="372" customFormat="1">
      <c r="A134" s="374" t="s">
        <v>687</v>
      </c>
      <c r="B134" s="499"/>
      <c r="C134" s="499"/>
      <c r="D134" s="499"/>
      <c r="E134" s="499"/>
      <c r="F134" s="499"/>
      <c r="G134" s="499"/>
      <c r="H134" s="1148" t="s">
        <v>1546</v>
      </c>
      <c r="I134" s="1149"/>
      <c r="J134" s="1149"/>
      <c r="K134" s="1149" t="s">
        <v>1547</v>
      </c>
      <c r="L134" s="501"/>
      <c r="N134" s="1150" t="s">
        <v>1548</v>
      </c>
      <c r="O134" s="1151"/>
      <c r="P134" s="499"/>
      <c r="Q134" s="1151" t="s">
        <v>1824</v>
      </c>
      <c r="R134" s="80"/>
      <c r="S134" s="46"/>
      <c r="T134" s="46"/>
      <c r="U134" s="46"/>
      <c r="V134" s="46"/>
      <c r="W134" s="46"/>
      <c r="X134" s="46"/>
      <c r="Y134" s="46"/>
      <c r="Z134" s="46"/>
      <c r="AA134" s="46"/>
    </row>
    <row r="135" spans="1:27" s="11" customFormat="1">
      <c r="A135" s="112"/>
      <c r="H135" s="1067"/>
      <c r="I135" s="536"/>
      <c r="J135" s="536"/>
      <c r="K135" s="536"/>
      <c r="L135" s="191"/>
      <c r="N135" s="1066"/>
      <c r="O135" s="206"/>
      <c r="Q135" s="206"/>
      <c r="R135" s="27"/>
      <c r="S135" s="26"/>
      <c r="T135" s="26"/>
      <c r="U135" s="26"/>
      <c r="V135" s="26"/>
      <c r="W135" s="26"/>
      <c r="X135" s="26"/>
      <c r="Y135" s="26"/>
      <c r="Z135" s="26"/>
      <c r="AA135" s="26"/>
    </row>
    <row r="136" spans="1:27" s="11" customFormat="1">
      <c r="A136" s="112" t="s">
        <v>686</v>
      </c>
      <c r="G136" s="11" t="s">
        <v>1</v>
      </c>
      <c r="H136" s="294">
        <f>H95</f>
        <v>665.59967842996662</v>
      </c>
      <c r="I136" s="11" t="s">
        <v>51</v>
      </c>
      <c r="K136" s="186">
        <f>K95</f>
        <v>1137.4991645784273</v>
      </c>
      <c r="L136" s="191" t="s">
        <v>51</v>
      </c>
      <c r="N136" s="294">
        <f>N95</f>
        <v>524.47866767221569</v>
      </c>
      <c r="O136" s="11" t="s">
        <v>51</v>
      </c>
      <c r="Q136" s="186">
        <f>Q95</f>
        <v>702.71223211564006</v>
      </c>
      <c r="R136" s="191" t="s">
        <v>51</v>
      </c>
      <c r="S136" s="26"/>
      <c r="T136" s="26"/>
      <c r="U136" s="26"/>
      <c r="V136" s="26"/>
      <c r="W136" s="26"/>
      <c r="X136" s="26"/>
      <c r="Y136" s="26"/>
      <c r="Z136" s="26"/>
      <c r="AA136" s="26"/>
    </row>
    <row r="137" spans="1:27" s="11" customFormat="1">
      <c r="A137" s="112" t="s">
        <v>715</v>
      </c>
      <c r="G137" s="11" t="s">
        <v>1</v>
      </c>
      <c r="H137" s="112">
        <f>(B88-B71)-C87</f>
        <v>-0.42000000000000037</v>
      </c>
      <c r="I137" s="11" t="s">
        <v>2</v>
      </c>
      <c r="K137" s="11">
        <f>H137</f>
        <v>-0.42000000000000037</v>
      </c>
      <c r="L137" s="191" t="s">
        <v>2</v>
      </c>
      <c r="N137" s="112">
        <f>(G74-F76)-A73</f>
        <v>-1.3700000000000006</v>
      </c>
      <c r="O137" s="11" t="s">
        <v>2</v>
      </c>
      <c r="Q137" s="26">
        <f>N137</f>
        <v>-1.3700000000000006</v>
      </c>
      <c r="R137" s="191" t="s">
        <v>2</v>
      </c>
      <c r="S137" s="26"/>
      <c r="T137" s="26"/>
      <c r="U137" s="26"/>
      <c r="V137" s="26"/>
      <c r="W137" s="26"/>
      <c r="X137" s="26"/>
      <c r="Y137" s="26"/>
      <c r="Z137" s="26"/>
      <c r="AA137" s="26"/>
    </row>
    <row r="138" spans="1:27" s="11" customFormat="1">
      <c r="A138" s="112" t="s">
        <v>692</v>
      </c>
      <c r="G138" s="11" t="s">
        <v>1</v>
      </c>
      <c r="H138" s="112">
        <f>$N$78</f>
        <v>1.2</v>
      </c>
      <c r="I138" s="11" t="s">
        <v>2</v>
      </c>
      <c r="K138" s="11">
        <f>$N$78</f>
        <v>1.2</v>
      </c>
      <c r="L138" s="191" t="s">
        <v>2</v>
      </c>
      <c r="N138" s="112">
        <f>$N$78</f>
        <v>1.2</v>
      </c>
      <c r="O138" s="11" t="s">
        <v>2</v>
      </c>
      <c r="Q138" s="11">
        <f>$N$78</f>
        <v>1.2</v>
      </c>
      <c r="R138" s="191" t="s">
        <v>2</v>
      </c>
      <c r="S138" s="26"/>
      <c r="T138" s="26"/>
      <c r="U138" s="26"/>
      <c r="V138" s="26"/>
      <c r="W138" s="26"/>
      <c r="X138" s="26"/>
      <c r="Y138" s="26"/>
      <c r="Z138" s="26"/>
      <c r="AA138" s="26"/>
    </row>
    <row r="139" spans="1:27" s="11" customFormat="1">
      <c r="A139" s="112" t="s">
        <v>690</v>
      </c>
      <c r="G139" s="11" t="s">
        <v>1</v>
      </c>
      <c r="H139" s="112">
        <f>MIN(H138,H137+H138/2)</f>
        <v>0.1799999999999996</v>
      </c>
      <c r="I139" s="11" t="s">
        <v>2</v>
      </c>
      <c r="K139" s="11">
        <f>MIN(K138,K137+K138/2)</f>
        <v>0.1799999999999996</v>
      </c>
      <c r="L139" s="191" t="s">
        <v>2</v>
      </c>
      <c r="N139" s="112">
        <f>MIN(N138,N137+N138/2)</f>
        <v>-0.77000000000000057</v>
      </c>
      <c r="O139" s="11" t="s">
        <v>2</v>
      </c>
      <c r="Q139" s="11">
        <f>MIN(Q138,Q137+Q138/2)</f>
        <v>-0.77000000000000057</v>
      </c>
      <c r="R139" s="191" t="s">
        <v>2</v>
      </c>
      <c r="S139" s="26"/>
      <c r="T139" s="26"/>
      <c r="U139" s="26"/>
      <c r="V139" s="26"/>
      <c r="W139" s="26"/>
      <c r="X139" s="26"/>
      <c r="Y139" s="26"/>
      <c r="Z139" s="26"/>
      <c r="AA139" s="26"/>
    </row>
    <row r="140" spans="1:27" s="11" customFormat="1">
      <c r="A140" s="112" t="s">
        <v>693</v>
      </c>
      <c r="G140" s="11" t="s">
        <v>1</v>
      </c>
      <c r="H140" s="294">
        <f>H136*H139/H138</f>
        <v>99.839951764494771</v>
      </c>
      <c r="I140" s="11" t="s">
        <v>51</v>
      </c>
      <c r="K140" s="417">
        <f>K136*K139/K138</f>
        <v>170.62487468676375</v>
      </c>
      <c r="L140" s="191" t="s">
        <v>51</v>
      </c>
      <c r="N140" s="294">
        <f>N136*N139/N138</f>
        <v>-336.54047842300537</v>
      </c>
      <c r="O140" s="11" t="s">
        <v>51</v>
      </c>
      <c r="Q140" s="186">
        <f>Q136*Q139/Q138</f>
        <v>-450.9070156075361</v>
      </c>
      <c r="R140" s="191" t="s">
        <v>51</v>
      </c>
      <c r="S140" s="26"/>
      <c r="T140" s="26"/>
      <c r="U140" s="26"/>
      <c r="V140" s="26"/>
      <c r="W140" s="26"/>
      <c r="X140" s="26"/>
      <c r="Y140" s="26"/>
      <c r="Z140" s="26"/>
      <c r="AA140" s="26"/>
    </row>
    <row r="141" spans="1:27" s="11" customFormat="1">
      <c r="A141" s="112" t="s">
        <v>719</v>
      </c>
      <c r="G141" s="11" t="s">
        <v>1</v>
      </c>
      <c r="H141" s="294">
        <f>H140/H80</f>
        <v>11.475856524654573</v>
      </c>
      <c r="I141" s="11" t="s">
        <v>48</v>
      </c>
      <c r="K141" s="417">
        <f>K140/H80</f>
        <v>19.612054561696983</v>
      </c>
      <c r="L141" s="191" t="s">
        <v>48</v>
      </c>
      <c r="N141" s="294">
        <f>N140/C90</f>
        <v>-65.988329102550082</v>
      </c>
      <c r="O141" s="11" t="s">
        <v>48</v>
      </c>
      <c r="Q141" s="186">
        <f>Q140/C90</f>
        <v>-88.413140315203165</v>
      </c>
      <c r="R141" s="191" t="s">
        <v>48</v>
      </c>
      <c r="S141" s="26"/>
      <c r="T141" s="26"/>
      <c r="U141" s="26"/>
      <c r="V141" s="26"/>
      <c r="W141" s="26"/>
      <c r="X141" s="26"/>
      <c r="Y141" s="26"/>
      <c r="Z141" s="26"/>
      <c r="AA141" s="26"/>
    </row>
    <row r="142" spans="1:27" s="11" customFormat="1">
      <c r="A142" s="112"/>
      <c r="H142" s="112"/>
      <c r="L142" s="191"/>
      <c r="N142" s="25"/>
      <c r="Q142" s="26"/>
      <c r="R142" s="191"/>
      <c r="S142" s="26"/>
      <c r="T142" s="26"/>
      <c r="U142" s="26"/>
      <c r="V142" s="26"/>
      <c r="W142" s="26"/>
      <c r="X142" s="26"/>
      <c r="Y142" s="26"/>
      <c r="Z142" s="26"/>
      <c r="AA142" s="26"/>
    </row>
    <row r="143" spans="1:27" s="11" customFormat="1">
      <c r="A143" s="112" t="s">
        <v>694</v>
      </c>
      <c r="H143" s="112"/>
      <c r="L143" s="191"/>
      <c r="N143" s="25"/>
      <c r="Q143" s="26"/>
      <c r="R143" s="191"/>
      <c r="S143" s="26"/>
      <c r="T143" s="26"/>
      <c r="U143" s="26"/>
      <c r="V143" s="26"/>
      <c r="W143" s="26"/>
      <c r="X143" s="26"/>
      <c r="Y143" s="26"/>
      <c r="Z143" s="26"/>
      <c r="AA143" s="26"/>
    </row>
    <row r="144" spans="1:27" s="11" customFormat="1" ht="17.25">
      <c r="A144" s="112" t="s">
        <v>716</v>
      </c>
      <c r="G144" s="11" t="s">
        <v>1</v>
      </c>
      <c r="H144" s="744">
        <f>H108</f>
        <v>6.0750000000000002</v>
      </c>
      <c r="I144" s="11" t="s">
        <v>71</v>
      </c>
      <c r="K144" s="417">
        <f>K108</f>
        <v>6.0750000000000002</v>
      </c>
      <c r="L144" s="191" t="s">
        <v>71</v>
      </c>
      <c r="N144" s="744">
        <f>N108</f>
        <v>6.0750000000000002</v>
      </c>
      <c r="O144" s="11" t="s">
        <v>71</v>
      </c>
      <c r="Q144" s="417">
        <f>Q108</f>
        <v>6.0750000000000002</v>
      </c>
      <c r="R144" s="191" t="s">
        <v>71</v>
      </c>
      <c r="S144" s="26"/>
      <c r="T144" s="26"/>
      <c r="U144" s="26"/>
      <c r="V144" s="26"/>
      <c r="W144" s="26"/>
      <c r="X144" s="26"/>
      <c r="Y144" s="26"/>
      <c r="Z144" s="26"/>
      <c r="AA144" s="26"/>
    </row>
    <row r="145" spans="1:27" s="11" customFormat="1">
      <c r="A145" s="112" t="s">
        <v>717</v>
      </c>
      <c r="G145" s="11" t="s">
        <v>1</v>
      </c>
      <c r="H145" s="744">
        <f>H144*(B88-C87)</f>
        <v>2.0047499999999978</v>
      </c>
      <c r="I145" s="11" t="s">
        <v>48</v>
      </c>
      <c r="K145" s="417">
        <f>K144*(B88-C87)</f>
        <v>2.0047499999999978</v>
      </c>
      <c r="L145" s="191" t="s">
        <v>48</v>
      </c>
      <c r="N145" s="744">
        <f>N144*(G74-F76)</f>
        <v>-3.7665000000000033</v>
      </c>
      <c r="O145" s="11" t="s">
        <v>48</v>
      </c>
      <c r="Q145" s="417">
        <f>Q144*(G74-F76)</f>
        <v>-3.7665000000000033</v>
      </c>
      <c r="R145" s="191" t="s">
        <v>48</v>
      </c>
      <c r="S145" s="26"/>
      <c r="T145" s="26"/>
      <c r="U145" s="26"/>
      <c r="V145" s="26"/>
      <c r="W145" s="26"/>
      <c r="X145" s="26"/>
      <c r="Y145" s="26"/>
      <c r="Z145" s="26"/>
      <c r="AA145" s="26"/>
    </row>
    <row r="146" spans="1:27" s="11" customFormat="1">
      <c r="A146" s="112"/>
      <c r="H146" s="112"/>
      <c r="L146" s="191"/>
      <c r="N146" s="25"/>
      <c r="Q146" s="26"/>
      <c r="R146" s="191"/>
      <c r="S146" s="26"/>
      <c r="T146" s="26"/>
      <c r="U146" s="26"/>
      <c r="V146" s="26"/>
      <c r="W146" s="26"/>
      <c r="X146" s="26"/>
      <c r="Y146" s="26"/>
      <c r="Z146" s="26"/>
      <c r="AA146" s="26"/>
    </row>
    <row r="147" spans="1:27" s="11" customFormat="1" ht="17.25">
      <c r="A147" s="112" t="s">
        <v>697</v>
      </c>
      <c r="G147" s="11" t="s">
        <v>1</v>
      </c>
      <c r="H147" s="112">
        <f>H115</f>
        <v>1.35</v>
      </c>
      <c r="I147" s="11" t="s">
        <v>71</v>
      </c>
      <c r="K147" s="11">
        <f>K115</f>
        <v>1.35</v>
      </c>
      <c r="L147" s="191" t="s">
        <v>71</v>
      </c>
      <c r="N147" s="112">
        <f>N115</f>
        <v>1.35</v>
      </c>
      <c r="O147" s="11" t="s">
        <v>71</v>
      </c>
      <c r="Q147" s="11">
        <f>Q115</f>
        <v>1.35</v>
      </c>
      <c r="R147" s="191" t="s">
        <v>71</v>
      </c>
      <c r="S147" s="26"/>
      <c r="T147" s="26"/>
      <c r="U147" s="26"/>
      <c r="V147" s="26"/>
      <c r="W147" s="26"/>
      <c r="X147" s="26"/>
      <c r="Y147" s="26"/>
      <c r="Z147" s="26"/>
      <c r="AA147" s="26"/>
    </row>
    <row r="148" spans="1:27" s="11" customFormat="1">
      <c r="A148" s="112" t="s">
        <v>717</v>
      </c>
      <c r="G148" s="11" t="s">
        <v>1</v>
      </c>
      <c r="H148" s="744">
        <f>H147*(B88-C87)</f>
        <v>0.44549999999999951</v>
      </c>
      <c r="I148" s="11" t="s">
        <v>48</v>
      </c>
      <c r="J148" s="417"/>
      <c r="K148" s="417">
        <f>K147*(B88-C87)</f>
        <v>0.44549999999999951</v>
      </c>
      <c r="L148" s="191" t="s">
        <v>48</v>
      </c>
      <c r="N148" s="744">
        <f>N147*(G74-F76)</f>
        <v>-0.83700000000000074</v>
      </c>
      <c r="O148" s="11" t="s">
        <v>48</v>
      </c>
      <c r="Q148" s="417">
        <f>Q147*(G74-F76)</f>
        <v>-0.83700000000000074</v>
      </c>
      <c r="R148" s="191" t="s">
        <v>48</v>
      </c>
      <c r="S148" s="26"/>
      <c r="T148" s="26"/>
      <c r="U148" s="26"/>
      <c r="V148" s="26"/>
      <c r="W148" s="26"/>
      <c r="X148" s="26"/>
      <c r="Y148" s="26"/>
      <c r="Z148" s="26"/>
      <c r="AA148" s="26"/>
    </row>
    <row r="149" spans="1:27" s="11" customFormat="1">
      <c r="A149" s="112"/>
      <c r="H149" s="744"/>
      <c r="I149" s="417"/>
      <c r="J149" s="417"/>
      <c r="K149" s="417"/>
      <c r="L149" s="191"/>
      <c r="N149" s="25"/>
      <c r="Q149" s="26"/>
      <c r="R149" s="191"/>
      <c r="S149" s="26"/>
      <c r="T149" s="26"/>
      <c r="U149" s="26"/>
      <c r="V149" s="26"/>
      <c r="W149" s="26"/>
      <c r="X149" s="26"/>
      <c r="Y149" s="26"/>
      <c r="Z149" s="26"/>
      <c r="AA149" s="26"/>
    </row>
    <row r="150" spans="1:27" s="11" customFormat="1">
      <c r="A150" s="112" t="s">
        <v>718</v>
      </c>
      <c r="G150" s="11" t="s">
        <v>1</v>
      </c>
      <c r="H150" s="744">
        <f>H145+H148</f>
        <v>2.4502499999999974</v>
      </c>
      <c r="I150" s="417" t="s">
        <v>602</v>
      </c>
      <c r="K150" s="417">
        <f>K145+K148</f>
        <v>2.4502499999999974</v>
      </c>
      <c r="L150" s="745" t="s">
        <v>602</v>
      </c>
      <c r="N150" s="744">
        <f>N145+N148</f>
        <v>-4.6035000000000039</v>
      </c>
      <c r="O150" s="417" t="s">
        <v>602</v>
      </c>
      <c r="Q150" s="417">
        <f>Q145+Q148</f>
        <v>-4.6035000000000039</v>
      </c>
      <c r="R150" s="745" t="s">
        <v>602</v>
      </c>
      <c r="S150" s="26"/>
      <c r="T150" s="26"/>
      <c r="U150" s="26"/>
      <c r="V150" s="26"/>
      <c r="W150" s="26"/>
      <c r="X150" s="26"/>
      <c r="Y150" s="26"/>
      <c r="Z150" s="26"/>
      <c r="AA150" s="26"/>
    </row>
    <row r="151" spans="1:27" s="11" customFormat="1">
      <c r="A151" s="112"/>
      <c r="H151" s="112"/>
      <c r="L151" s="191"/>
      <c r="N151" s="25"/>
      <c r="Q151" s="26"/>
      <c r="R151" s="191"/>
      <c r="S151" s="26"/>
      <c r="T151" s="26"/>
      <c r="U151" s="26"/>
      <c r="V151" s="26"/>
      <c r="W151" s="26"/>
      <c r="X151" s="26"/>
      <c r="Y151" s="26"/>
      <c r="Z151" s="26"/>
      <c r="AA151" s="26"/>
    </row>
    <row r="152" spans="1:27" s="11" customFormat="1">
      <c r="A152" s="113" t="s">
        <v>711</v>
      </c>
      <c r="B152" s="651"/>
      <c r="C152" s="651"/>
      <c r="D152" s="651"/>
      <c r="E152" s="651"/>
      <c r="F152" s="651"/>
      <c r="G152" s="651" t="s">
        <v>1</v>
      </c>
      <c r="H152" s="749">
        <f>MAX(H141-H150,0)</f>
        <v>9.0256065246545756</v>
      </c>
      <c r="I152" s="651" t="s">
        <v>602</v>
      </c>
      <c r="J152" s="651"/>
      <c r="K152" s="750">
        <f>MAX(K141-K150,0)</f>
        <v>17.161804561696986</v>
      </c>
      <c r="L152" s="652" t="s">
        <v>602</v>
      </c>
      <c r="N152" s="749">
        <f>MAX(N141-N150,0)</f>
        <v>0</v>
      </c>
      <c r="O152" s="651" t="s">
        <v>602</v>
      </c>
      <c r="P152" s="651"/>
      <c r="Q152" s="750">
        <f>MAX(Q141-Q150,0)</f>
        <v>0</v>
      </c>
      <c r="R152" s="652" t="s">
        <v>602</v>
      </c>
      <c r="S152" s="26"/>
      <c r="T152" s="26"/>
      <c r="U152" s="26"/>
      <c r="V152" s="26"/>
      <c r="W152" s="26"/>
      <c r="X152" s="26"/>
      <c r="Y152" s="26"/>
      <c r="Z152" s="26"/>
      <c r="AA152" s="26"/>
    </row>
    <row r="153" spans="1:27" s="11" customFormat="1">
      <c r="A153" s="112"/>
      <c r="G153" s="661"/>
      <c r="L153" s="661"/>
      <c r="N153" s="31"/>
      <c r="O153" s="26"/>
      <c r="P153" s="26"/>
      <c r="Q153" s="26"/>
      <c r="R153" s="27"/>
      <c r="S153" s="26"/>
      <c r="T153" s="26"/>
      <c r="U153" s="26"/>
      <c r="V153" s="26"/>
      <c r="W153" s="26"/>
      <c r="X153" s="26"/>
      <c r="Y153" s="26"/>
      <c r="Z153" s="26"/>
      <c r="AA153" s="26"/>
    </row>
    <row r="154" spans="1:27" s="11" customFormat="1">
      <c r="A154" s="374" t="s">
        <v>712</v>
      </c>
      <c r="B154" s="499"/>
      <c r="C154" s="499" t="s">
        <v>1</v>
      </c>
      <c r="D154" s="500">
        <f>MAX(H152,K152)</f>
        <v>17.161804561696986</v>
      </c>
      <c r="E154" s="501" t="s">
        <v>48</v>
      </c>
      <c r="F154" s="372"/>
      <c r="N154" s="374" t="s">
        <v>712</v>
      </c>
      <c r="O154" s="499"/>
      <c r="P154" s="499" t="s">
        <v>1</v>
      </c>
      <c r="Q154" s="1152">
        <f>MAX(N152,Q152)</f>
        <v>0</v>
      </c>
      <c r="R154" s="27"/>
      <c r="S154" s="26"/>
      <c r="T154" s="26"/>
      <c r="U154" s="26"/>
      <c r="V154" s="26"/>
      <c r="W154" s="26"/>
      <c r="X154" s="26"/>
      <c r="Y154" s="26"/>
      <c r="Z154" s="26"/>
      <c r="AA154" s="26"/>
    </row>
    <row r="155" spans="1:27" s="11" customFormat="1">
      <c r="A155" s="112"/>
      <c r="N155" s="24"/>
      <c r="O155" s="26"/>
      <c r="P155" s="26"/>
      <c r="Q155" s="26"/>
      <c r="R155" s="27"/>
      <c r="S155" s="26"/>
      <c r="T155" s="26"/>
      <c r="U155" s="26"/>
      <c r="V155" s="26"/>
      <c r="W155" s="26"/>
      <c r="X155" s="26"/>
      <c r="Y155" s="26"/>
      <c r="Z155" s="26"/>
      <c r="AA155" s="26"/>
    </row>
    <row r="156" spans="1:27">
      <c r="A156" s="28"/>
      <c r="B156" s="15"/>
      <c r="C156" s="15"/>
      <c r="D156" s="15"/>
      <c r="E156" s="15"/>
      <c r="F156" s="15"/>
      <c r="G156" s="15"/>
      <c r="H156" s="15"/>
      <c r="I156" s="15"/>
      <c r="J156" s="15"/>
      <c r="K156" s="15"/>
      <c r="L156" s="15"/>
      <c r="N156" s="15"/>
      <c r="O156" s="15"/>
      <c r="P156" s="15"/>
      <c r="Q156" s="15"/>
      <c r="R156" s="22"/>
    </row>
  </sheetData>
  <mergeCells count="6">
    <mergeCell ref="P5:Q5"/>
    <mergeCell ref="P4:R4"/>
    <mergeCell ref="R5:R6"/>
    <mergeCell ref="H5:H6"/>
    <mergeCell ref="H93:L93"/>
    <mergeCell ref="N93:R93"/>
  </mergeCells>
  <pageMargins left="0.59055118110236204" right="0.15748031496063" top="0.59055118110236204" bottom="0.15748031496063" header="0.15748031496063" footer="0.31496062992126"/>
  <pageSetup paperSize="9" scale="98" orientation="landscape" blackAndWhite="1" r:id="rId1"/>
  <rowBreaks count="2" manualBreakCount="2">
    <brk id="69" max="16383" man="1"/>
    <brk id="131" max="16383" man="1"/>
  </rowBreaks>
  <drawing r:id="rId2"/>
</worksheet>
</file>

<file path=xl/worksheets/sheet25.xml><?xml version="1.0" encoding="utf-8"?>
<worksheet xmlns="http://schemas.openxmlformats.org/spreadsheetml/2006/main" xmlns:r="http://schemas.openxmlformats.org/officeDocument/2006/relationships">
  <sheetPr codeName="Sheet28">
    <tabColor theme="5" tint="0.59999389629810485"/>
  </sheetPr>
  <dimension ref="A1:O205"/>
  <sheetViews>
    <sheetView view="pageBreakPreview" zoomScaleSheetLayoutView="100" workbookViewId="0">
      <selection activeCell="M33" sqref="M33"/>
    </sheetView>
  </sheetViews>
  <sheetFormatPr defaultColWidth="7.7109375" defaultRowHeight="15"/>
  <cols>
    <col min="1" max="3" width="7.7109375" style="1"/>
    <col min="4" max="4" width="7.5703125" style="1" customWidth="1"/>
    <col min="5" max="16" width="7.7109375" style="1"/>
    <col min="17" max="17" width="8" style="1" bestFit="1" customWidth="1"/>
    <col min="18" max="18" width="7.7109375" style="1" customWidth="1"/>
    <col min="19" max="19" width="7.7109375" style="1"/>
    <col min="20" max="20" width="7.7109375" style="1" customWidth="1"/>
    <col min="21" max="24" width="7.7109375" style="1"/>
    <col min="25" max="25" width="7.7109375" style="1" customWidth="1"/>
    <col min="26" max="31" width="7.7109375" style="1"/>
    <col min="32" max="32" width="7.7109375" style="1" customWidth="1"/>
    <col min="33" max="16384" width="7.7109375" style="1"/>
  </cols>
  <sheetData>
    <row r="1" spans="1:13">
      <c r="A1" s="9" t="s">
        <v>720</v>
      </c>
    </row>
    <row r="2" spans="1:13">
      <c r="A2" s="9" t="s">
        <v>503</v>
      </c>
    </row>
    <row r="3" spans="1:13" ht="18">
      <c r="A3" s="1" t="s">
        <v>257</v>
      </c>
      <c r="D3" s="1" t="s">
        <v>434</v>
      </c>
      <c r="E3" s="1" t="s">
        <v>1</v>
      </c>
      <c r="F3" s="173">
        <f>U_DF_PC!D128</f>
        <v>142.77965524357614</v>
      </c>
      <c r="G3" s="1" t="s">
        <v>77</v>
      </c>
    </row>
    <row r="5" spans="1:13">
      <c r="A5" s="1" t="s">
        <v>133</v>
      </c>
      <c r="B5" s="1" t="s">
        <v>1</v>
      </c>
      <c r="C5" s="1">
        <f>M7</f>
        <v>1.8</v>
      </c>
      <c r="D5" s="1" t="s">
        <v>2</v>
      </c>
      <c r="E5" s="1" t="s">
        <v>290</v>
      </c>
    </row>
    <row r="6" spans="1:13">
      <c r="A6" s="1" t="s">
        <v>61</v>
      </c>
      <c r="B6" s="1" t="s">
        <v>1</v>
      </c>
      <c r="C6" s="14">
        <f>C5-IF(OR(I11="ALTERNATE",I11="NONE"),E8+E10/2,E8+E10/2+E11^2*(E10/2+32+E11/2)/(E10^2+E11^2))/1000</f>
        <v>1.7150000000000001</v>
      </c>
      <c r="D6" s="1" t="s">
        <v>2</v>
      </c>
      <c r="E6" s="1" t="s">
        <v>288</v>
      </c>
    </row>
    <row r="7" spans="1:13">
      <c r="M7" s="1124">
        <f>GEN!H146</f>
        <v>1.8</v>
      </c>
    </row>
    <row r="8" spans="1:13">
      <c r="A8" s="26" t="s">
        <v>258</v>
      </c>
      <c r="B8" s="26"/>
      <c r="D8" s="1" t="s">
        <v>1</v>
      </c>
      <c r="E8" s="118">
        <v>75</v>
      </c>
      <c r="F8" s="26" t="s">
        <v>5</v>
      </c>
      <c r="G8" s="26"/>
      <c r="H8" s="26"/>
    </row>
    <row r="9" spans="1:13">
      <c r="A9" s="26"/>
      <c r="B9" s="26"/>
      <c r="C9" s="26"/>
      <c r="D9" s="26"/>
      <c r="E9" s="26"/>
      <c r="F9" s="26"/>
      <c r="G9" s="26"/>
      <c r="H9" s="26"/>
    </row>
    <row r="10" spans="1:13">
      <c r="A10" s="26" t="s">
        <v>259</v>
      </c>
      <c r="B10" s="26"/>
      <c r="C10" s="26"/>
      <c r="D10" s="1218" t="s">
        <v>1</v>
      </c>
      <c r="E10" s="118">
        <v>20</v>
      </c>
      <c r="F10" s="97" t="s">
        <v>260</v>
      </c>
      <c r="G10" s="118">
        <v>140</v>
      </c>
      <c r="H10" s="26" t="s">
        <v>256</v>
      </c>
    </row>
    <row r="11" spans="1:13" ht="17.25" customHeight="1">
      <c r="A11" s="26"/>
      <c r="B11" s="26"/>
      <c r="C11" s="26"/>
      <c r="D11" s="1218" t="s">
        <v>54</v>
      </c>
      <c r="E11" s="118">
        <v>0</v>
      </c>
      <c r="F11" s="97" t="s">
        <v>260</v>
      </c>
      <c r="G11" s="118">
        <f>G10</f>
        <v>140</v>
      </c>
      <c r="H11" s="26" t="s">
        <v>256</v>
      </c>
      <c r="I11" s="1665" t="s">
        <v>1545</v>
      </c>
      <c r="J11" s="1665"/>
    </row>
    <row r="12" spans="1:13" ht="17.25">
      <c r="A12" s="26"/>
      <c r="B12" s="26"/>
      <c r="C12" s="26"/>
      <c r="D12" s="26" t="s">
        <v>1</v>
      </c>
      <c r="E12" s="26">
        <f>PI()*E10^2/4*1000/G10+PI()*E11^2/4*1000/G11</f>
        <v>2243.9947525641383</v>
      </c>
      <c r="F12" s="26" t="s">
        <v>410</v>
      </c>
      <c r="G12" s="26"/>
      <c r="H12" s="26"/>
    </row>
    <row r="13" spans="1:13">
      <c r="D13" s="1" t="s">
        <v>1</v>
      </c>
      <c r="E13" s="41">
        <f>E12/1000/C6/1000*100</f>
        <v>0.13084517507662613</v>
      </c>
      <c r="F13" s="1" t="s">
        <v>360</v>
      </c>
    </row>
    <row r="15" spans="1:13">
      <c r="I15" s="340" t="s">
        <v>295</v>
      </c>
      <c r="J15" s="341" t="s">
        <v>1</v>
      </c>
      <c r="K15" s="343">
        <f>E17</f>
        <v>500</v>
      </c>
      <c r="L15" s="342" t="s">
        <v>293</v>
      </c>
    </row>
    <row r="16" spans="1:13">
      <c r="A16" s="26" t="s">
        <v>411</v>
      </c>
      <c r="B16" s="26"/>
      <c r="C16" s="26"/>
      <c r="D16" s="26" t="s">
        <v>1</v>
      </c>
      <c r="E16" s="332">
        <f>GEN!H19</f>
        <v>35</v>
      </c>
      <c r="F16" s="26" t="s">
        <v>293</v>
      </c>
      <c r="G16" s="26"/>
      <c r="H16" s="26"/>
      <c r="I16" s="336" t="s">
        <v>416</v>
      </c>
      <c r="J16" s="193" t="s">
        <v>1</v>
      </c>
      <c r="K16" s="1007">
        <f>0.002+K15/2/10^5</f>
        <v>4.5000000000000005E-3</v>
      </c>
      <c r="L16" s="209"/>
    </row>
    <row r="17" spans="1:12">
      <c r="A17" s="26" t="s">
        <v>418</v>
      </c>
      <c r="B17" s="26"/>
      <c r="C17" s="26"/>
      <c r="D17" s="26" t="s">
        <v>1</v>
      </c>
      <c r="E17" s="332">
        <f>GEN!H27</f>
        <v>500</v>
      </c>
      <c r="F17" s="26" t="s">
        <v>293</v>
      </c>
      <c r="G17" s="26"/>
      <c r="H17" s="26"/>
      <c r="I17" s="336" t="s">
        <v>386</v>
      </c>
      <c r="J17" s="193" t="s">
        <v>1</v>
      </c>
      <c r="K17" s="1007">
        <f>K16*0.9</f>
        <v>4.0500000000000006E-3</v>
      </c>
      <c r="L17" s="209"/>
    </row>
    <row r="18" spans="1:12">
      <c r="G18" s="331"/>
      <c r="I18" s="192" t="s">
        <v>329</v>
      </c>
      <c r="J18" s="193" t="s">
        <v>1</v>
      </c>
      <c r="K18" s="344">
        <f>E16</f>
        <v>35</v>
      </c>
      <c r="L18" s="209" t="s">
        <v>293</v>
      </c>
    </row>
    <row r="19" spans="1:12" ht="18">
      <c r="A19" s="1" t="s">
        <v>409</v>
      </c>
      <c r="D19" s="1" t="s">
        <v>1</v>
      </c>
      <c r="E19" s="171" t="s">
        <v>414</v>
      </c>
      <c r="F19" s="171"/>
      <c r="G19" s="171"/>
      <c r="I19" s="336" t="s">
        <v>417</v>
      </c>
      <c r="J19" s="193" t="s">
        <v>1</v>
      </c>
      <c r="K19" s="344">
        <f>IF($K18&lt;65,0.35,(2.6+35*((90-0.8*$K18)/100)^4)/10)%</f>
        <v>3.4999999999999996E-3</v>
      </c>
      <c r="L19" s="209"/>
    </row>
    <row r="20" spans="1:12" ht="18">
      <c r="D20" s="1" t="s">
        <v>1</v>
      </c>
      <c r="E20" s="87">
        <f>0.87*E17*E12/0.362/E16/1000</f>
        <v>77.04322946846095</v>
      </c>
      <c r="F20" s="1" t="s">
        <v>5</v>
      </c>
      <c r="I20" s="337" t="s">
        <v>415</v>
      </c>
      <c r="J20" s="338" t="s">
        <v>1</v>
      </c>
      <c r="K20" s="1006">
        <f>K19/(K19+K17)</f>
        <v>0.46357615894039728</v>
      </c>
      <c r="L20" s="339"/>
    </row>
    <row r="22" spans="1:12" ht="15.75" customHeight="1">
      <c r="A22" s="1" t="s">
        <v>413</v>
      </c>
      <c r="D22" s="1" t="s">
        <v>1</v>
      </c>
      <c r="E22" s="345">
        <f>K20</f>
        <v>0.46357615894039728</v>
      </c>
      <c r="F22" s="171" t="s">
        <v>289</v>
      </c>
      <c r="G22" s="171"/>
    </row>
    <row r="23" spans="1:12">
      <c r="D23" s="1" t="s">
        <v>1</v>
      </c>
      <c r="E23" s="1">
        <f>E22*C6*1000</f>
        <v>795.03311258278143</v>
      </c>
      <c r="F23" s="1" t="s">
        <v>5</v>
      </c>
      <c r="G23" s="333" t="str">
        <f>IF(E20&lt;E23,"UNDER REINFORCED","OVER REINFORCED")</f>
        <v>UNDER REINFORCED</v>
      </c>
      <c r="H23" s="333"/>
      <c r="I23" s="333"/>
      <c r="J23" s="333"/>
    </row>
    <row r="25" spans="1:12">
      <c r="A25" s="1" t="s">
        <v>440</v>
      </c>
      <c r="D25" s="1" t="s">
        <v>1</v>
      </c>
      <c r="E25" s="171" t="s">
        <v>442</v>
      </c>
      <c r="F25" s="171"/>
      <c r="G25" s="171"/>
    </row>
    <row r="27" spans="1:12" ht="17.25">
      <c r="D27" s="1" t="s">
        <v>1</v>
      </c>
      <c r="E27" s="1">
        <f>F3*10^7/(0.87*E17*(C6*1000-0.416*E20))</f>
        <v>1950.3199102048222</v>
      </c>
      <c r="F27" s="26" t="s">
        <v>410</v>
      </c>
    </row>
    <row r="29" spans="1:12">
      <c r="A29" s="1" t="s">
        <v>438</v>
      </c>
      <c r="D29" s="1" t="s">
        <v>1</v>
      </c>
      <c r="E29" s="347">
        <v>1.2999999999999999E-3</v>
      </c>
      <c r="F29" s="171" t="s">
        <v>439</v>
      </c>
    </row>
    <row r="30" spans="1:12" ht="17.25">
      <c r="D30" s="1" t="s">
        <v>1</v>
      </c>
      <c r="E30" s="1">
        <f>E29*1000*(C6*1000)</f>
        <v>2229.5</v>
      </c>
      <c r="F30" s="26" t="s">
        <v>410</v>
      </c>
    </row>
    <row r="31" spans="1:12" ht="15" customHeight="1"/>
    <row r="32" spans="1:12">
      <c r="A32" s="1" t="s">
        <v>412</v>
      </c>
      <c r="D32" s="101" t="s">
        <v>441</v>
      </c>
      <c r="E32" s="1">
        <f>E27</f>
        <v>1950.3199102048222</v>
      </c>
      <c r="F32" s="1" t="s">
        <v>117</v>
      </c>
      <c r="G32" s="1">
        <f>E30</f>
        <v>2229.5</v>
      </c>
      <c r="H32" s="1" t="s">
        <v>116</v>
      </c>
    </row>
    <row r="33" spans="1:11" ht="17.25">
      <c r="D33" s="1" t="s">
        <v>1</v>
      </c>
      <c r="E33" s="1">
        <f>MAX(E27,E30)</f>
        <v>2229.5</v>
      </c>
      <c r="F33" s="26" t="s">
        <v>410</v>
      </c>
      <c r="G33" s="2" t="str">
        <f>IF(H33&lt;E33,"&gt;","&lt;")</f>
        <v>&lt;</v>
      </c>
      <c r="H33" s="1">
        <f>E12</f>
        <v>2243.9947525641383</v>
      </c>
      <c r="I33" s="26" t="s">
        <v>410</v>
      </c>
      <c r="J33" s="333" t="str">
        <f>IF(H33&lt;E33,"REVISE REINF.","OK")</f>
        <v>OK</v>
      </c>
      <c r="K33" s="8"/>
    </row>
    <row r="34" spans="1:11" ht="18.75" customHeight="1"/>
    <row r="35" spans="1:11">
      <c r="A35" s="1" t="s">
        <v>616</v>
      </c>
      <c r="D35" s="1" t="s">
        <v>1</v>
      </c>
      <c r="E35" s="442">
        <v>0.25</v>
      </c>
      <c r="F35" s="171" t="s">
        <v>619</v>
      </c>
      <c r="I35" s="291" t="s">
        <v>618</v>
      </c>
    </row>
    <row r="36" spans="1:11" ht="17.25">
      <c r="D36" s="1" t="s">
        <v>1</v>
      </c>
      <c r="E36" s="1">
        <f>E35*E12</f>
        <v>560.99868814103456</v>
      </c>
      <c r="F36" s="26" t="s">
        <v>410</v>
      </c>
    </row>
    <row r="37" spans="1:11">
      <c r="A37" s="1" t="s">
        <v>617</v>
      </c>
      <c r="E37" s="118">
        <v>10</v>
      </c>
      <c r="F37" s="441" t="s">
        <v>260</v>
      </c>
      <c r="G37" s="118">
        <v>140</v>
      </c>
      <c r="H37" s="26" t="s">
        <v>256</v>
      </c>
    </row>
    <row r="38" spans="1:11" ht="17.25">
      <c r="D38" s="1" t="s">
        <v>1</v>
      </c>
      <c r="E38" s="26">
        <f>PI()*E37^2/4*1000/G37</f>
        <v>560.99868814103456</v>
      </c>
      <c r="F38" s="26" t="s">
        <v>410</v>
      </c>
      <c r="G38" s="1061" t="str">
        <f>IF(E38&lt;E36,"REVISE REINF.","OK")</f>
        <v>OK</v>
      </c>
    </row>
    <row r="39" spans="1:11">
      <c r="D39" s="1" t="s">
        <v>1</v>
      </c>
      <c r="E39" s="1">
        <f>E38/1000/C6/1000*100</f>
        <v>3.2711293769156533E-2</v>
      </c>
      <c r="F39" s="26" t="s">
        <v>360</v>
      </c>
      <c r="G39" s="26"/>
      <c r="H39" s="26"/>
    </row>
    <row r="42" spans="1:11">
      <c r="A42" s="9" t="s">
        <v>501</v>
      </c>
    </row>
    <row r="44" spans="1:11" ht="18">
      <c r="A44" s="1" t="s">
        <v>257</v>
      </c>
      <c r="D44" s="1" t="s">
        <v>445</v>
      </c>
      <c r="E44" s="1" t="s">
        <v>1</v>
      </c>
      <c r="F44" s="362">
        <f>SL_PC!D112</f>
        <v>78.402850808977092</v>
      </c>
      <c r="G44" s="1" t="s">
        <v>77</v>
      </c>
    </row>
    <row r="45" spans="1:11" ht="18">
      <c r="D45" s="1" t="s">
        <v>467</v>
      </c>
      <c r="E45" s="1" t="s">
        <v>1</v>
      </c>
      <c r="F45" s="362">
        <f>SL_PC!D74</f>
        <v>59.472213642036749</v>
      </c>
      <c r="G45" s="1" t="s">
        <v>77</v>
      </c>
    </row>
    <row r="46" spans="1:11" ht="18">
      <c r="D46" s="1" t="s">
        <v>446</v>
      </c>
      <c r="E46" s="1" t="s">
        <v>1</v>
      </c>
      <c r="F46" s="1" t="s">
        <v>468</v>
      </c>
      <c r="H46" s="1" t="s">
        <v>447</v>
      </c>
    </row>
    <row r="47" spans="1:11">
      <c r="E47" s="1" t="s">
        <v>1</v>
      </c>
      <c r="F47" s="79">
        <f>F44-F45</f>
        <v>18.930637166940343</v>
      </c>
      <c r="G47" s="1" t="s">
        <v>77</v>
      </c>
    </row>
    <row r="48" spans="1:11">
      <c r="A48" s="1" t="s">
        <v>464</v>
      </c>
    </row>
    <row r="49" spans="1:13">
      <c r="A49" s="1" t="s">
        <v>465</v>
      </c>
      <c r="D49" s="1" t="s">
        <v>451</v>
      </c>
      <c r="E49" s="1" t="s">
        <v>1</v>
      </c>
      <c r="F49" s="63">
        <f>GEN!H41</f>
        <v>32308.249722965833</v>
      </c>
      <c r="G49" s="1" t="s">
        <v>293</v>
      </c>
    </row>
    <row r="50" spans="1:13">
      <c r="A50" s="1" t="s">
        <v>472</v>
      </c>
      <c r="D50" s="323" t="s">
        <v>60</v>
      </c>
      <c r="E50" s="1" t="s">
        <v>1</v>
      </c>
      <c r="F50" s="63">
        <f>GEN!G45</f>
        <v>1</v>
      </c>
      <c r="H50" s="365"/>
      <c r="I50" s="365"/>
      <c r="J50" s="365"/>
      <c r="K50" s="365"/>
      <c r="L50" s="365"/>
      <c r="M50" s="365"/>
    </row>
    <row r="51" spans="1:13">
      <c r="A51" s="1" t="s">
        <v>466</v>
      </c>
      <c r="D51" s="1" t="s">
        <v>454</v>
      </c>
      <c r="E51" s="1" t="s">
        <v>1</v>
      </c>
      <c r="F51" s="63">
        <f>GEN!G46</f>
        <v>16154.124861482916</v>
      </c>
      <c r="G51" s="1" t="s">
        <v>293</v>
      </c>
      <c r="H51" s="365"/>
      <c r="I51" s="365"/>
      <c r="J51" s="365"/>
      <c r="K51" s="365"/>
      <c r="L51" s="365"/>
      <c r="M51" s="365"/>
    </row>
    <row r="52" spans="1:13">
      <c r="H52" s="365"/>
      <c r="I52" s="365"/>
      <c r="J52" s="365"/>
      <c r="K52" s="365"/>
      <c r="L52" s="365"/>
      <c r="M52" s="365"/>
    </row>
    <row r="53" spans="1:13" ht="18.75">
      <c r="A53" s="1" t="s">
        <v>475</v>
      </c>
      <c r="D53" s="26" t="s">
        <v>473</v>
      </c>
      <c r="E53" s="26" t="s">
        <v>1</v>
      </c>
      <c r="F53" s="355">
        <f>GEN!H30</f>
        <v>200000</v>
      </c>
      <c r="G53" s="26" t="s">
        <v>474</v>
      </c>
    </row>
    <row r="55" spans="1:13">
      <c r="A55" s="1" t="s">
        <v>493</v>
      </c>
      <c r="E55" s="1" t="s">
        <v>1</v>
      </c>
      <c r="F55" s="1" t="s">
        <v>1286</v>
      </c>
      <c r="H55" s="1" t="s">
        <v>1</v>
      </c>
      <c r="I55" s="1">
        <f>F53/F51</f>
        <v>12.380738771982006</v>
      </c>
    </row>
    <row r="57" spans="1:13">
      <c r="A57" s="1" t="s">
        <v>491</v>
      </c>
    </row>
    <row r="58" spans="1:13" ht="18">
      <c r="D58" s="1" t="s">
        <v>471</v>
      </c>
      <c r="E58" s="1" t="s">
        <v>1</v>
      </c>
      <c r="F58" s="15" t="s">
        <v>469</v>
      </c>
      <c r="G58" s="15"/>
      <c r="H58" s="1" t="s">
        <v>1</v>
      </c>
      <c r="I58" s="1">
        <f>F49*(F45+F47)/(F47+(1+F50)*F45)</f>
        <v>18372.131995113923</v>
      </c>
      <c r="J58" s="1" t="s">
        <v>144</v>
      </c>
    </row>
    <row r="59" spans="1:13" ht="18">
      <c r="F59" s="26" t="s">
        <v>470</v>
      </c>
      <c r="G59" s="26"/>
    </row>
    <row r="61" spans="1:13" ht="18">
      <c r="A61" s="1" t="s">
        <v>495</v>
      </c>
      <c r="E61" s="1" t="s">
        <v>1</v>
      </c>
      <c r="F61" s="1" t="s">
        <v>477</v>
      </c>
      <c r="H61" s="1" t="s">
        <v>1</v>
      </c>
      <c r="I61" s="79">
        <f>F53/I58</f>
        <v>10.886052857294411</v>
      </c>
    </row>
    <row r="63" spans="1:13">
      <c r="A63" s="23" t="s">
        <v>500</v>
      </c>
      <c r="B63" s="24"/>
      <c r="C63" s="24"/>
      <c r="D63" s="24"/>
      <c r="E63" s="24"/>
      <c r="F63" s="24"/>
      <c r="G63" s="24"/>
      <c r="H63" s="24"/>
      <c r="I63" s="24"/>
      <c r="J63" s="24"/>
      <c r="K63" s="21"/>
    </row>
    <row r="64" spans="1:13" ht="17.25">
      <c r="A64" s="23" t="s">
        <v>480</v>
      </c>
      <c r="B64" s="24"/>
      <c r="C64" s="24"/>
      <c r="D64" s="24"/>
      <c r="E64" s="23" t="s">
        <v>1</v>
      </c>
      <c r="F64" s="360" t="s">
        <v>481</v>
      </c>
      <c r="G64" s="31"/>
      <c r="H64" s="31"/>
      <c r="I64" s="31"/>
      <c r="J64" s="31"/>
      <c r="K64" s="21"/>
    </row>
    <row r="65" spans="1:14">
      <c r="A65" s="25"/>
      <c r="B65" s="26"/>
      <c r="C65" s="26"/>
      <c r="D65" s="26"/>
      <c r="E65" s="25"/>
      <c r="F65" s="26"/>
      <c r="G65" s="26"/>
      <c r="H65" s="26" t="s">
        <v>435</v>
      </c>
      <c r="I65" s="26"/>
      <c r="J65" s="26"/>
      <c r="K65" s="27"/>
    </row>
    <row r="66" spans="1:14" ht="18.75">
      <c r="A66" s="25" t="s">
        <v>483</v>
      </c>
      <c r="B66" s="26" t="s">
        <v>485</v>
      </c>
      <c r="C66" s="26"/>
      <c r="D66" s="26"/>
      <c r="E66" s="25" t="s">
        <v>1</v>
      </c>
      <c r="F66" s="26" t="s">
        <v>489</v>
      </c>
      <c r="G66" s="26"/>
      <c r="H66" s="26"/>
      <c r="I66" s="26"/>
      <c r="J66" s="26"/>
      <c r="K66" s="27"/>
    </row>
    <row r="67" spans="1:14">
      <c r="A67" s="25"/>
      <c r="B67" s="26"/>
      <c r="C67" s="26"/>
      <c r="D67" s="26"/>
      <c r="E67" s="25"/>
      <c r="F67" s="26"/>
      <c r="G67" s="26"/>
      <c r="H67" s="26"/>
      <c r="I67" s="26"/>
      <c r="J67" s="26"/>
      <c r="K67" s="27"/>
    </row>
    <row r="68" spans="1:14" ht="18">
      <c r="A68" s="25" t="s">
        <v>486</v>
      </c>
      <c r="B68" s="26"/>
      <c r="C68" s="26"/>
      <c r="D68" s="26"/>
      <c r="E68" s="25" t="s">
        <v>1</v>
      </c>
      <c r="F68" s="26" t="s">
        <v>487</v>
      </c>
      <c r="G68" s="26"/>
      <c r="H68" s="26"/>
      <c r="I68" s="26"/>
      <c r="J68" s="26"/>
      <c r="K68" s="27"/>
    </row>
    <row r="69" spans="1:14" ht="18">
      <c r="A69" s="25" t="s">
        <v>490</v>
      </c>
      <c r="B69" s="26"/>
      <c r="C69" s="26"/>
      <c r="D69" s="26"/>
      <c r="E69" s="25" t="s">
        <v>1</v>
      </c>
      <c r="F69" s="26" t="s">
        <v>488</v>
      </c>
      <c r="G69" s="26"/>
      <c r="H69" s="26"/>
      <c r="I69" s="26"/>
      <c r="J69" s="26"/>
      <c r="K69" s="27"/>
    </row>
    <row r="70" spans="1:14">
      <c r="A70" s="28"/>
      <c r="B70" s="15"/>
      <c r="C70" s="15"/>
      <c r="D70" s="15"/>
      <c r="E70" s="28"/>
      <c r="F70" s="15"/>
      <c r="G70" s="15"/>
      <c r="H70" s="15"/>
      <c r="I70" s="15"/>
      <c r="J70" s="15"/>
      <c r="K70" s="22"/>
    </row>
    <row r="72" spans="1:14">
      <c r="A72" s="1674" t="s">
        <v>74</v>
      </c>
      <c r="B72" s="1675"/>
      <c r="C72" s="1675"/>
      <c r="D72" s="1676"/>
      <c r="E72" s="1680" t="s">
        <v>492</v>
      </c>
      <c r="F72" s="1681"/>
      <c r="G72" s="1681"/>
      <c r="H72" s="1682"/>
      <c r="I72" s="1680" t="s">
        <v>498</v>
      </c>
      <c r="J72" s="1681"/>
      <c r="K72" s="1681"/>
      <c r="L72" s="1682"/>
      <c r="M72" s="358"/>
      <c r="N72" s="358"/>
    </row>
    <row r="73" spans="1:14">
      <c r="A73" s="1677"/>
      <c r="B73" s="1678"/>
      <c r="C73" s="1678"/>
      <c r="D73" s="1679"/>
      <c r="E73" s="1683"/>
      <c r="F73" s="1684"/>
      <c r="G73" s="1684"/>
      <c r="H73" s="1685"/>
      <c r="I73" s="1683"/>
      <c r="J73" s="1684"/>
      <c r="K73" s="1684"/>
      <c r="L73" s="1685"/>
      <c r="M73" s="358"/>
      <c r="N73" s="358"/>
    </row>
    <row r="74" spans="1:14">
      <c r="A74" s="335" t="s">
        <v>499</v>
      </c>
      <c r="B74" s="359"/>
      <c r="C74" s="359"/>
      <c r="D74" s="361"/>
      <c r="E74" s="25" t="s">
        <v>1</v>
      </c>
      <c r="F74" s="38">
        <f>F44</f>
        <v>78.402850808977092</v>
      </c>
      <c r="G74" s="26" t="s">
        <v>77</v>
      </c>
      <c r="H74" s="27"/>
      <c r="I74" s="25" t="s">
        <v>1</v>
      </c>
      <c r="J74" s="38">
        <f>F45</f>
        <v>59.472213642036749</v>
      </c>
      <c r="K74" s="26" t="s">
        <v>77</v>
      </c>
      <c r="L74" s="27"/>
      <c r="M74" s="358"/>
      <c r="N74" s="358"/>
    </row>
    <row r="75" spans="1:14">
      <c r="A75" s="25" t="s">
        <v>478</v>
      </c>
      <c r="B75" s="26"/>
      <c r="C75" s="26"/>
      <c r="D75" s="27"/>
      <c r="E75" s="25" t="s">
        <v>1</v>
      </c>
      <c r="F75" s="26">
        <f>C5</f>
        <v>1.8</v>
      </c>
      <c r="G75" s="26" t="s">
        <v>2</v>
      </c>
      <c r="H75" s="27"/>
      <c r="I75" s="25" t="s">
        <v>1</v>
      </c>
      <c r="J75" s="26">
        <f>F75</f>
        <v>1.8</v>
      </c>
      <c r="K75" s="26" t="s">
        <v>2</v>
      </c>
      <c r="L75" s="27"/>
      <c r="M75" s="358"/>
      <c r="N75" s="358"/>
    </row>
    <row r="76" spans="1:14">
      <c r="A76" s="25" t="s">
        <v>286</v>
      </c>
      <c r="B76" s="26"/>
      <c r="C76" s="26"/>
      <c r="D76" s="27"/>
      <c r="E76" s="25" t="s">
        <v>1</v>
      </c>
      <c r="F76" s="26">
        <f>C6</f>
        <v>1.7150000000000001</v>
      </c>
      <c r="G76" s="26" t="s">
        <v>2</v>
      </c>
      <c r="H76" s="27"/>
      <c r="I76" s="25" t="s">
        <v>1</v>
      </c>
      <c r="J76" s="26">
        <f>F76</f>
        <v>1.7150000000000001</v>
      </c>
      <c r="K76" s="26" t="s">
        <v>2</v>
      </c>
      <c r="L76" s="27"/>
      <c r="M76" s="358"/>
      <c r="N76" s="358"/>
    </row>
    <row r="77" spans="1:14">
      <c r="A77" s="25" t="s">
        <v>482</v>
      </c>
      <c r="B77" s="26"/>
      <c r="C77" s="26"/>
      <c r="D77" s="27"/>
      <c r="E77" s="25" t="s">
        <v>1</v>
      </c>
      <c r="F77" s="356">
        <v>1</v>
      </c>
      <c r="G77" s="26" t="s">
        <v>2</v>
      </c>
      <c r="H77" s="27"/>
      <c r="I77" s="25" t="s">
        <v>1</v>
      </c>
      <c r="J77" s="356">
        <f>F77</f>
        <v>1</v>
      </c>
      <c r="K77" s="26" t="s">
        <v>2</v>
      </c>
      <c r="L77" s="27"/>
      <c r="M77" s="358"/>
      <c r="N77" s="358"/>
    </row>
    <row r="78" spans="1:14" ht="18.75">
      <c r="A78" s="25" t="s">
        <v>479</v>
      </c>
      <c r="B78" s="26"/>
      <c r="C78" s="26"/>
      <c r="D78" s="27"/>
      <c r="E78" s="25" t="s">
        <v>1</v>
      </c>
      <c r="F78" s="26">
        <f>E12</f>
        <v>2243.9947525641383</v>
      </c>
      <c r="G78" s="26" t="s">
        <v>410</v>
      </c>
      <c r="H78" s="27"/>
      <c r="I78" s="25" t="s">
        <v>1</v>
      </c>
      <c r="J78" s="26">
        <f>F78</f>
        <v>2243.9947525641383</v>
      </c>
      <c r="K78" s="26" t="s">
        <v>410</v>
      </c>
      <c r="L78" s="27"/>
      <c r="M78" s="358"/>
      <c r="N78" s="358"/>
    </row>
    <row r="79" spans="1:14">
      <c r="A79" s="25" t="s">
        <v>476</v>
      </c>
      <c r="B79" s="26"/>
      <c r="C79" s="26"/>
      <c r="D79" s="27"/>
      <c r="E79" s="25" t="s">
        <v>1</v>
      </c>
      <c r="F79" s="38">
        <f>I61</f>
        <v>10.886052857294411</v>
      </c>
      <c r="G79" s="26"/>
      <c r="H79" s="27"/>
      <c r="I79" s="25" t="s">
        <v>1</v>
      </c>
      <c r="J79" s="38">
        <f>I55</f>
        <v>12.380738771982006</v>
      </c>
      <c r="K79" s="26"/>
      <c r="L79" s="27"/>
      <c r="M79" s="358"/>
      <c r="N79" s="358"/>
    </row>
    <row r="80" spans="1:14">
      <c r="A80" s="25" t="s">
        <v>480</v>
      </c>
      <c r="B80" s="26"/>
      <c r="C80" s="26"/>
      <c r="D80" s="27"/>
      <c r="E80" s="25" t="s">
        <v>1</v>
      </c>
      <c r="F80" s="38">
        <f>(-F79*F78 + SQRT(F79^2*F78^2 +2*F79*F78*(F77*1000)*(F76*1000)))/(F77*1000)</f>
        <v>266.06378745126193</v>
      </c>
      <c r="G80" s="26" t="s">
        <v>5</v>
      </c>
      <c r="H80" s="27"/>
      <c r="I80" s="25" t="s">
        <v>1</v>
      </c>
      <c r="J80" s="38">
        <f>(-J79*J78 + SQRT(J79^2*J78^2 +2*J79*J78*(J77*1000)*(J76*1000)))/(J77*1000)</f>
        <v>282.16153681651667</v>
      </c>
      <c r="K80" s="26" t="s">
        <v>5</v>
      </c>
      <c r="L80" s="27"/>
      <c r="M80" s="358"/>
      <c r="N80" s="358"/>
    </row>
    <row r="81" spans="1:14" ht="18.75">
      <c r="A81" s="25" t="s">
        <v>483</v>
      </c>
      <c r="B81" s="26" t="s">
        <v>485</v>
      </c>
      <c r="C81" s="26"/>
      <c r="D81" s="27"/>
      <c r="E81" s="25" t="s">
        <v>1</v>
      </c>
      <c r="F81" s="1686">
        <f>(F77*1000)*F80^3/3+F79*F78*(F76*1000-F80)^2</f>
        <v>57563266139.43766</v>
      </c>
      <c r="G81" s="1686"/>
      <c r="H81" s="27" t="s">
        <v>484</v>
      </c>
      <c r="I81" s="25" t="s">
        <v>1</v>
      </c>
      <c r="J81" s="1686">
        <f>(J77*1000)*J80^3/3+J79*J78*(J76*1000-J80)^2</f>
        <v>64525921719.424606</v>
      </c>
      <c r="K81" s="1686"/>
      <c r="L81" s="27" t="s">
        <v>484</v>
      </c>
      <c r="M81" s="358"/>
      <c r="N81" s="358"/>
    </row>
    <row r="82" spans="1:14">
      <c r="A82" s="25"/>
      <c r="B82" s="26"/>
      <c r="C82" s="26"/>
      <c r="D82" s="27"/>
      <c r="E82" s="25"/>
      <c r="F82" s="26"/>
      <c r="G82" s="26"/>
      <c r="H82" s="27"/>
      <c r="I82" s="25"/>
      <c r="J82" s="26"/>
      <c r="K82" s="26"/>
      <c r="L82" s="27"/>
      <c r="M82" s="358"/>
      <c r="N82" s="358"/>
    </row>
    <row r="83" spans="1:14" ht="18.75">
      <c r="A83" s="25" t="s">
        <v>486</v>
      </c>
      <c r="B83" s="26"/>
      <c r="C83" s="26"/>
      <c r="D83" s="27"/>
      <c r="E83" s="25" t="s">
        <v>1</v>
      </c>
      <c r="F83" s="38">
        <f>F74*10^7*F80/F81</f>
        <v>3.6238665441051126</v>
      </c>
      <c r="G83" s="26" t="s">
        <v>474</v>
      </c>
      <c r="H83" s="60"/>
      <c r="I83" s="25" t="s">
        <v>1</v>
      </c>
      <c r="J83" s="38">
        <f>J74*10^7*J80/J81</f>
        <v>2.6006247957347171</v>
      </c>
      <c r="K83" s="26" t="s">
        <v>474</v>
      </c>
      <c r="L83" s="60"/>
      <c r="M83" s="358"/>
      <c r="N83" s="358"/>
    </row>
    <row r="84" spans="1:14" ht="17.25">
      <c r="A84" s="25" t="s">
        <v>496</v>
      </c>
      <c r="B84" s="26"/>
      <c r="C84" s="26"/>
      <c r="D84" s="27"/>
      <c r="E84" s="25" t="s">
        <v>1</v>
      </c>
      <c r="F84" s="364">
        <f>GEN!I71</f>
        <v>16.8</v>
      </c>
      <c r="G84" s="26" t="s">
        <v>474</v>
      </c>
      <c r="H84" s="357" t="str">
        <f>IF(F84&lt;F83,"REVISE ","OK")</f>
        <v>OK</v>
      </c>
      <c r="I84" s="25" t="s">
        <v>1</v>
      </c>
      <c r="J84" s="364">
        <f>GEN!I72</f>
        <v>12.6</v>
      </c>
      <c r="K84" s="26" t="s">
        <v>474</v>
      </c>
      <c r="L84" s="357" t="str">
        <f>IF(J84&lt;J83,"REVISE ","OK")</f>
        <v>OK</v>
      </c>
      <c r="M84" s="358"/>
      <c r="N84" s="358"/>
    </row>
    <row r="85" spans="1:14">
      <c r="A85" s="25"/>
      <c r="B85" s="26"/>
      <c r="C85" s="26"/>
      <c r="D85" s="27"/>
      <c r="E85" s="25"/>
      <c r="F85" s="26"/>
      <c r="G85" s="26"/>
      <c r="H85" s="60"/>
      <c r="I85" s="25"/>
      <c r="J85" s="38"/>
      <c r="K85" s="26"/>
      <c r="L85" s="60"/>
      <c r="M85" s="358"/>
      <c r="N85" s="358"/>
    </row>
    <row r="86" spans="1:14" ht="18.75">
      <c r="A86" s="25" t="s">
        <v>490</v>
      </c>
      <c r="B86" s="26"/>
      <c r="C86" s="26"/>
      <c r="D86" s="27"/>
      <c r="E86" s="25" t="s">
        <v>1</v>
      </c>
      <c r="F86" s="38">
        <f>F79*F74*10^7*(F76*1000-F80)/F81</f>
        <v>214.83554202628724</v>
      </c>
      <c r="G86" s="26" t="s">
        <v>474</v>
      </c>
      <c r="H86" s="60"/>
      <c r="I86" s="25" t="s">
        <v>1</v>
      </c>
      <c r="J86" s="38">
        <f>J79*J74*10^7*(J76*1000-J80)/J81</f>
        <v>163.50222927419119</v>
      </c>
      <c r="K86" s="26" t="s">
        <v>474</v>
      </c>
      <c r="L86" s="60"/>
      <c r="M86" s="358"/>
      <c r="N86" s="358"/>
    </row>
    <row r="87" spans="1:14" ht="17.25">
      <c r="A87" s="25" t="s">
        <v>497</v>
      </c>
      <c r="B87" s="26"/>
      <c r="C87" s="26"/>
      <c r="D87" s="27"/>
      <c r="E87" s="25" t="s">
        <v>1</v>
      </c>
      <c r="F87" s="364">
        <f>GEN!G74</f>
        <v>300</v>
      </c>
      <c r="G87" s="26" t="s">
        <v>474</v>
      </c>
      <c r="H87" s="357" t="str">
        <f>IF(F87&lt;F86,"REVISE ","OK")</f>
        <v>OK</v>
      </c>
      <c r="I87" s="25" t="s">
        <v>1</v>
      </c>
      <c r="J87" s="364">
        <f>GEN!G74</f>
        <v>300</v>
      </c>
      <c r="K87" s="26" t="s">
        <v>474</v>
      </c>
      <c r="L87" s="357" t="str">
        <f>IF(J87&lt;J86,"REVISE ","OK")</f>
        <v>OK</v>
      </c>
      <c r="M87" s="358"/>
      <c r="N87" s="358"/>
    </row>
    <row r="88" spans="1:14">
      <c r="A88" s="28"/>
      <c r="B88" s="15"/>
      <c r="C88" s="15"/>
      <c r="D88" s="22"/>
      <c r="E88" s="28"/>
      <c r="F88" s="15"/>
      <c r="G88" s="15"/>
      <c r="H88" s="22"/>
      <c r="I88" s="28"/>
      <c r="J88" s="15"/>
      <c r="K88" s="15"/>
      <c r="L88" s="22"/>
      <c r="M88" s="358"/>
      <c r="N88" s="358"/>
    </row>
    <row r="89" spans="1:14">
      <c r="M89" s="358"/>
      <c r="N89" s="358"/>
    </row>
    <row r="91" spans="1:14">
      <c r="A91" s="116"/>
      <c r="B91" s="116"/>
      <c r="C91" s="116"/>
      <c r="D91" s="116"/>
      <c r="E91" s="116"/>
      <c r="F91" s="116"/>
      <c r="G91" s="116"/>
      <c r="H91" s="116"/>
      <c r="I91" s="116"/>
      <c r="J91" s="116"/>
      <c r="K91" s="116"/>
      <c r="L91" s="116"/>
      <c r="M91" s="116"/>
    </row>
    <row r="92" spans="1:14">
      <c r="A92" s="369" t="s">
        <v>502</v>
      </c>
      <c r="B92" s="116"/>
      <c r="C92" s="116"/>
      <c r="D92" s="116"/>
      <c r="E92" s="116"/>
      <c r="F92" s="116"/>
      <c r="G92" s="116"/>
      <c r="H92" s="116"/>
      <c r="I92" s="116"/>
      <c r="J92" s="116"/>
      <c r="K92" s="116"/>
      <c r="L92" s="116"/>
      <c r="M92" s="116"/>
    </row>
    <row r="93" spans="1:14">
      <c r="A93" s="1090" t="s">
        <v>505</v>
      </c>
      <c r="L93" s="116"/>
      <c r="M93" s="116"/>
    </row>
    <row r="94" spans="1:14" ht="18">
      <c r="A94" s="7" t="s">
        <v>519</v>
      </c>
      <c r="C94" s="1" t="s">
        <v>1</v>
      </c>
      <c r="E94" s="1" t="s">
        <v>507</v>
      </c>
      <c r="H94" s="57" t="s">
        <v>508</v>
      </c>
      <c r="L94" s="116"/>
      <c r="M94" s="116"/>
    </row>
    <row r="95" spans="1:14">
      <c r="A95" s="7" t="s">
        <v>509</v>
      </c>
      <c r="L95" s="116"/>
      <c r="M95" s="116"/>
    </row>
    <row r="96" spans="1:14">
      <c r="A96" s="7" t="s">
        <v>510</v>
      </c>
      <c r="C96" s="1" t="s">
        <v>1</v>
      </c>
      <c r="D96" s="4">
        <v>0.4</v>
      </c>
      <c r="E96" s="1" t="s">
        <v>511</v>
      </c>
      <c r="L96" s="116"/>
      <c r="M96" s="116"/>
    </row>
    <row r="97" spans="1:15">
      <c r="A97" s="7"/>
      <c r="L97" s="116"/>
      <c r="M97" s="116"/>
    </row>
    <row r="98" spans="1:15">
      <c r="A98" s="7" t="s">
        <v>169</v>
      </c>
      <c r="C98" s="1" t="s">
        <v>1</v>
      </c>
      <c r="D98" s="1">
        <f>C5</f>
        <v>1.8</v>
      </c>
      <c r="E98" s="1" t="s">
        <v>2</v>
      </c>
      <c r="F98" s="1" t="s">
        <v>117</v>
      </c>
      <c r="G98" s="1" t="s">
        <v>435</v>
      </c>
      <c r="H98" s="1" t="s">
        <v>1</v>
      </c>
      <c r="I98" s="4">
        <v>1</v>
      </c>
      <c r="J98" s="1" t="s">
        <v>2</v>
      </c>
      <c r="L98" s="116"/>
      <c r="M98" s="116"/>
    </row>
    <row r="99" spans="1:15">
      <c r="A99" s="7" t="s">
        <v>424</v>
      </c>
      <c r="C99" s="1" t="s">
        <v>1</v>
      </c>
      <c r="D99" s="4">
        <f>data_polation(D98,N100:O103,2)</f>
        <v>0.65</v>
      </c>
      <c r="L99" s="116"/>
      <c r="M99" s="116"/>
      <c r="N99" s="158" t="s">
        <v>169</v>
      </c>
      <c r="O99" s="158" t="s">
        <v>424</v>
      </c>
    </row>
    <row r="100" spans="1:15">
      <c r="A100" s="7"/>
      <c r="L100" s="116"/>
      <c r="M100" s="116"/>
      <c r="N100" s="153">
        <v>0</v>
      </c>
      <c r="O100" s="153">
        <v>1</v>
      </c>
    </row>
    <row r="101" spans="1:15" ht="18">
      <c r="A101" s="7" t="s">
        <v>512</v>
      </c>
      <c r="C101" s="1" t="s">
        <v>1</v>
      </c>
      <c r="D101" s="1" t="s">
        <v>352</v>
      </c>
      <c r="L101" s="116"/>
      <c r="M101" s="116"/>
      <c r="N101" s="153">
        <v>0.3</v>
      </c>
      <c r="O101" s="153">
        <v>1</v>
      </c>
    </row>
    <row r="102" spans="1:15">
      <c r="A102" s="7"/>
      <c r="C102" s="1" t="s">
        <v>1</v>
      </c>
      <c r="D102" s="173">
        <f>GEN!H24</f>
        <v>2.7712675746635549</v>
      </c>
      <c r="E102" s="1" t="s">
        <v>293</v>
      </c>
      <c r="L102" s="116"/>
      <c r="M102" s="116"/>
      <c r="N102" s="153">
        <v>0.8</v>
      </c>
      <c r="O102" s="153">
        <v>0.65</v>
      </c>
    </row>
    <row r="103" spans="1:15">
      <c r="A103" s="7"/>
      <c r="L103" s="116"/>
      <c r="M103" s="116"/>
      <c r="N103" s="153">
        <v>3</v>
      </c>
      <c r="O103" s="153">
        <v>0.65</v>
      </c>
    </row>
    <row r="104" spans="1:15">
      <c r="A104" s="7" t="s">
        <v>513</v>
      </c>
      <c r="C104" s="1" t="s">
        <v>1</v>
      </c>
      <c r="D104" s="1672" t="s">
        <v>559</v>
      </c>
      <c r="E104" s="1672"/>
      <c r="F104" s="1672"/>
      <c r="G104" s="1672"/>
      <c r="H104" s="1672"/>
      <c r="I104" s="1672"/>
      <c r="J104" s="1672"/>
      <c r="K104" s="1672"/>
      <c r="L104" s="1672"/>
      <c r="M104" s="116"/>
    </row>
    <row r="105" spans="1:15">
      <c r="A105" s="7"/>
      <c r="D105" s="1672"/>
      <c r="E105" s="1672"/>
      <c r="F105" s="1672"/>
      <c r="G105" s="1672"/>
      <c r="H105" s="1672"/>
      <c r="I105" s="1672"/>
      <c r="J105" s="1672"/>
      <c r="K105" s="1672"/>
      <c r="L105" s="1672"/>
      <c r="M105" s="116"/>
    </row>
    <row r="106" spans="1:15">
      <c r="A106" s="7"/>
      <c r="D106" s="1672"/>
      <c r="E106" s="1672"/>
      <c r="F106" s="1672"/>
      <c r="G106" s="1672"/>
      <c r="H106" s="1672"/>
      <c r="I106" s="1672"/>
      <c r="J106" s="1672"/>
      <c r="K106" s="1672"/>
      <c r="L106" s="1672"/>
      <c r="M106" s="116"/>
    </row>
    <row r="107" spans="1:15">
      <c r="A107" s="7" t="s">
        <v>513</v>
      </c>
      <c r="C107" s="1" t="s">
        <v>1</v>
      </c>
      <c r="D107" s="1" t="s">
        <v>518</v>
      </c>
      <c r="L107" s="116"/>
      <c r="M107" s="116"/>
    </row>
    <row r="108" spans="1:15" ht="17.25">
      <c r="A108" s="7"/>
      <c r="C108" s="1" t="s">
        <v>1</v>
      </c>
      <c r="D108" s="1">
        <f>I98*D98/2</f>
        <v>0.9</v>
      </c>
      <c r="E108" s="1" t="s">
        <v>458</v>
      </c>
      <c r="M108" s="116"/>
    </row>
    <row r="109" spans="1:15">
      <c r="A109" s="7"/>
      <c r="M109" s="116"/>
    </row>
    <row r="110" spans="1:15" ht="18">
      <c r="A110" s="7" t="s">
        <v>514</v>
      </c>
      <c r="C110" s="1" t="s">
        <v>1</v>
      </c>
      <c r="D110" s="1" t="s">
        <v>517</v>
      </c>
      <c r="L110" s="116"/>
      <c r="M110" s="116"/>
    </row>
    <row r="111" spans="1:15">
      <c r="A111" s="7"/>
      <c r="C111" s="1" t="s">
        <v>1</v>
      </c>
      <c r="D111" s="1" t="s">
        <v>295</v>
      </c>
      <c r="L111" s="116"/>
      <c r="M111" s="116"/>
    </row>
    <row r="112" spans="1:15">
      <c r="A112" s="270"/>
      <c r="B112" s="116"/>
      <c r="C112" s="1" t="s">
        <v>1</v>
      </c>
      <c r="D112" s="363">
        <f>E17</f>
        <v>500</v>
      </c>
      <c r="E112" s="1" t="s">
        <v>293</v>
      </c>
      <c r="F112" s="116"/>
      <c r="G112" s="116"/>
      <c r="H112" s="116"/>
      <c r="I112" s="116"/>
      <c r="J112" s="116"/>
      <c r="K112" s="116"/>
      <c r="L112" s="116"/>
      <c r="M112" s="116"/>
    </row>
    <row r="113" spans="1:13">
      <c r="A113" s="270"/>
      <c r="B113" s="116"/>
      <c r="C113" s="116"/>
      <c r="D113" s="116"/>
      <c r="E113" s="116"/>
      <c r="F113" s="116"/>
      <c r="G113" s="116"/>
      <c r="H113" s="116"/>
      <c r="I113" s="116"/>
      <c r="J113" s="116"/>
      <c r="K113" s="116"/>
      <c r="L113" s="116"/>
      <c r="M113" s="116"/>
    </row>
    <row r="114" spans="1:13" ht="18.75">
      <c r="A114" s="7" t="s">
        <v>506</v>
      </c>
      <c r="B114" s="116"/>
      <c r="C114" s="116" t="s">
        <v>1</v>
      </c>
      <c r="D114" s="1">
        <f>D96*D99*D102*(D108*10^6)/D112</f>
        <v>1296.9532249425438</v>
      </c>
      <c r="E114" s="116" t="s">
        <v>410</v>
      </c>
      <c r="F114" s="2" t="str">
        <f>IF(G114&lt;D114,"&gt;","&lt;")</f>
        <v>&lt;</v>
      </c>
      <c r="G114" s="116">
        <f>E12</f>
        <v>2243.9947525641383</v>
      </c>
      <c r="H114" s="116" t="s">
        <v>410</v>
      </c>
      <c r="I114" s="333" t="str">
        <f>IF(G114&lt;D114,"REVISE","OK")</f>
        <v>OK</v>
      </c>
      <c r="J114" s="8"/>
      <c r="K114" s="116"/>
      <c r="L114" s="116"/>
      <c r="M114" s="116"/>
    </row>
    <row r="115" spans="1:13">
      <c r="A115" s="7"/>
    </row>
    <row r="116" spans="1:13">
      <c r="A116" s="1091" t="s">
        <v>520</v>
      </c>
      <c r="F116" s="57" t="s">
        <v>521</v>
      </c>
      <c r="I116" s="116"/>
      <c r="J116" s="116"/>
      <c r="K116" s="116"/>
      <c r="L116" s="116"/>
      <c r="M116" s="116"/>
    </row>
    <row r="117" spans="1:13" ht="18">
      <c r="A117" s="7" t="s">
        <v>522</v>
      </c>
      <c r="C117" s="1" t="s">
        <v>1</v>
      </c>
      <c r="D117" s="63">
        <f>GEN!G75</f>
        <v>0.3</v>
      </c>
      <c r="E117" s="1" t="s">
        <v>5</v>
      </c>
      <c r="L117" s="116"/>
      <c r="M117" s="116"/>
    </row>
    <row r="118" spans="1:13">
      <c r="A118" s="7"/>
      <c r="L118" s="116"/>
      <c r="M118" s="116"/>
    </row>
    <row r="119" spans="1:13">
      <c r="A119" s="7" t="s">
        <v>527</v>
      </c>
      <c r="C119" s="26" t="s">
        <v>1</v>
      </c>
      <c r="D119" s="422">
        <f>E8</f>
        <v>75</v>
      </c>
      <c r="E119" s="26" t="s">
        <v>5</v>
      </c>
      <c r="M119" s="116"/>
    </row>
    <row r="120" spans="1:13" ht="18">
      <c r="A120" s="7" t="s">
        <v>528</v>
      </c>
      <c r="B120" s="323" t="s">
        <v>550</v>
      </c>
      <c r="C120" s="26" t="s">
        <v>1</v>
      </c>
      <c r="D120" s="367">
        <f>IF(I11="ALTERNATE",(E10^2/G10+E11^2/G11)/(E10/G10+E11/G11),E10)</f>
        <v>20</v>
      </c>
      <c r="E120" s="26" t="s">
        <v>5</v>
      </c>
      <c r="M120" s="116"/>
    </row>
    <row r="121" spans="1:13" ht="18">
      <c r="A121" s="7" t="s">
        <v>551</v>
      </c>
      <c r="C121" s="1" t="s">
        <v>1</v>
      </c>
      <c r="D121" s="1">
        <f>5*(D119+D120/2)</f>
        <v>425</v>
      </c>
      <c r="E121" s="1" t="s">
        <v>5</v>
      </c>
    </row>
    <row r="122" spans="1:13">
      <c r="A122" s="7"/>
    </row>
    <row r="123" spans="1:13">
      <c r="A123" s="7" t="s">
        <v>529</v>
      </c>
      <c r="C123" s="1" t="s">
        <v>1</v>
      </c>
      <c r="D123" s="1">
        <f>IF(I11="ALTERNATE",G10/2,G10)</f>
        <v>140</v>
      </c>
      <c r="E123" s="1" t="s">
        <v>5</v>
      </c>
      <c r="F123" s="2" t="str">
        <f>IF(D123&lt;G123,"&lt;","&gt;")</f>
        <v>&lt;</v>
      </c>
      <c r="G123" s="1">
        <f>D121</f>
        <v>425</v>
      </c>
      <c r="H123" s="1" t="s">
        <v>5</v>
      </c>
      <c r="I123" s="1670" t="str">
        <f>IF(D123&lt;G123,"The Following formula can be used for calculation of maximum crack spacing.","Check bar spacing")</f>
        <v>The Following formula can be used for calculation of maximum crack spacing.</v>
      </c>
      <c r="J123" s="1670"/>
      <c r="K123" s="1670"/>
      <c r="L123" s="1670"/>
    </row>
    <row r="124" spans="1:13">
      <c r="A124" s="7"/>
      <c r="I124" s="1670"/>
      <c r="J124" s="1670"/>
      <c r="K124" s="1670"/>
      <c r="L124" s="1670"/>
      <c r="M124" s="116"/>
    </row>
    <row r="125" spans="1:13" ht="18">
      <c r="A125" s="7" t="s">
        <v>525</v>
      </c>
      <c r="C125" s="1" t="s">
        <v>1</v>
      </c>
      <c r="D125" s="1" t="s">
        <v>526</v>
      </c>
      <c r="I125" s="1670"/>
      <c r="J125" s="1670"/>
      <c r="K125" s="1670"/>
      <c r="L125" s="1670"/>
      <c r="M125" s="116"/>
    </row>
    <row r="126" spans="1:13" ht="18">
      <c r="A126" s="7"/>
      <c r="C126" s="1" t="s">
        <v>1</v>
      </c>
      <c r="D126" s="1671" t="s">
        <v>558</v>
      </c>
      <c r="E126" s="1671"/>
      <c r="F126" s="1671"/>
      <c r="M126" s="116"/>
    </row>
    <row r="127" spans="1:13">
      <c r="A127" s="7"/>
      <c r="C127" s="1" t="s">
        <v>1</v>
      </c>
      <c r="D127" s="1">
        <f>3.4*D119+0.17*D120/D140</f>
        <v>576.97044987490403</v>
      </c>
      <c r="E127" s="1" t="s">
        <v>5</v>
      </c>
    </row>
    <row r="128" spans="1:13">
      <c r="A128" s="7"/>
    </row>
    <row r="129" spans="1:13" ht="18">
      <c r="A129" s="11" t="s">
        <v>552</v>
      </c>
      <c r="B129" s="26"/>
      <c r="C129" s="26" t="s">
        <v>1</v>
      </c>
      <c r="D129" s="26" t="s">
        <v>425</v>
      </c>
      <c r="E129" s="26" t="s">
        <v>532</v>
      </c>
      <c r="G129" s="23" t="s">
        <v>169</v>
      </c>
      <c r="H129" s="24" t="s">
        <v>1</v>
      </c>
      <c r="I129" s="24">
        <f>D98</f>
        <v>1.8</v>
      </c>
      <c r="J129" s="24" t="s">
        <v>2</v>
      </c>
      <c r="K129" s="24"/>
      <c r="L129" s="1121"/>
      <c r="M129" s="1122"/>
    </row>
    <row r="130" spans="1:13">
      <c r="A130" s="11"/>
      <c r="B130" s="26"/>
      <c r="C130" s="26"/>
      <c r="D130" s="26"/>
      <c r="E130" s="26" t="s">
        <v>533</v>
      </c>
      <c r="G130" s="25" t="s">
        <v>61</v>
      </c>
      <c r="H130" s="26" t="s">
        <v>1</v>
      </c>
      <c r="I130" s="26">
        <f>C6</f>
        <v>1.7150000000000001</v>
      </c>
      <c r="J130" s="26" t="s">
        <v>2</v>
      </c>
      <c r="K130" s="26"/>
      <c r="L130" s="365"/>
      <c r="M130" s="1123"/>
    </row>
    <row r="131" spans="1:13">
      <c r="A131" s="7"/>
      <c r="E131" s="1" t="s">
        <v>534</v>
      </c>
      <c r="G131" s="25" t="s">
        <v>30</v>
      </c>
      <c r="H131" s="26" t="s">
        <v>1</v>
      </c>
      <c r="I131" s="26">
        <f>J80/1000</f>
        <v>0.28216153681651668</v>
      </c>
      <c r="J131" s="26" t="s">
        <v>2</v>
      </c>
      <c r="K131" s="1666" t="s">
        <v>553</v>
      </c>
      <c r="L131" s="1666"/>
      <c r="M131" s="1667"/>
    </row>
    <row r="132" spans="1:13">
      <c r="A132" s="7"/>
      <c r="C132" s="1" t="s">
        <v>1</v>
      </c>
      <c r="D132" s="1">
        <f>MIN(2.5*(I129-I130),(I129-I131/3),I129/2)</f>
        <v>0.21249999999999991</v>
      </c>
      <c r="E132" s="1" t="s">
        <v>2</v>
      </c>
      <c r="G132" s="28"/>
      <c r="H132" s="15"/>
      <c r="I132" s="15"/>
      <c r="J132" s="15"/>
      <c r="K132" s="1668"/>
      <c r="L132" s="1668"/>
      <c r="M132" s="1669"/>
    </row>
    <row r="133" spans="1:13">
      <c r="A133" s="7"/>
    </row>
    <row r="134" spans="1:13">
      <c r="A134" s="7" t="s">
        <v>482</v>
      </c>
      <c r="C134" s="1" t="s">
        <v>1</v>
      </c>
      <c r="D134" s="1">
        <f>I98</f>
        <v>1</v>
      </c>
      <c r="E134" s="1" t="s">
        <v>2</v>
      </c>
    </row>
    <row r="135" spans="1:13">
      <c r="A135" s="7"/>
    </row>
    <row r="136" spans="1:13" ht="18.75">
      <c r="A136" s="11" t="s">
        <v>554</v>
      </c>
      <c r="C136" s="1" t="s">
        <v>1</v>
      </c>
      <c r="D136" s="26" t="s">
        <v>555</v>
      </c>
      <c r="E136" s="1" t="s">
        <v>1</v>
      </c>
      <c r="F136" s="1">
        <f>D132*D134</f>
        <v>0.21249999999999991</v>
      </c>
      <c r="G136" s="1" t="s">
        <v>458</v>
      </c>
    </row>
    <row r="137" spans="1:13">
      <c r="A137" s="7"/>
      <c r="L137" s="116"/>
      <c r="M137" s="116"/>
    </row>
    <row r="138" spans="1:13" ht="18">
      <c r="A138" s="293" t="s">
        <v>530</v>
      </c>
      <c r="B138" s="365"/>
      <c r="C138" s="26" t="s">
        <v>1</v>
      </c>
      <c r="D138" s="26" t="s">
        <v>531</v>
      </c>
      <c r="E138" s="26"/>
      <c r="L138" s="116"/>
      <c r="M138" s="116"/>
    </row>
    <row r="139" spans="1:13">
      <c r="A139" s="11"/>
      <c r="B139" s="26"/>
      <c r="C139" s="26" t="s">
        <v>1</v>
      </c>
      <c r="D139" s="26">
        <f>E12</f>
        <v>2243.9947525641383</v>
      </c>
      <c r="E139" s="368" t="s">
        <v>556</v>
      </c>
      <c r="F139" s="1">
        <f>F136*10^6</f>
        <v>212499.99999999991</v>
      </c>
      <c r="L139" s="116"/>
      <c r="M139" s="116"/>
    </row>
    <row r="140" spans="1:13">
      <c r="A140" s="7"/>
      <c r="C140" s="1" t="s">
        <v>1</v>
      </c>
      <c r="D140" s="1">
        <f>D139/F139</f>
        <v>1.0559975306184185E-2</v>
      </c>
      <c r="L140" s="116"/>
      <c r="M140" s="116"/>
    </row>
    <row r="141" spans="1:13">
      <c r="A141" s="7"/>
      <c r="L141" s="116"/>
      <c r="M141" s="116"/>
    </row>
    <row r="142" spans="1:13" ht="18">
      <c r="A142" s="7" t="s">
        <v>538</v>
      </c>
      <c r="C142" s="1" t="s">
        <v>1</v>
      </c>
      <c r="D142" s="1" t="s">
        <v>539</v>
      </c>
      <c r="L142" s="116"/>
      <c r="M142" s="116"/>
    </row>
    <row r="143" spans="1:13">
      <c r="A143" s="7"/>
      <c r="C143" s="1" t="s">
        <v>1</v>
      </c>
      <c r="D143" s="150">
        <f>J86</f>
        <v>163.50222927419119</v>
      </c>
      <c r="E143" s="1" t="s">
        <v>293</v>
      </c>
      <c r="F143" s="1" t="s">
        <v>553</v>
      </c>
    </row>
    <row r="144" spans="1:13">
      <c r="A144" s="7"/>
    </row>
    <row r="145" spans="1:10">
      <c r="A145" s="7" t="s">
        <v>294</v>
      </c>
      <c r="C145" s="1" t="s">
        <v>1</v>
      </c>
      <c r="D145" s="63">
        <f>GEN!H30</f>
        <v>200000</v>
      </c>
      <c r="E145" s="1" t="s">
        <v>293</v>
      </c>
    </row>
    <row r="146" spans="1:10">
      <c r="A146" s="7" t="s">
        <v>454</v>
      </c>
      <c r="C146" s="1" t="s">
        <v>1</v>
      </c>
      <c r="D146" s="63">
        <f>GEN!G46</f>
        <v>16154.124861482916</v>
      </c>
      <c r="E146" s="1" t="s">
        <v>293</v>
      </c>
      <c r="F146" s="1" t="s">
        <v>557</v>
      </c>
    </row>
    <row r="147" spans="1:10" ht="18">
      <c r="A147" s="7" t="s">
        <v>540</v>
      </c>
      <c r="C147" s="1" t="s">
        <v>1</v>
      </c>
      <c r="D147" s="1" t="s">
        <v>541</v>
      </c>
    </row>
    <row r="148" spans="1:10" ht="18">
      <c r="A148" s="7" t="s">
        <v>540</v>
      </c>
      <c r="C148" s="1" t="s">
        <v>1</v>
      </c>
      <c r="D148" s="1">
        <f>D145/D146</f>
        <v>12.380738771982006</v>
      </c>
    </row>
    <row r="149" spans="1:10">
      <c r="A149" s="7"/>
    </row>
    <row r="150" spans="1:10">
      <c r="A150" s="7" t="s">
        <v>542</v>
      </c>
      <c r="C150" s="1" t="s">
        <v>1</v>
      </c>
      <c r="D150" s="366">
        <v>0.5</v>
      </c>
      <c r="F150" s="1" t="s">
        <v>543</v>
      </c>
    </row>
    <row r="151" spans="1:10">
      <c r="A151" s="7"/>
    </row>
    <row r="152" spans="1:10">
      <c r="A152" s="7"/>
    </row>
    <row r="153" spans="1:10" ht="18">
      <c r="A153" s="7" t="s">
        <v>535</v>
      </c>
      <c r="C153" s="1" t="s">
        <v>1</v>
      </c>
      <c r="D153" s="171" t="s">
        <v>420</v>
      </c>
      <c r="E153" s="1673" t="s">
        <v>536</v>
      </c>
      <c r="F153" s="1673"/>
      <c r="G153" s="1673"/>
      <c r="H153" s="1673"/>
    </row>
    <row r="154" spans="1:10">
      <c r="A154" s="7"/>
      <c r="D154" s="171"/>
      <c r="E154" s="171"/>
      <c r="F154" s="171" t="s">
        <v>294</v>
      </c>
      <c r="G154" s="171"/>
      <c r="H154" s="171"/>
    </row>
    <row r="155" spans="1:10" ht="18">
      <c r="A155" s="7"/>
      <c r="D155" s="171"/>
      <c r="E155" s="171" t="s">
        <v>537</v>
      </c>
      <c r="F155" s="171"/>
      <c r="G155" s="171"/>
      <c r="H155" s="171"/>
    </row>
    <row r="156" spans="1:10">
      <c r="A156" s="7"/>
      <c r="D156" s="171"/>
      <c r="E156" s="171"/>
      <c r="F156" s="171"/>
      <c r="G156" s="171"/>
      <c r="H156" s="171"/>
    </row>
    <row r="157" spans="1:10">
      <c r="A157" s="7"/>
      <c r="C157" s="1" t="s">
        <v>1</v>
      </c>
      <c r="D157" s="87">
        <f>MAX((D143-D150*D102*(1+D148*D140)/D140)/D145,0.6*D143/D145)</f>
        <v>4.9050668782257357E-4</v>
      </c>
    </row>
    <row r="158" spans="1:10">
      <c r="A158" s="7"/>
    </row>
    <row r="159" spans="1:10" ht="18">
      <c r="A159" s="7" t="s">
        <v>523</v>
      </c>
      <c r="C159" s="1" t="s">
        <v>1</v>
      </c>
      <c r="D159" s="1" t="s">
        <v>524</v>
      </c>
    </row>
    <row r="160" spans="1:10">
      <c r="A160" s="7"/>
      <c r="C160" s="1" t="s">
        <v>1</v>
      </c>
      <c r="D160" s="150">
        <f>D127*D157</f>
        <v>0.28300786433963937</v>
      </c>
      <c r="E160" s="1" t="s">
        <v>5</v>
      </c>
      <c r="F160" s="2" t="str">
        <f>IF(G160&lt;D160,"&gt;","&lt;")</f>
        <v>&lt;</v>
      </c>
      <c r="G160" s="1">
        <f>D117</f>
        <v>0.3</v>
      </c>
      <c r="H160" s="1" t="s">
        <v>5</v>
      </c>
      <c r="I160" s="333" t="str">
        <f>IF(G160&lt;D160,"REVISE","OK")</f>
        <v>OK</v>
      </c>
      <c r="J160" s="333"/>
    </row>
    <row r="161" spans="1:11">
      <c r="A161" s="7"/>
    </row>
    <row r="162" spans="1:11">
      <c r="A162" s="7"/>
    </row>
    <row r="163" spans="1:11">
      <c r="A163" s="9" t="s">
        <v>504</v>
      </c>
      <c r="F163" s="4" t="s">
        <v>437</v>
      </c>
      <c r="G163" s="4"/>
      <c r="H163" s="4"/>
      <c r="I163" s="4"/>
      <c r="J163" s="171"/>
    </row>
    <row r="164" spans="1:11" ht="18">
      <c r="A164" s="1" t="s">
        <v>436</v>
      </c>
      <c r="D164" s="1" t="s">
        <v>433</v>
      </c>
      <c r="E164" s="1" t="s">
        <v>1</v>
      </c>
      <c r="F164" s="150">
        <f>U_DF_PC!D154</f>
        <v>17.161804561696986</v>
      </c>
      <c r="G164" s="1" t="s">
        <v>48</v>
      </c>
    </row>
    <row r="166" spans="1:11" ht="18">
      <c r="A166" s="1" t="s">
        <v>587</v>
      </c>
    </row>
    <row r="167" spans="1:11" ht="18">
      <c r="A167" s="1" t="s">
        <v>585</v>
      </c>
      <c r="D167" s="1" t="s">
        <v>1</v>
      </c>
      <c r="E167" s="1">
        <f>C6</f>
        <v>1.7150000000000001</v>
      </c>
      <c r="F167" s="1" t="s">
        <v>2</v>
      </c>
    </row>
    <row r="169" spans="1:11">
      <c r="A169" s="171" t="s">
        <v>586</v>
      </c>
      <c r="B169" s="171"/>
      <c r="C169" s="171"/>
      <c r="D169" s="171" t="s">
        <v>1</v>
      </c>
      <c r="E169" s="6">
        <v>1</v>
      </c>
      <c r="F169" s="4" t="s">
        <v>1825</v>
      </c>
      <c r="G169" s="4"/>
      <c r="H169" s="4"/>
      <c r="I169" s="4"/>
      <c r="J169" s="4"/>
      <c r="K169" s="4"/>
    </row>
    <row r="170" spans="1:11">
      <c r="E170" s="402"/>
    </row>
    <row r="171" spans="1:11" ht="18">
      <c r="A171" s="403" t="s">
        <v>588</v>
      </c>
      <c r="B171" s="171"/>
      <c r="C171" s="171"/>
      <c r="D171" s="403" t="s">
        <v>1</v>
      </c>
      <c r="E171" s="403" t="s">
        <v>589</v>
      </c>
      <c r="F171" s="62"/>
    </row>
    <row r="172" spans="1:11">
      <c r="D172" s="1" t="s">
        <v>1</v>
      </c>
      <c r="E172" s="346">
        <f>E169*F164</f>
        <v>17.161804561696986</v>
      </c>
      <c r="F172" s="1" t="s">
        <v>34</v>
      </c>
    </row>
    <row r="174" spans="1:11">
      <c r="A174" s="62" t="s">
        <v>582</v>
      </c>
    </row>
    <row r="175" spans="1:11">
      <c r="A175" s="323" t="s">
        <v>576</v>
      </c>
      <c r="C175" s="171" t="s">
        <v>1</v>
      </c>
      <c r="D175" s="171" t="s">
        <v>581</v>
      </c>
      <c r="E175" s="171"/>
      <c r="F175" s="171"/>
      <c r="G175" s="171" t="s">
        <v>591</v>
      </c>
      <c r="H175" s="171"/>
    </row>
    <row r="176" spans="1:11">
      <c r="C176" s="1" t="s">
        <v>1</v>
      </c>
      <c r="D176" s="1">
        <f>0.6*(1-E16/310)</f>
        <v>0.532258064516129</v>
      </c>
    </row>
    <row r="178" spans="1:11">
      <c r="A178" s="1" t="s">
        <v>331</v>
      </c>
      <c r="C178" s="171" t="s">
        <v>1</v>
      </c>
      <c r="D178" s="345">
        <f>Mprop!D43</f>
        <v>0.44666666666666671</v>
      </c>
      <c r="E178" s="171" t="s">
        <v>345</v>
      </c>
    </row>
    <row r="179" spans="1:11">
      <c r="C179" s="1" t="s">
        <v>1</v>
      </c>
      <c r="D179" s="150">
        <f>D178*E16</f>
        <v>15.633333333333335</v>
      </c>
      <c r="E179" s="1" t="s">
        <v>293</v>
      </c>
    </row>
    <row r="181" spans="1:11" ht="18">
      <c r="A181" s="1" t="s">
        <v>583</v>
      </c>
      <c r="C181" s="171" t="s">
        <v>1</v>
      </c>
      <c r="D181" s="171" t="s">
        <v>580</v>
      </c>
      <c r="E181" s="171"/>
    </row>
    <row r="182" spans="1:11">
      <c r="C182" s="1" t="s">
        <v>1</v>
      </c>
      <c r="D182" s="1">
        <f>0.5*1000*(C185*1000)*D176*D179/10^4</f>
        <v>713.52298387096778</v>
      </c>
      <c r="E182" s="1" t="s">
        <v>34</v>
      </c>
      <c r="F182" s="402" t="str">
        <f>IF(D182&lt;G182,"&lt;","&gt;")</f>
        <v>&gt;</v>
      </c>
      <c r="G182" s="150">
        <f>E172</f>
        <v>17.161804561696986</v>
      </c>
      <c r="H182" s="1" t="s">
        <v>34</v>
      </c>
      <c r="I182" s="333" t="str">
        <f>IF(D182&lt;G182,"REVISE SECTION","OK")</f>
        <v>OK</v>
      </c>
      <c r="J182" s="333"/>
      <c r="K182" s="334"/>
    </row>
    <row r="183" spans="1:11">
      <c r="F183" s="402"/>
      <c r="G183" s="150"/>
    </row>
    <row r="184" spans="1:11">
      <c r="A184" s="1" t="s">
        <v>133</v>
      </c>
      <c r="B184" s="1" t="s">
        <v>1</v>
      </c>
      <c r="C184" s="14">
        <f>C5</f>
        <v>1.8</v>
      </c>
      <c r="D184" s="1" t="s">
        <v>2</v>
      </c>
      <c r="E184" s="1" t="s">
        <v>290</v>
      </c>
    </row>
    <row r="185" spans="1:11">
      <c r="A185" s="1" t="s">
        <v>61</v>
      </c>
      <c r="B185" s="1" t="s">
        <v>1</v>
      </c>
      <c r="C185" s="14">
        <f>C6</f>
        <v>1.7150000000000001</v>
      </c>
      <c r="D185" s="1" t="s">
        <v>2</v>
      </c>
      <c r="E185" s="1" t="s">
        <v>288</v>
      </c>
    </row>
    <row r="187" spans="1:11">
      <c r="A187" s="9" t="s">
        <v>590</v>
      </c>
    </row>
    <row r="188" spans="1:11">
      <c r="A188" s="171" t="s">
        <v>424</v>
      </c>
      <c r="B188" s="171" t="s">
        <v>1</v>
      </c>
      <c r="C188" s="171" t="s">
        <v>425</v>
      </c>
      <c r="D188" s="171" t="s">
        <v>426</v>
      </c>
      <c r="E188" s="171"/>
      <c r="F188" s="171" t="s">
        <v>427</v>
      </c>
      <c r="G188" s="171"/>
      <c r="I188" s="26"/>
    </row>
    <row r="189" spans="1:11">
      <c r="A189" s="171"/>
      <c r="B189" s="171"/>
      <c r="C189" s="171"/>
      <c r="D189" s="171">
        <v>2</v>
      </c>
      <c r="E189" s="171"/>
      <c r="F189" s="171"/>
      <c r="G189" s="171"/>
    </row>
    <row r="190" spans="1:11">
      <c r="A190" s="1" t="s">
        <v>424</v>
      </c>
      <c r="B190" s="1" t="s">
        <v>1</v>
      </c>
      <c r="C190" s="1">
        <f>MIN(1+SQRT(200/C185/1000),2)</f>
        <v>1.3414938883812553</v>
      </c>
    </row>
    <row r="193" spans="1:13">
      <c r="A193" s="171" t="s">
        <v>428</v>
      </c>
      <c r="B193" s="171" t="s">
        <v>1</v>
      </c>
      <c r="C193" s="171" t="s">
        <v>425</v>
      </c>
      <c r="D193" s="171" t="s">
        <v>429</v>
      </c>
      <c r="E193" s="171"/>
    </row>
    <row r="194" spans="1:13">
      <c r="A194" s="171"/>
      <c r="B194" s="171"/>
      <c r="C194" s="171"/>
      <c r="D194" s="171">
        <v>0.02</v>
      </c>
      <c r="E194" s="171"/>
    </row>
    <row r="195" spans="1:13">
      <c r="A195" s="1" t="s">
        <v>428</v>
      </c>
      <c r="B195" s="1" t="s">
        <v>1</v>
      </c>
      <c r="C195" s="1">
        <f>MIN(E12/1000/(C185*1000),0.02)</f>
        <v>1.3084517507662614E-3</v>
      </c>
    </row>
    <row r="197" spans="1:13" ht="18">
      <c r="A197" s="171" t="s">
        <v>430</v>
      </c>
      <c r="B197" s="193" t="s">
        <v>1</v>
      </c>
      <c r="C197" s="77">
        <v>0</v>
      </c>
      <c r="D197" s="193" t="s">
        <v>293</v>
      </c>
      <c r="E197" s="171"/>
      <c r="F197" s="26"/>
      <c r="G197" s="26"/>
    </row>
    <row r="198" spans="1:13">
      <c r="B198" s="26"/>
      <c r="C198" s="26"/>
      <c r="D198" s="26"/>
      <c r="E198" s="26"/>
      <c r="F198" s="26"/>
      <c r="G198" s="26"/>
    </row>
    <row r="199" spans="1:13" ht="18.75">
      <c r="A199" s="171" t="s">
        <v>431</v>
      </c>
      <c r="B199" s="193" t="s">
        <v>1</v>
      </c>
      <c r="C199" s="193" t="s">
        <v>432</v>
      </c>
      <c r="D199" s="193"/>
      <c r="E199" s="193"/>
      <c r="F199" s="26"/>
      <c r="G199" s="26"/>
    </row>
    <row r="200" spans="1:13">
      <c r="B200" s="26" t="s">
        <v>1</v>
      </c>
      <c r="C200" s="1">
        <f>0.031*C190^1.5 * E16^0.5</f>
        <v>0.28495662845405784</v>
      </c>
    </row>
    <row r="201" spans="1:13">
      <c r="B201" s="26"/>
    </row>
    <row r="202" spans="1:13" ht="18.75">
      <c r="A202" s="171" t="s">
        <v>419</v>
      </c>
      <c r="B202" s="171" t="s">
        <v>1</v>
      </c>
      <c r="C202" s="171" t="s">
        <v>420</v>
      </c>
      <c r="D202" s="171" t="s">
        <v>421</v>
      </c>
      <c r="E202" s="171"/>
      <c r="F202" s="171"/>
      <c r="G202" s="171"/>
      <c r="H202" s="171"/>
      <c r="I202" s="57" t="s">
        <v>422</v>
      </c>
    </row>
    <row r="203" spans="1:13" ht="18">
      <c r="A203" s="171"/>
      <c r="B203" s="171"/>
      <c r="C203" s="171"/>
      <c r="D203" s="171" t="s">
        <v>423</v>
      </c>
      <c r="E203" s="171"/>
      <c r="F203" s="171"/>
      <c r="G203" s="171"/>
      <c r="H203" s="171"/>
    </row>
    <row r="205" spans="1:13">
      <c r="B205" s="1" t="s">
        <v>1</v>
      </c>
      <c r="C205" s="1">
        <f>MAX((0.12*C190*(80*C195*E16)^0.33 +0.15*C197)*1000*(C185*1000)/10^4,(C200+0.15*C197)*1000*(C185*1000)/10^4)</f>
        <v>48.870061779870923</v>
      </c>
      <c r="D205" s="1" t="s">
        <v>34</v>
      </c>
      <c r="E205" s="2" t="str">
        <f>IF(C205&lt;F205,"&lt;","&gt;")</f>
        <v>&gt;</v>
      </c>
      <c r="F205" s="150">
        <f>E172</f>
        <v>17.161804561696986</v>
      </c>
      <c r="G205" s="1" t="s">
        <v>34</v>
      </c>
      <c r="H205" s="333" t="str">
        <f>IF(C205&lt;F205,"REVISE SECTION","NO SHEAR REINFORCEMENT REQUIRED")</f>
        <v>NO SHEAR REINFORCEMENT REQUIRED</v>
      </c>
      <c r="I205" s="333"/>
      <c r="J205" s="334"/>
      <c r="K205" s="334"/>
      <c r="L205" s="334"/>
      <c r="M205" s="334"/>
    </row>
  </sheetData>
  <mergeCells count="11">
    <mergeCell ref="E153:H153"/>
    <mergeCell ref="A72:D73"/>
    <mergeCell ref="I72:L73"/>
    <mergeCell ref="J81:K81"/>
    <mergeCell ref="F81:G81"/>
    <mergeCell ref="E72:H73"/>
    <mergeCell ref="I11:J11"/>
    <mergeCell ref="K131:M132"/>
    <mergeCell ref="I123:L125"/>
    <mergeCell ref="D126:F126"/>
    <mergeCell ref="D104:L106"/>
  </mergeCells>
  <dataValidations disablePrompts="1" count="1">
    <dataValidation type="list" allowBlank="1" showInputMessage="1" showErrorMessage="1" sqref="I11:J11">
      <formula1>"NONE,ALTERNATE,LAYER-2"</formula1>
    </dataValidation>
  </dataValidations>
  <pageMargins left="0.59055118110236204" right="0.196850393700787" top="0.59055118110236204" bottom="0.196850393700787" header="0.31496062992126" footer="0.31496062992126"/>
  <pageSetup paperSize="9" scale="95" orientation="portrait" blackAndWhite="1" r:id="rId1"/>
  <rowBreaks count="6" manualBreakCount="6">
    <brk id="41" max="12" man="1"/>
    <brk id="91" max="12" man="1"/>
    <brk id="144" max="12" man="1"/>
    <brk id="186" max="12" man="1"/>
    <brk id="207" max="12" man="1"/>
    <brk id="232" max="12" man="1"/>
  </rowBreaks>
  <drawing r:id="rId2"/>
</worksheet>
</file>

<file path=xl/worksheets/sheet26.xml><?xml version="1.0" encoding="utf-8"?>
<worksheet xmlns="http://schemas.openxmlformats.org/spreadsheetml/2006/main" xmlns:r="http://schemas.openxmlformats.org/officeDocument/2006/relationships">
  <sheetPr codeName="Sheet47">
    <tabColor theme="5" tint="0.59999389629810485"/>
  </sheetPr>
  <dimension ref="A1:P230"/>
  <sheetViews>
    <sheetView view="pageBreakPreview" zoomScaleSheetLayoutView="100" workbookViewId="0">
      <selection activeCell="M33" sqref="M33"/>
    </sheetView>
  </sheetViews>
  <sheetFormatPr defaultColWidth="7.7109375" defaultRowHeight="15"/>
  <cols>
    <col min="1" max="3" width="7.7109375" style="1"/>
    <col min="4" max="4" width="7.5703125" style="1" customWidth="1"/>
    <col min="5" max="16" width="7.7109375" style="1"/>
    <col min="17" max="17" width="8" style="1" bestFit="1" customWidth="1"/>
    <col min="18" max="18" width="7.7109375" style="1" customWidth="1"/>
    <col min="19" max="19" width="7.7109375" style="1"/>
    <col min="20" max="20" width="7.7109375" style="1" customWidth="1"/>
    <col min="21" max="24" width="7.7109375" style="1"/>
    <col min="25" max="25" width="7.7109375" style="1" customWidth="1"/>
    <col min="26" max="31" width="7.7109375" style="1"/>
    <col min="32" max="32" width="7.7109375" style="1" customWidth="1"/>
    <col min="33" max="16384" width="7.7109375" style="1"/>
  </cols>
  <sheetData>
    <row r="1" spans="1:13">
      <c r="A1" s="9" t="s">
        <v>1459</v>
      </c>
    </row>
    <row r="2" spans="1:13">
      <c r="A2" s="9" t="s">
        <v>503</v>
      </c>
    </row>
    <row r="3" spans="1:13" ht="18">
      <c r="A3" s="1" t="s">
        <v>257</v>
      </c>
      <c r="D3" s="1" t="s">
        <v>434</v>
      </c>
      <c r="E3" s="1" t="s">
        <v>1</v>
      </c>
      <c r="F3" s="173">
        <f>U_DF_PC!Q128</f>
        <v>37.76704147904816</v>
      </c>
      <c r="G3" s="1" t="s">
        <v>77</v>
      </c>
    </row>
    <row r="5" spans="1:13">
      <c r="A5" s="1" t="s">
        <v>133</v>
      </c>
      <c r="B5" s="1" t="s">
        <v>1</v>
      </c>
      <c r="C5" s="1">
        <f>M7</f>
        <v>1.8</v>
      </c>
      <c r="D5" s="1" t="s">
        <v>2</v>
      </c>
      <c r="E5" s="1" t="s">
        <v>290</v>
      </c>
    </row>
    <row r="6" spans="1:13">
      <c r="A6" s="1" t="s">
        <v>61</v>
      </c>
      <c r="B6" s="1" t="s">
        <v>1</v>
      </c>
      <c r="C6" s="150">
        <f>C5-IF(OR(I11="ALTERNATE",I11="NONE"),E8+E10/2,E8+E10/2+E11^2*(E10/2+32+E11/2)/(E10^2+E11^2))/1000</f>
        <v>1.7150000000000001</v>
      </c>
      <c r="D6" s="1" t="s">
        <v>2</v>
      </c>
      <c r="E6" s="1" t="s">
        <v>288</v>
      </c>
    </row>
    <row r="7" spans="1:13">
      <c r="M7" s="1">
        <f>GEN!H146</f>
        <v>1.8</v>
      </c>
    </row>
    <row r="8" spans="1:13">
      <c r="A8" s="26" t="s">
        <v>258</v>
      </c>
      <c r="B8" s="26"/>
      <c r="D8" s="1" t="s">
        <v>1</v>
      </c>
      <c r="E8" s="118">
        <v>75</v>
      </c>
      <c r="F8" s="26" t="s">
        <v>5</v>
      </c>
      <c r="G8" s="26"/>
      <c r="H8" s="26"/>
    </row>
    <row r="9" spans="1:13">
      <c r="A9" s="26"/>
      <c r="B9" s="26"/>
      <c r="C9" s="26"/>
      <c r="D9" s="26"/>
      <c r="E9" s="26"/>
      <c r="F9" s="26"/>
      <c r="G9" s="26"/>
      <c r="H9" s="26"/>
    </row>
    <row r="10" spans="1:13">
      <c r="A10" s="26" t="s">
        <v>259</v>
      </c>
      <c r="B10" s="26"/>
      <c r="C10" s="26"/>
      <c r="D10" s="924" t="s">
        <v>1</v>
      </c>
      <c r="E10" s="118">
        <v>20</v>
      </c>
      <c r="F10" s="924" t="s">
        <v>260</v>
      </c>
      <c r="G10" s="118">
        <v>140</v>
      </c>
      <c r="H10" s="26" t="s">
        <v>256</v>
      </c>
    </row>
    <row r="11" spans="1:13">
      <c r="A11" s="26"/>
      <c r="B11" s="26"/>
      <c r="C11" s="26"/>
      <c r="D11" s="924" t="s">
        <v>54</v>
      </c>
      <c r="E11" s="118">
        <v>0</v>
      </c>
      <c r="F11" s="924" t="s">
        <v>260</v>
      </c>
      <c r="G11" s="118">
        <f>G10</f>
        <v>140</v>
      </c>
      <c r="H11" s="26" t="s">
        <v>256</v>
      </c>
      <c r="I11" s="1665" t="s">
        <v>1545</v>
      </c>
      <c r="J11" s="1665"/>
    </row>
    <row r="12" spans="1:13" ht="17.25">
      <c r="A12" s="26"/>
      <c r="B12" s="26"/>
      <c r="C12" s="26"/>
      <c r="D12" s="26" t="s">
        <v>1</v>
      </c>
      <c r="E12" s="26">
        <f>PI()*E10^2/4*1000/G10+PI()*E11^2/4*1000/G11</f>
        <v>2243.9947525641383</v>
      </c>
      <c r="F12" s="26" t="s">
        <v>410</v>
      </c>
      <c r="G12" s="26"/>
      <c r="H12" s="26"/>
    </row>
    <row r="13" spans="1:13">
      <c r="D13" s="1" t="s">
        <v>1</v>
      </c>
      <c r="E13" s="327">
        <f>E12/1000/C6/1000*100</f>
        <v>0.13084517507662613</v>
      </c>
      <c r="F13" s="1" t="s">
        <v>360</v>
      </c>
    </row>
    <row r="16" spans="1:13">
      <c r="A16" s="26" t="s">
        <v>411</v>
      </c>
      <c r="B16" s="26"/>
      <c r="C16" s="26"/>
      <c r="D16" s="26" t="s">
        <v>1</v>
      </c>
      <c r="E16" s="332">
        <f>GEN!H19</f>
        <v>35</v>
      </c>
      <c r="F16" s="26" t="s">
        <v>293</v>
      </c>
      <c r="G16" s="26"/>
      <c r="H16" s="26"/>
      <c r="I16" s="340" t="s">
        <v>295</v>
      </c>
      <c r="J16" s="341" t="s">
        <v>1</v>
      </c>
      <c r="K16" s="343">
        <f>E17</f>
        <v>500</v>
      </c>
      <c r="L16" s="342" t="s">
        <v>293</v>
      </c>
    </row>
    <row r="17" spans="1:12">
      <c r="A17" s="26" t="s">
        <v>418</v>
      </c>
      <c r="B17" s="26"/>
      <c r="C17" s="26"/>
      <c r="D17" s="26" t="s">
        <v>1</v>
      </c>
      <c r="E17" s="332">
        <f>GEN!H27</f>
        <v>500</v>
      </c>
      <c r="F17" s="26" t="s">
        <v>293</v>
      </c>
      <c r="G17" s="26"/>
      <c r="H17" s="26"/>
      <c r="I17" s="336" t="s">
        <v>416</v>
      </c>
      <c r="J17" s="193" t="s">
        <v>1</v>
      </c>
      <c r="K17" s="1007">
        <f>0.002+K16/2/10^5</f>
        <v>4.5000000000000005E-3</v>
      </c>
      <c r="L17" s="209"/>
    </row>
    <row r="18" spans="1:12">
      <c r="G18" s="331"/>
      <c r="I18" s="336" t="s">
        <v>386</v>
      </c>
      <c r="J18" s="193" t="s">
        <v>1</v>
      </c>
      <c r="K18" s="1007">
        <f>K17*0.9</f>
        <v>4.0500000000000006E-3</v>
      </c>
      <c r="L18" s="209"/>
    </row>
    <row r="19" spans="1:12">
      <c r="A19" s="1" t="s">
        <v>409</v>
      </c>
      <c r="D19" s="1" t="s">
        <v>1</v>
      </c>
      <c r="E19" s="171" t="s">
        <v>414</v>
      </c>
      <c r="F19" s="171"/>
      <c r="G19" s="171"/>
      <c r="I19" s="192" t="s">
        <v>329</v>
      </c>
      <c r="J19" s="193" t="s">
        <v>1</v>
      </c>
      <c r="K19" s="344">
        <f>E16</f>
        <v>35</v>
      </c>
      <c r="L19" s="209" t="s">
        <v>293</v>
      </c>
    </row>
    <row r="20" spans="1:12" ht="18">
      <c r="D20" s="1" t="s">
        <v>1</v>
      </c>
      <c r="E20" s="87">
        <f>0.87*E17*E12/0.362/E16/1000</f>
        <v>77.04322946846095</v>
      </c>
      <c r="F20" s="1" t="s">
        <v>5</v>
      </c>
      <c r="I20" s="336" t="s">
        <v>417</v>
      </c>
      <c r="J20" s="193" t="s">
        <v>1</v>
      </c>
      <c r="K20" s="344">
        <f>IF($K19&lt;65,0.35,(2.6+35*((90-0.8*$K19)/100)^4)/10)%</f>
        <v>3.4999999999999996E-3</v>
      </c>
      <c r="L20" s="209"/>
    </row>
    <row r="21" spans="1:12" ht="18">
      <c r="I21" s="337" t="s">
        <v>415</v>
      </c>
      <c r="J21" s="338" t="s">
        <v>1</v>
      </c>
      <c r="K21" s="1006">
        <f>K20/(K20+K18)</f>
        <v>0.46357615894039728</v>
      </c>
      <c r="L21" s="339"/>
    </row>
    <row r="22" spans="1:12" ht="18">
      <c r="A22" s="1" t="s">
        <v>413</v>
      </c>
      <c r="D22" s="1" t="s">
        <v>1</v>
      </c>
      <c r="E22" s="345">
        <f>K21</f>
        <v>0.46357615894039728</v>
      </c>
      <c r="F22" s="171" t="s">
        <v>289</v>
      </c>
      <c r="G22" s="171"/>
    </row>
    <row r="23" spans="1:12">
      <c r="D23" s="1" t="s">
        <v>1</v>
      </c>
      <c r="E23" s="1">
        <f>E22*C6*1000</f>
        <v>795.03311258278143</v>
      </c>
      <c r="F23" s="1" t="s">
        <v>5</v>
      </c>
      <c r="G23" s="333" t="str">
        <f>IF(E20&lt;E23,"UNDER REINFORCED","OVER REINFORCED")</f>
        <v>UNDER REINFORCED</v>
      </c>
      <c r="H23" s="333"/>
      <c r="I23" s="333"/>
      <c r="J23" s="333"/>
    </row>
    <row r="25" spans="1:12">
      <c r="A25" s="1" t="s">
        <v>440</v>
      </c>
      <c r="D25" s="1" t="s">
        <v>1</v>
      </c>
      <c r="E25" s="171" t="s">
        <v>442</v>
      </c>
      <c r="F25" s="171"/>
      <c r="G25" s="171"/>
    </row>
    <row r="27" spans="1:12" ht="17.25">
      <c r="D27" s="1" t="s">
        <v>1</v>
      </c>
      <c r="E27" s="1">
        <f>F3*10^7/(0.87*E17*(C6*1000-0.416*E20))</f>
        <v>515.88451324148286</v>
      </c>
      <c r="F27" s="26" t="s">
        <v>410</v>
      </c>
    </row>
    <row r="29" spans="1:12">
      <c r="A29" s="1" t="s">
        <v>438</v>
      </c>
      <c r="D29" s="1" t="s">
        <v>1</v>
      </c>
      <c r="E29" s="347">
        <v>1.2999999999999999E-3</v>
      </c>
      <c r="F29" s="171" t="s">
        <v>439</v>
      </c>
    </row>
    <row r="30" spans="1:12" ht="17.25">
      <c r="D30" s="1" t="s">
        <v>1</v>
      </c>
      <c r="E30" s="1">
        <f>E29*1000*(C6*1000)</f>
        <v>2229.5</v>
      </c>
      <c r="F30" s="26" t="s">
        <v>410</v>
      </c>
    </row>
    <row r="32" spans="1:12">
      <c r="A32" s="1" t="s">
        <v>412</v>
      </c>
      <c r="D32" s="101" t="s">
        <v>441</v>
      </c>
      <c r="E32" s="1">
        <f>E27</f>
        <v>515.88451324148286</v>
      </c>
      <c r="F32" s="1" t="s">
        <v>117</v>
      </c>
      <c r="G32" s="1">
        <f>E30</f>
        <v>2229.5</v>
      </c>
      <c r="H32" s="1" t="s">
        <v>116</v>
      </c>
    </row>
    <row r="33" spans="1:11" ht="17.25">
      <c r="D33" s="1" t="s">
        <v>1</v>
      </c>
      <c r="E33" s="1">
        <f>MAX(E27,E30)</f>
        <v>2229.5</v>
      </c>
      <c r="F33" s="26" t="s">
        <v>410</v>
      </c>
      <c r="G33" s="528" t="str">
        <f>IF(H33&lt;E33,"&gt;","&lt;")</f>
        <v>&lt;</v>
      </c>
      <c r="H33" s="1">
        <f>E12</f>
        <v>2243.9947525641383</v>
      </c>
      <c r="I33" s="26" t="s">
        <v>410</v>
      </c>
      <c r="J33" s="333" t="str">
        <f>IF(H33&lt;E33,"REVISE REINF.","OK")</f>
        <v>OK</v>
      </c>
      <c r="K33" s="333"/>
    </row>
    <row r="35" spans="1:11">
      <c r="A35" s="1" t="s">
        <v>616</v>
      </c>
      <c r="D35" s="1" t="s">
        <v>1</v>
      </c>
      <c r="E35" s="442">
        <v>0.25</v>
      </c>
      <c r="F35" s="171" t="s">
        <v>619</v>
      </c>
      <c r="I35" s="291" t="s">
        <v>618</v>
      </c>
    </row>
    <row r="36" spans="1:11" ht="17.25">
      <c r="D36" s="1" t="s">
        <v>1</v>
      </c>
      <c r="E36" s="1">
        <f>E35*E12</f>
        <v>560.99868814103456</v>
      </c>
      <c r="F36" s="26" t="s">
        <v>410</v>
      </c>
    </row>
    <row r="37" spans="1:11">
      <c r="A37" s="1" t="s">
        <v>617</v>
      </c>
      <c r="E37" s="118">
        <v>10</v>
      </c>
      <c r="F37" s="924" t="s">
        <v>260</v>
      </c>
      <c r="G37" s="118">
        <v>140</v>
      </c>
      <c r="H37" s="26" t="s">
        <v>256</v>
      </c>
    </row>
    <row r="38" spans="1:11" ht="17.25">
      <c r="D38" s="1" t="s">
        <v>1</v>
      </c>
      <c r="E38" s="26">
        <f>PI()*E37^2/4*1000/G37</f>
        <v>560.99868814103456</v>
      </c>
      <c r="F38" s="26" t="s">
        <v>410</v>
      </c>
      <c r="G38" s="1061" t="str">
        <f>IF(E38&lt;E36,"REVISE REINF.","OK")</f>
        <v>OK</v>
      </c>
    </row>
    <row r="39" spans="1:11">
      <c r="D39" s="1" t="s">
        <v>1</v>
      </c>
      <c r="E39" s="1">
        <f>E38/1000/C6/1000*100</f>
        <v>3.2711293769156533E-2</v>
      </c>
      <c r="F39" s="26" t="s">
        <v>360</v>
      </c>
      <c r="G39" s="26"/>
      <c r="H39" s="26"/>
    </row>
    <row r="43" spans="1:11">
      <c r="A43" s="9" t="s">
        <v>501</v>
      </c>
    </row>
    <row r="45" spans="1:11" ht="18">
      <c r="A45" s="1" t="s">
        <v>257</v>
      </c>
      <c r="D45" s="1" t="s">
        <v>445</v>
      </c>
      <c r="E45" s="1" t="s">
        <v>1</v>
      </c>
      <c r="F45" s="362">
        <f>SL_PC!O112</f>
        <v>19.610942953566578</v>
      </c>
      <c r="G45" s="1" t="s">
        <v>77</v>
      </c>
    </row>
    <row r="46" spans="1:11" ht="18">
      <c r="D46" s="1" t="s">
        <v>467</v>
      </c>
      <c r="E46" s="1" t="s">
        <v>1</v>
      </c>
      <c r="F46" s="362">
        <f>SL_PC!Q74</f>
        <v>8.6347622076330932</v>
      </c>
      <c r="G46" s="1" t="s">
        <v>77</v>
      </c>
    </row>
    <row r="47" spans="1:11" ht="18">
      <c r="D47" s="1" t="s">
        <v>446</v>
      </c>
      <c r="E47" s="1" t="s">
        <v>1</v>
      </c>
      <c r="F47" s="1" t="s">
        <v>468</v>
      </c>
      <c r="H47" s="1" t="s">
        <v>447</v>
      </c>
    </row>
    <row r="48" spans="1:11">
      <c r="E48" s="1" t="s">
        <v>1</v>
      </c>
      <c r="F48" s="79">
        <f>F45-F46</f>
        <v>10.976180745933485</v>
      </c>
      <c r="G48" s="1" t="s">
        <v>77</v>
      </c>
    </row>
    <row r="49" spans="1:13">
      <c r="A49" s="1" t="s">
        <v>464</v>
      </c>
    </row>
    <row r="50" spans="1:13">
      <c r="A50" s="1" t="s">
        <v>465</v>
      </c>
      <c r="D50" s="1" t="s">
        <v>451</v>
      </c>
      <c r="E50" s="1" t="s">
        <v>1</v>
      </c>
      <c r="F50" s="63">
        <f>GEN!H41</f>
        <v>32308.249722965833</v>
      </c>
      <c r="G50" s="1" t="s">
        <v>293</v>
      </c>
    </row>
    <row r="51" spans="1:13">
      <c r="A51" s="1" t="s">
        <v>472</v>
      </c>
      <c r="D51" s="323" t="s">
        <v>60</v>
      </c>
      <c r="E51" s="1" t="s">
        <v>1</v>
      </c>
      <c r="F51" s="63">
        <f>GEN!G45</f>
        <v>1</v>
      </c>
      <c r="H51" s="365"/>
      <c r="I51" s="365"/>
      <c r="J51" s="365"/>
      <c r="K51" s="365"/>
      <c r="L51" s="365"/>
      <c r="M51" s="365"/>
    </row>
    <row r="52" spans="1:13">
      <c r="A52" s="1" t="s">
        <v>466</v>
      </c>
      <c r="D52" s="1" t="s">
        <v>454</v>
      </c>
      <c r="E52" s="1" t="s">
        <v>1</v>
      </c>
      <c r="F52" s="63">
        <f>GEN!G46</f>
        <v>16154.124861482916</v>
      </c>
      <c r="G52" s="1" t="s">
        <v>293</v>
      </c>
      <c r="H52" s="365"/>
      <c r="I52" s="365"/>
      <c r="J52" s="365"/>
      <c r="K52" s="365"/>
      <c r="L52" s="365"/>
      <c r="M52" s="365"/>
    </row>
    <row r="53" spans="1:13">
      <c r="H53" s="365"/>
      <c r="I53" s="365"/>
      <c r="J53" s="365"/>
      <c r="K53" s="365"/>
      <c r="L53" s="365"/>
      <c r="M53" s="365"/>
    </row>
    <row r="54" spans="1:13" ht="18.75">
      <c r="A54" s="1" t="s">
        <v>475</v>
      </c>
      <c r="D54" s="26" t="s">
        <v>473</v>
      </c>
      <c r="E54" s="26" t="s">
        <v>1</v>
      </c>
      <c r="F54" s="355">
        <f>GEN!H30</f>
        <v>200000</v>
      </c>
      <c r="G54" s="26" t="s">
        <v>474</v>
      </c>
    </row>
    <row r="56" spans="1:13">
      <c r="A56" s="1" t="s">
        <v>493</v>
      </c>
      <c r="E56" s="1" t="s">
        <v>1</v>
      </c>
      <c r="F56" s="1" t="s">
        <v>1286</v>
      </c>
      <c r="H56" s="1" t="s">
        <v>1</v>
      </c>
      <c r="I56" s="1">
        <f>F54/F52</f>
        <v>12.380738771982006</v>
      </c>
    </row>
    <row r="58" spans="1:13">
      <c r="A58" s="1" t="s">
        <v>491</v>
      </c>
    </row>
    <row r="59" spans="1:13" ht="18">
      <c r="D59" s="1" t="s">
        <v>471</v>
      </c>
      <c r="E59" s="1" t="s">
        <v>1</v>
      </c>
      <c r="F59" s="15" t="s">
        <v>469</v>
      </c>
      <c r="G59" s="15"/>
      <c r="H59" s="1" t="s">
        <v>1</v>
      </c>
      <c r="I59" s="1">
        <f>F50*(F46+F48)/(F48+(1+F51)*F46)</f>
        <v>22431.560431248075</v>
      </c>
      <c r="J59" s="1" t="s">
        <v>144</v>
      </c>
    </row>
    <row r="60" spans="1:13" ht="18">
      <c r="F60" s="26" t="s">
        <v>470</v>
      </c>
      <c r="G60" s="26"/>
    </row>
    <row r="62" spans="1:13" ht="16.5" customHeight="1">
      <c r="A62" s="1" t="s">
        <v>495</v>
      </c>
      <c r="E62" s="1" t="s">
        <v>1</v>
      </c>
      <c r="F62" s="1" t="s">
        <v>477</v>
      </c>
      <c r="H62" s="1" t="s">
        <v>1</v>
      </c>
      <c r="I62" s="79">
        <f>F54/I59</f>
        <v>8.9160092367623189</v>
      </c>
    </row>
    <row r="64" spans="1:13">
      <c r="A64" s="23" t="s">
        <v>500</v>
      </c>
      <c r="B64" s="24"/>
      <c r="C64" s="24"/>
      <c r="D64" s="24"/>
      <c r="E64" s="24"/>
      <c r="F64" s="24"/>
      <c r="G64" s="24"/>
      <c r="H64" s="24"/>
      <c r="I64" s="24"/>
      <c r="J64" s="24"/>
      <c r="K64" s="21"/>
    </row>
    <row r="65" spans="1:14" ht="17.25">
      <c r="A65" s="23" t="s">
        <v>480</v>
      </c>
      <c r="B65" s="24"/>
      <c r="C65" s="24"/>
      <c r="D65" s="24"/>
      <c r="E65" s="23" t="s">
        <v>1</v>
      </c>
      <c r="F65" s="360" t="s">
        <v>481</v>
      </c>
      <c r="G65" s="31"/>
      <c r="H65" s="31"/>
      <c r="I65" s="31"/>
      <c r="J65" s="31"/>
      <c r="K65" s="21"/>
    </row>
    <row r="66" spans="1:14">
      <c r="A66" s="25"/>
      <c r="B66" s="26"/>
      <c r="C66" s="26"/>
      <c r="D66" s="26"/>
      <c r="E66" s="25"/>
      <c r="F66" s="26"/>
      <c r="G66" s="26"/>
      <c r="H66" s="26" t="s">
        <v>435</v>
      </c>
      <c r="I66" s="26"/>
      <c r="J66" s="26"/>
      <c r="K66" s="27"/>
    </row>
    <row r="67" spans="1:14" ht="18.75">
      <c r="A67" s="25" t="s">
        <v>483</v>
      </c>
      <c r="B67" s="26" t="s">
        <v>485</v>
      </c>
      <c r="C67" s="26"/>
      <c r="D67" s="26"/>
      <c r="E67" s="25" t="s">
        <v>1</v>
      </c>
      <c r="F67" s="26" t="s">
        <v>489</v>
      </c>
      <c r="G67" s="26"/>
      <c r="H67" s="26"/>
      <c r="I67" s="26"/>
      <c r="J67" s="26"/>
      <c r="K67" s="27"/>
    </row>
    <row r="68" spans="1:14">
      <c r="A68" s="25"/>
      <c r="B68" s="26"/>
      <c r="C68" s="26"/>
      <c r="D68" s="26"/>
      <c r="E68" s="25"/>
      <c r="F68" s="26"/>
      <c r="G68" s="26"/>
      <c r="H68" s="26"/>
      <c r="I68" s="26"/>
      <c r="J68" s="26"/>
      <c r="K68" s="27"/>
    </row>
    <row r="69" spans="1:14" ht="18">
      <c r="A69" s="25" t="s">
        <v>486</v>
      </c>
      <c r="B69" s="26"/>
      <c r="C69" s="26"/>
      <c r="D69" s="26"/>
      <c r="E69" s="25" t="s">
        <v>1</v>
      </c>
      <c r="F69" s="26" t="s">
        <v>487</v>
      </c>
      <c r="G69" s="26"/>
      <c r="H69" s="26"/>
      <c r="I69" s="26"/>
      <c r="J69" s="26"/>
      <c r="K69" s="27"/>
    </row>
    <row r="70" spans="1:14" ht="18">
      <c r="A70" s="25" t="s">
        <v>490</v>
      </c>
      <c r="B70" s="26"/>
      <c r="C70" s="26"/>
      <c r="D70" s="26"/>
      <c r="E70" s="25" t="s">
        <v>1</v>
      </c>
      <c r="F70" s="26" t="s">
        <v>488</v>
      </c>
      <c r="G70" s="26"/>
      <c r="H70" s="26"/>
      <c r="I70" s="26"/>
      <c r="J70" s="26"/>
      <c r="K70" s="27"/>
    </row>
    <row r="71" spans="1:14">
      <c r="A71" s="28"/>
      <c r="B71" s="15"/>
      <c r="C71" s="15"/>
      <c r="D71" s="15"/>
      <c r="E71" s="28"/>
      <c r="F71" s="15"/>
      <c r="G71" s="15"/>
      <c r="H71" s="15"/>
      <c r="I71" s="15"/>
      <c r="J71" s="15"/>
      <c r="K71" s="22"/>
    </row>
    <row r="73" spans="1:14">
      <c r="A73" s="1674" t="s">
        <v>74</v>
      </c>
      <c r="B73" s="1675"/>
      <c r="C73" s="1675"/>
      <c r="D73" s="1676"/>
      <c r="E73" s="1680" t="s">
        <v>492</v>
      </c>
      <c r="F73" s="1681"/>
      <c r="G73" s="1681"/>
      <c r="H73" s="1682"/>
      <c r="I73" s="1680" t="s">
        <v>498</v>
      </c>
      <c r="J73" s="1681"/>
      <c r="K73" s="1681"/>
      <c r="L73" s="1682"/>
      <c r="M73" s="358"/>
      <c r="N73" s="358"/>
    </row>
    <row r="74" spans="1:14">
      <c r="A74" s="1677"/>
      <c r="B74" s="1678"/>
      <c r="C74" s="1678"/>
      <c r="D74" s="1679"/>
      <c r="E74" s="1683"/>
      <c r="F74" s="1684"/>
      <c r="G74" s="1684"/>
      <c r="H74" s="1685"/>
      <c r="I74" s="1683"/>
      <c r="J74" s="1684"/>
      <c r="K74" s="1684"/>
      <c r="L74" s="1685"/>
      <c r="M74" s="358"/>
      <c r="N74" s="358"/>
    </row>
    <row r="75" spans="1:14">
      <c r="A75" s="335" t="s">
        <v>499</v>
      </c>
      <c r="B75" s="359"/>
      <c r="C75" s="359"/>
      <c r="D75" s="361"/>
      <c r="E75" s="25" t="s">
        <v>1</v>
      </c>
      <c r="F75" s="38">
        <f>F45</f>
        <v>19.610942953566578</v>
      </c>
      <c r="G75" s="26" t="s">
        <v>77</v>
      </c>
      <c r="H75" s="27"/>
      <c r="I75" s="25" t="s">
        <v>1</v>
      </c>
      <c r="J75" s="38">
        <f>F46</f>
        <v>8.6347622076330932</v>
      </c>
      <c r="K75" s="26" t="s">
        <v>77</v>
      </c>
      <c r="L75" s="27"/>
      <c r="M75" s="358"/>
      <c r="N75" s="358"/>
    </row>
    <row r="76" spans="1:14">
      <c r="A76" s="25" t="s">
        <v>478</v>
      </c>
      <c r="B76" s="26"/>
      <c r="C76" s="26"/>
      <c r="D76" s="27"/>
      <c r="E76" s="25" t="s">
        <v>1</v>
      </c>
      <c r="F76" s="26">
        <f>C5</f>
        <v>1.8</v>
      </c>
      <c r="G76" s="26" t="s">
        <v>2</v>
      </c>
      <c r="H76" s="27"/>
      <c r="I76" s="25" t="s">
        <v>1</v>
      </c>
      <c r="J76" s="26">
        <f>F76</f>
        <v>1.8</v>
      </c>
      <c r="K76" s="26" t="s">
        <v>2</v>
      </c>
      <c r="L76" s="27"/>
      <c r="M76" s="358"/>
      <c r="N76" s="358"/>
    </row>
    <row r="77" spans="1:14">
      <c r="A77" s="25" t="s">
        <v>286</v>
      </c>
      <c r="B77" s="26"/>
      <c r="C77" s="26"/>
      <c r="D77" s="27"/>
      <c r="E77" s="25" t="s">
        <v>1</v>
      </c>
      <c r="F77" s="26">
        <f>C6</f>
        <v>1.7150000000000001</v>
      </c>
      <c r="G77" s="26" t="s">
        <v>2</v>
      </c>
      <c r="H77" s="27"/>
      <c r="I77" s="25" t="s">
        <v>1</v>
      </c>
      <c r="J77" s="26">
        <f>F77</f>
        <v>1.7150000000000001</v>
      </c>
      <c r="K77" s="26" t="s">
        <v>2</v>
      </c>
      <c r="L77" s="27"/>
      <c r="M77" s="358"/>
      <c r="N77" s="358"/>
    </row>
    <row r="78" spans="1:14">
      <c r="A78" s="25" t="s">
        <v>482</v>
      </c>
      <c r="B78" s="26"/>
      <c r="C78" s="26"/>
      <c r="D78" s="27"/>
      <c r="E78" s="25" t="s">
        <v>1</v>
      </c>
      <c r="F78" s="356">
        <v>1</v>
      </c>
      <c r="G78" s="26" t="s">
        <v>2</v>
      </c>
      <c r="H78" s="27"/>
      <c r="I78" s="25" t="s">
        <v>1</v>
      </c>
      <c r="J78" s="356">
        <f>F78</f>
        <v>1</v>
      </c>
      <c r="K78" s="26" t="s">
        <v>2</v>
      </c>
      <c r="L78" s="27"/>
      <c r="M78" s="358"/>
      <c r="N78" s="358"/>
    </row>
    <row r="79" spans="1:14" ht="18.75">
      <c r="A79" s="25" t="s">
        <v>479</v>
      </c>
      <c r="B79" s="26"/>
      <c r="C79" s="26"/>
      <c r="D79" s="27"/>
      <c r="E79" s="25" t="s">
        <v>1</v>
      </c>
      <c r="F79" s="26">
        <f>E12</f>
        <v>2243.9947525641383</v>
      </c>
      <c r="G79" s="26" t="s">
        <v>410</v>
      </c>
      <c r="H79" s="27"/>
      <c r="I79" s="25" t="s">
        <v>1</v>
      </c>
      <c r="J79" s="26">
        <f>F79</f>
        <v>2243.9947525641383</v>
      </c>
      <c r="K79" s="26" t="s">
        <v>410</v>
      </c>
      <c r="L79" s="27"/>
      <c r="M79" s="358"/>
      <c r="N79" s="358"/>
    </row>
    <row r="80" spans="1:14">
      <c r="A80" s="25" t="s">
        <v>476</v>
      </c>
      <c r="B80" s="26"/>
      <c r="C80" s="26"/>
      <c r="D80" s="27"/>
      <c r="E80" s="25" t="s">
        <v>1</v>
      </c>
      <c r="F80" s="38">
        <f>I62</f>
        <v>8.9160092367623189</v>
      </c>
      <c r="G80" s="26"/>
      <c r="H80" s="27"/>
      <c r="I80" s="25" t="s">
        <v>1</v>
      </c>
      <c r="J80" s="38">
        <f>I56</f>
        <v>12.380738771982006</v>
      </c>
      <c r="K80" s="26"/>
      <c r="L80" s="27"/>
      <c r="M80" s="358"/>
      <c r="N80" s="358"/>
    </row>
    <row r="81" spans="1:14">
      <c r="A81" s="25" t="s">
        <v>480</v>
      </c>
      <c r="B81" s="26"/>
      <c r="C81" s="26"/>
      <c r="D81" s="27"/>
      <c r="E81" s="25" t="s">
        <v>1</v>
      </c>
      <c r="F81" s="38">
        <f>(-F80*F79 + SQRT(F80^2*F79^2 +2*F80*F79*(F78*1000)*(F77*1000)))/(F78*1000)</f>
        <v>242.72042029500329</v>
      </c>
      <c r="G81" s="26" t="s">
        <v>5</v>
      </c>
      <c r="H81" s="27"/>
      <c r="I81" s="25" t="s">
        <v>1</v>
      </c>
      <c r="J81" s="38">
        <f>(-J80*J79 + SQRT(J80^2*J79^2 +2*J80*J79*(J78*1000)*(J77*1000)))/(J78*1000)</f>
        <v>282.16153681651667</v>
      </c>
      <c r="K81" s="26" t="s">
        <v>5</v>
      </c>
      <c r="L81" s="27"/>
      <c r="M81" s="358"/>
      <c r="N81" s="358"/>
    </row>
    <row r="82" spans="1:14" ht="18.75">
      <c r="A82" s="25" t="s">
        <v>483</v>
      </c>
      <c r="B82" s="26" t="s">
        <v>485</v>
      </c>
      <c r="C82" s="26"/>
      <c r="D82" s="27"/>
      <c r="E82" s="25" t="s">
        <v>1</v>
      </c>
      <c r="F82" s="1686">
        <f>(F78*1000)*F81^3/3+F80*F79*(F77*1000-F81)^2</f>
        <v>48134831539.78476</v>
      </c>
      <c r="G82" s="1686"/>
      <c r="H82" s="27" t="s">
        <v>484</v>
      </c>
      <c r="I82" s="25" t="s">
        <v>1</v>
      </c>
      <c r="J82" s="1686">
        <f>(J78*1000)*J81^3/3+J80*J79*(J77*1000-J81)^2</f>
        <v>64525921719.424606</v>
      </c>
      <c r="K82" s="1686"/>
      <c r="L82" s="27" t="s">
        <v>484</v>
      </c>
      <c r="M82" s="358"/>
      <c r="N82" s="358"/>
    </row>
    <row r="83" spans="1:14">
      <c r="A83" s="25"/>
      <c r="B83" s="26"/>
      <c r="C83" s="26"/>
      <c r="D83" s="27"/>
      <c r="E83" s="25"/>
      <c r="F83" s="26"/>
      <c r="G83" s="26"/>
      <c r="H83" s="27"/>
      <c r="I83" s="25"/>
      <c r="J83" s="26"/>
      <c r="K83" s="26"/>
      <c r="L83" s="27"/>
      <c r="M83" s="358"/>
      <c r="N83" s="358"/>
    </row>
    <row r="84" spans="1:14" ht="18.75">
      <c r="A84" s="25" t="s">
        <v>486</v>
      </c>
      <c r="B84" s="26"/>
      <c r="C84" s="26"/>
      <c r="D84" s="27"/>
      <c r="E84" s="25" t="s">
        <v>1</v>
      </c>
      <c r="F84" s="38">
        <f>F75*10^7*F81/F82</f>
        <v>0.9888839669329188</v>
      </c>
      <c r="G84" s="26" t="s">
        <v>474</v>
      </c>
      <c r="H84" s="60"/>
      <c r="I84" s="25" t="s">
        <v>1</v>
      </c>
      <c r="J84" s="38">
        <f>J75*10^7*J81/J82</f>
        <v>0.37758434279250119</v>
      </c>
      <c r="K84" s="26" t="s">
        <v>474</v>
      </c>
      <c r="L84" s="60"/>
      <c r="M84" s="358"/>
      <c r="N84" s="358"/>
    </row>
    <row r="85" spans="1:14" ht="17.25">
      <c r="A85" s="25" t="s">
        <v>496</v>
      </c>
      <c r="B85" s="26"/>
      <c r="C85" s="26"/>
      <c r="D85" s="27"/>
      <c r="E85" s="25" t="s">
        <v>1</v>
      </c>
      <c r="F85" s="364">
        <f>GEN!I71</f>
        <v>16.8</v>
      </c>
      <c r="G85" s="26" t="s">
        <v>474</v>
      </c>
      <c r="H85" s="357" t="str">
        <f>IF(F85&lt;F84,"REVISE ","OK")</f>
        <v>OK</v>
      </c>
      <c r="I85" s="25" t="s">
        <v>1</v>
      </c>
      <c r="J85" s="364">
        <f>GEN!I72</f>
        <v>12.6</v>
      </c>
      <c r="K85" s="26" t="s">
        <v>474</v>
      </c>
      <c r="L85" s="357" t="str">
        <f>IF(J85&lt;J84,"REVISE ","OK")</f>
        <v>OK</v>
      </c>
      <c r="M85" s="358"/>
      <c r="N85" s="358"/>
    </row>
    <row r="86" spans="1:14">
      <c r="A86" s="25"/>
      <c r="B86" s="26"/>
      <c r="C86" s="26"/>
      <c r="D86" s="27"/>
      <c r="E86" s="25"/>
      <c r="F86" s="26"/>
      <c r="G86" s="26"/>
      <c r="H86" s="60"/>
      <c r="I86" s="25"/>
      <c r="J86" s="38"/>
      <c r="K86" s="26"/>
      <c r="L86" s="60"/>
      <c r="M86" s="358"/>
      <c r="N86" s="358"/>
    </row>
    <row r="87" spans="1:14" ht="18.75">
      <c r="A87" s="25" t="s">
        <v>490</v>
      </c>
      <c r="B87" s="26"/>
      <c r="C87" s="26"/>
      <c r="D87" s="27"/>
      <c r="E87" s="25" t="s">
        <v>1</v>
      </c>
      <c r="F87" s="38">
        <f>F80*F75*10^7*(F77*1000-F81)/F82</f>
        <v>53.481036843486962</v>
      </c>
      <c r="G87" s="26" t="s">
        <v>474</v>
      </c>
      <c r="H87" s="60"/>
      <c r="I87" s="25" t="s">
        <v>1</v>
      </c>
      <c r="J87" s="38">
        <f>J80*J75*10^7*(J77*1000-J81)/J82</f>
        <v>23.738865324539436</v>
      </c>
      <c r="K87" s="26" t="s">
        <v>474</v>
      </c>
      <c r="L87" s="60"/>
      <c r="M87" s="358"/>
      <c r="N87" s="358"/>
    </row>
    <row r="88" spans="1:14" ht="17.25">
      <c r="A88" s="25" t="s">
        <v>497</v>
      </c>
      <c r="B88" s="26"/>
      <c r="C88" s="26"/>
      <c r="D88" s="27"/>
      <c r="E88" s="25" t="s">
        <v>1</v>
      </c>
      <c r="F88" s="364">
        <f>GEN!G74</f>
        <v>300</v>
      </c>
      <c r="G88" s="26" t="s">
        <v>474</v>
      </c>
      <c r="H88" s="357" t="str">
        <f>IF(F88&lt;F87,"REVISE ","OK")</f>
        <v>OK</v>
      </c>
      <c r="I88" s="25" t="s">
        <v>1</v>
      </c>
      <c r="J88" s="364">
        <f>GEN!G74</f>
        <v>300</v>
      </c>
      <c r="K88" s="26" t="s">
        <v>474</v>
      </c>
      <c r="L88" s="357" t="str">
        <f>IF(J88&lt;J87,"REVISE ","OK")</f>
        <v>OK</v>
      </c>
      <c r="M88" s="358"/>
      <c r="N88" s="358"/>
    </row>
    <row r="89" spans="1:14">
      <c r="A89" s="28"/>
      <c r="B89" s="15"/>
      <c r="C89" s="15"/>
      <c r="D89" s="22"/>
      <c r="E89" s="28"/>
      <c r="F89" s="15"/>
      <c r="G89" s="15"/>
      <c r="H89" s="22"/>
      <c r="I89" s="28"/>
      <c r="J89" s="15"/>
      <c r="K89" s="15"/>
      <c r="L89" s="22"/>
      <c r="M89" s="358"/>
      <c r="N89" s="358"/>
    </row>
    <row r="90" spans="1:14">
      <c r="M90" s="358"/>
      <c r="N90" s="358"/>
    </row>
    <row r="92" spans="1:14">
      <c r="A92" s="116"/>
      <c r="B92" s="116"/>
      <c r="C92" s="116"/>
      <c r="D92" s="116"/>
      <c r="E92" s="116"/>
      <c r="F92" s="116"/>
      <c r="G92" s="116"/>
      <c r="H92" s="116"/>
      <c r="I92" s="116"/>
      <c r="J92" s="116"/>
      <c r="K92" s="116"/>
      <c r="L92" s="116"/>
      <c r="M92" s="116"/>
    </row>
    <row r="93" spans="1:14">
      <c r="A93" s="369" t="s">
        <v>502</v>
      </c>
      <c r="B93" s="116"/>
      <c r="C93" s="116"/>
      <c r="D93" s="116"/>
      <c r="E93" s="116"/>
      <c r="F93" s="116"/>
      <c r="G93" s="116"/>
      <c r="H93" s="116"/>
      <c r="I93" s="116"/>
      <c r="J93" s="116"/>
      <c r="K93" s="116"/>
      <c r="L93" s="116"/>
      <c r="M93" s="116"/>
    </row>
    <row r="94" spans="1:14">
      <c r="A94" s="1090" t="s">
        <v>505</v>
      </c>
      <c r="L94" s="116"/>
      <c r="M94" s="116"/>
    </row>
    <row r="95" spans="1:14" ht="18">
      <c r="A95" s="7" t="s">
        <v>519</v>
      </c>
      <c r="C95" s="1" t="s">
        <v>1</v>
      </c>
      <c r="E95" s="1" t="s">
        <v>507</v>
      </c>
      <c r="H95" s="57" t="s">
        <v>508</v>
      </c>
      <c r="L95" s="116"/>
      <c r="M95" s="116"/>
    </row>
    <row r="96" spans="1:14">
      <c r="A96" s="7" t="s">
        <v>509</v>
      </c>
      <c r="L96" s="116"/>
      <c r="M96" s="116"/>
    </row>
    <row r="97" spans="1:15">
      <c r="A97" s="7" t="s">
        <v>510</v>
      </c>
      <c r="C97" s="1" t="s">
        <v>1</v>
      </c>
      <c r="D97" s="4">
        <v>0.4</v>
      </c>
      <c r="E97" s="1" t="s">
        <v>511</v>
      </c>
      <c r="L97" s="116"/>
      <c r="M97" s="116"/>
    </row>
    <row r="98" spans="1:15">
      <c r="A98" s="7"/>
      <c r="L98" s="116"/>
      <c r="M98" s="116"/>
    </row>
    <row r="99" spans="1:15">
      <c r="A99" s="7" t="s">
        <v>169</v>
      </c>
      <c r="C99" s="1" t="s">
        <v>1</v>
      </c>
      <c r="D99" s="1">
        <f>C5</f>
        <v>1.8</v>
      </c>
      <c r="E99" s="1" t="s">
        <v>2</v>
      </c>
      <c r="F99" s="1" t="s">
        <v>117</v>
      </c>
      <c r="G99" s="1" t="s">
        <v>435</v>
      </c>
      <c r="H99" s="1" t="s">
        <v>1</v>
      </c>
      <c r="I99" s="4">
        <v>1</v>
      </c>
      <c r="J99" s="1" t="s">
        <v>2</v>
      </c>
      <c r="L99" s="116"/>
      <c r="M99" s="116"/>
    </row>
    <row r="100" spans="1:15">
      <c r="A100" s="7" t="s">
        <v>424</v>
      </c>
      <c r="C100" s="1" t="s">
        <v>1</v>
      </c>
      <c r="D100" s="4">
        <f>data_polation(D99,N101:O104,2)</f>
        <v>0.65</v>
      </c>
      <c r="L100" s="116"/>
      <c r="M100" s="116"/>
      <c r="N100" s="158" t="s">
        <v>169</v>
      </c>
      <c r="O100" s="158" t="s">
        <v>424</v>
      </c>
    </row>
    <row r="101" spans="1:15">
      <c r="A101" s="7"/>
      <c r="L101" s="116"/>
      <c r="M101" s="116"/>
      <c r="N101" s="1022">
        <v>0</v>
      </c>
      <c r="O101" s="1022">
        <v>1</v>
      </c>
    </row>
    <row r="102" spans="1:15" ht="18">
      <c r="A102" s="7" t="s">
        <v>512</v>
      </c>
      <c r="C102" s="1" t="s">
        <v>1</v>
      </c>
      <c r="D102" s="1" t="s">
        <v>352</v>
      </c>
      <c r="L102" s="116"/>
      <c r="M102" s="116"/>
      <c r="N102" s="1022">
        <v>0.3</v>
      </c>
      <c r="O102" s="1022">
        <v>1</v>
      </c>
    </row>
    <row r="103" spans="1:15">
      <c r="A103" s="7"/>
      <c r="C103" s="1" t="s">
        <v>1</v>
      </c>
      <c r="D103" s="173">
        <f>GEN!H24</f>
        <v>2.7712675746635549</v>
      </c>
      <c r="E103" s="1" t="s">
        <v>293</v>
      </c>
      <c r="L103" s="116"/>
      <c r="M103" s="116"/>
      <c r="N103" s="1022">
        <v>0.8</v>
      </c>
      <c r="O103" s="1022">
        <v>0.65</v>
      </c>
    </row>
    <row r="104" spans="1:15">
      <c r="A104" s="7"/>
      <c r="L104" s="116"/>
      <c r="M104" s="116"/>
      <c r="N104" s="1022">
        <v>3</v>
      </c>
      <c r="O104" s="1022">
        <v>0.65</v>
      </c>
    </row>
    <row r="105" spans="1:15">
      <c r="A105" s="7" t="s">
        <v>513</v>
      </c>
      <c r="C105" s="1" t="s">
        <v>1</v>
      </c>
      <c r="D105" s="1672" t="s">
        <v>559</v>
      </c>
      <c r="E105" s="1672"/>
      <c r="F105" s="1672"/>
      <c r="G105" s="1672"/>
      <c r="H105" s="1672"/>
      <c r="I105" s="1672"/>
      <c r="J105" s="1672"/>
      <c r="K105" s="1672"/>
      <c r="L105" s="1672"/>
      <c r="M105" s="116"/>
    </row>
    <row r="106" spans="1:15">
      <c r="A106" s="7"/>
      <c r="D106" s="1672"/>
      <c r="E106" s="1672"/>
      <c r="F106" s="1672"/>
      <c r="G106" s="1672"/>
      <c r="H106" s="1672"/>
      <c r="I106" s="1672"/>
      <c r="J106" s="1672"/>
      <c r="K106" s="1672"/>
      <c r="L106" s="1672"/>
      <c r="M106" s="116"/>
    </row>
    <row r="107" spans="1:15">
      <c r="A107" s="7"/>
      <c r="D107" s="1672"/>
      <c r="E107" s="1672"/>
      <c r="F107" s="1672"/>
      <c r="G107" s="1672"/>
      <c r="H107" s="1672"/>
      <c r="I107" s="1672"/>
      <c r="J107" s="1672"/>
      <c r="K107" s="1672"/>
      <c r="L107" s="1672"/>
      <c r="M107" s="116"/>
    </row>
    <row r="108" spans="1:15">
      <c r="A108" s="7" t="s">
        <v>513</v>
      </c>
      <c r="C108" s="1" t="s">
        <v>1</v>
      </c>
      <c r="D108" s="1" t="s">
        <v>518</v>
      </c>
      <c r="L108" s="116"/>
      <c r="M108" s="116"/>
    </row>
    <row r="109" spans="1:15" ht="17.25">
      <c r="A109" s="7"/>
      <c r="C109" s="1" t="s">
        <v>1</v>
      </c>
      <c r="D109" s="1">
        <f>I99*D99/2</f>
        <v>0.9</v>
      </c>
      <c r="E109" s="1" t="s">
        <v>458</v>
      </c>
      <c r="M109" s="116"/>
    </row>
    <row r="110" spans="1:15">
      <c r="A110" s="7"/>
      <c r="M110" s="116"/>
    </row>
    <row r="111" spans="1:15" ht="18">
      <c r="A111" s="7" t="s">
        <v>514</v>
      </c>
      <c r="C111" s="1" t="s">
        <v>1</v>
      </c>
      <c r="D111" s="1" t="s">
        <v>517</v>
      </c>
      <c r="L111" s="116"/>
      <c r="M111" s="116"/>
    </row>
    <row r="112" spans="1:15">
      <c r="A112" s="7"/>
      <c r="C112" s="1" t="s">
        <v>1</v>
      </c>
      <c r="D112" s="1" t="s">
        <v>295</v>
      </c>
      <c r="L112" s="116"/>
      <c r="M112" s="116"/>
    </row>
    <row r="113" spans="1:13">
      <c r="A113" s="270"/>
      <c r="B113" s="116"/>
      <c r="C113" s="1" t="s">
        <v>1</v>
      </c>
      <c r="D113" s="363">
        <f>E17</f>
        <v>500</v>
      </c>
      <c r="E113" s="1" t="s">
        <v>293</v>
      </c>
      <c r="F113" s="116"/>
      <c r="G113" s="116"/>
      <c r="H113" s="116"/>
      <c r="I113" s="116"/>
      <c r="J113" s="116"/>
      <c r="K113" s="116"/>
      <c r="L113" s="116"/>
      <c r="M113" s="116"/>
    </row>
    <row r="114" spans="1:13">
      <c r="A114" s="270"/>
      <c r="B114" s="116"/>
      <c r="C114" s="116"/>
      <c r="D114" s="116"/>
      <c r="E114" s="116"/>
      <c r="F114" s="116"/>
      <c r="G114" s="116"/>
      <c r="H114" s="116"/>
      <c r="I114" s="116"/>
      <c r="J114" s="116"/>
      <c r="K114" s="116"/>
      <c r="L114" s="116"/>
      <c r="M114" s="116"/>
    </row>
    <row r="115" spans="1:13" ht="18.75">
      <c r="A115" s="7" t="s">
        <v>506</v>
      </c>
      <c r="B115" s="116"/>
      <c r="C115" s="116" t="s">
        <v>1</v>
      </c>
      <c r="D115" s="1">
        <f>D97*D100*D103*(D109*10^6)/D113</f>
        <v>1296.9532249425438</v>
      </c>
      <c r="E115" s="116" t="s">
        <v>410</v>
      </c>
      <c r="F115" s="528" t="str">
        <f>IF(G115&lt;D115,"&gt;","&lt;")</f>
        <v>&lt;</v>
      </c>
      <c r="G115" s="116">
        <f>E12</f>
        <v>2243.9947525641383</v>
      </c>
      <c r="H115" s="116" t="s">
        <v>410</v>
      </c>
      <c r="I115" s="333" t="str">
        <f>IF(G115&lt;D115,"REVISE","OK")</f>
        <v>OK</v>
      </c>
      <c r="J115" s="333"/>
      <c r="K115" s="116"/>
      <c r="L115" s="116"/>
      <c r="M115" s="116"/>
    </row>
    <row r="116" spans="1:13">
      <c r="A116" s="7"/>
    </row>
    <row r="117" spans="1:13">
      <c r="A117" s="1091" t="s">
        <v>520</v>
      </c>
      <c r="F117" s="57" t="s">
        <v>521</v>
      </c>
      <c r="I117" s="116"/>
      <c r="J117" s="116"/>
      <c r="K117" s="116"/>
      <c r="L117" s="116"/>
      <c r="M117" s="116"/>
    </row>
    <row r="118" spans="1:13" ht="18">
      <c r="A118" s="7" t="s">
        <v>522</v>
      </c>
      <c r="C118" s="1" t="s">
        <v>1</v>
      </c>
      <c r="D118" s="63">
        <f>GEN!G75</f>
        <v>0.3</v>
      </c>
      <c r="E118" s="1" t="s">
        <v>5</v>
      </c>
      <c r="L118" s="116"/>
      <c r="M118" s="116"/>
    </row>
    <row r="119" spans="1:13">
      <c r="A119" s="7"/>
      <c r="L119" s="116"/>
      <c r="M119" s="116"/>
    </row>
    <row r="120" spans="1:13">
      <c r="A120" s="7" t="s">
        <v>527</v>
      </c>
      <c r="C120" s="26" t="s">
        <v>1</v>
      </c>
      <c r="D120" s="422">
        <f>E8</f>
        <v>75</v>
      </c>
      <c r="E120" s="26" t="s">
        <v>5</v>
      </c>
      <c r="M120" s="116"/>
    </row>
    <row r="121" spans="1:13" ht="18">
      <c r="A121" s="7" t="s">
        <v>528</v>
      </c>
      <c r="B121" s="323" t="s">
        <v>550</v>
      </c>
      <c r="C121" s="26" t="s">
        <v>1</v>
      </c>
      <c r="D121" s="367">
        <f>IF(I11="ALTERNATE",(E10^2/G10+E11^2/G11)/(E10/G10+E11/G11),E10)</f>
        <v>20</v>
      </c>
      <c r="E121" s="26" t="s">
        <v>5</v>
      </c>
      <c r="M121" s="116"/>
    </row>
    <row r="122" spans="1:13" ht="18">
      <c r="A122" s="7" t="s">
        <v>551</v>
      </c>
      <c r="C122" s="1" t="s">
        <v>1</v>
      </c>
      <c r="D122" s="1">
        <f>5*(D120+D121/2)</f>
        <v>425</v>
      </c>
      <c r="E122" s="1" t="s">
        <v>5</v>
      </c>
    </row>
    <row r="123" spans="1:13">
      <c r="A123" s="7"/>
    </row>
    <row r="124" spans="1:13">
      <c r="A124" s="7" t="s">
        <v>529</v>
      </c>
      <c r="C124" s="1" t="s">
        <v>1</v>
      </c>
      <c r="D124" s="1">
        <f>IF(I11="ALTERNATE",G10/2,G10)</f>
        <v>140</v>
      </c>
      <c r="E124" s="1" t="s">
        <v>5</v>
      </c>
      <c r="F124" s="528" t="str">
        <f>IF(D124&lt;G124,"&lt;","&gt;")</f>
        <v>&lt;</v>
      </c>
      <c r="G124" s="1">
        <f>D122</f>
        <v>425</v>
      </c>
      <c r="H124" s="1" t="s">
        <v>5</v>
      </c>
      <c r="I124" s="1670" t="str">
        <f>IF(D124&lt;G124,"The Following formula can be used for calculation of maximum crack spacing.","Check bar spacing")</f>
        <v>The Following formula can be used for calculation of maximum crack spacing.</v>
      </c>
      <c r="J124" s="1670"/>
      <c r="K124" s="1670"/>
      <c r="L124" s="1670"/>
    </row>
    <row r="125" spans="1:13">
      <c r="A125" s="7"/>
      <c r="I125" s="1670"/>
      <c r="J125" s="1670"/>
      <c r="K125" s="1670"/>
      <c r="L125" s="1670"/>
      <c r="M125" s="116"/>
    </row>
    <row r="126" spans="1:13" ht="18">
      <c r="A126" s="7" t="s">
        <v>525</v>
      </c>
      <c r="C126" s="1" t="s">
        <v>1</v>
      </c>
      <c r="D126" s="1" t="s">
        <v>526</v>
      </c>
      <c r="I126" s="1670"/>
      <c r="J126" s="1670"/>
      <c r="K126" s="1670"/>
      <c r="L126" s="1670"/>
      <c r="M126" s="116"/>
    </row>
    <row r="127" spans="1:13" ht="18">
      <c r="A127" s="7"/>
      <c r="C127" s="1" t="s">
        <v>1</v>
      </c>
      <c r="D127" s="1671" t="s">
        <v>558</v>
      </c>
      <c r="E127" s="1671"/>
      <c r="F127" s="1671"/>
      <c r="M127" s="116"/>
    </row>
    <row r="128" spans="1:13">
      <c r="A128" s="7"/>
      <c r="C128" s="1" t="s">
        <v>1</v>
      </c>
      <c r="D128" s="1">
        <f>3.4*D120+0.17*D121/D141</f>
        <v>576.97044987490403</v>
      </c>
      <c r="E128" s="1" t="s">
        <v>5</v>
      </c>
    </row>
    <row r="129" spans="1:13">
      <c r="A129" s="7"/>
    </row>
    <row r="130" spans="1:13" ht="18">
      <c r="A130" s="11" t="s">
        <v>552</v>
      </c>
      <c r="B130" s="26"/>
      <c r="C130" s="26" t="s">
        <v>1</v>
      </c>
      <c r="D130" s="26" t="s">
        <v>425</v>
      </c>
      <c r="E130" s="26" t="s">
        <v>532</v>
      </c>
      <c r="G130" s="23" t="s">
        <v>169</v>
      </c>
      <c r="H130" s="24" t="s">
        <v>1</v>
      </c>
      <c r="I130" s="24">
        <f>D99</f>
        <v>1.8</v>
      </c>
      <c r="J130" s="24" t="s">
        <v>2</v>
      </c>
      <c r="K130" s="24"/>
      <c r="L130" s="1121"/>
      <c r="M130" s="1122"/>
    </row>
    <row r="131" spans="1:13">
      <c r="A131" s="11"/>
      <c r="B131" s="26"/>
      <c r="C131" s="26"/>
      <c r="D131" s="26"/>
      <c r="E131" s="26" t="s">
        <v>533</v>
      </c>
      <c r="G131" s="25" t="s">
        <v>61</v>
      </c>
      <c r="H131" s="26" t="s">
        <v>1</v>
      </c>
      <c r="I131" s="26">
        <f>C6</f>
        <v>1.7150000000000001</v>
      </c>
      <c r="J131" s="26" t="s">
        <v>2</v>
      </c>
      <c r="K131" s="26"/>
      <c r="L131" s="365"/>
      <c r="M131" s="1123"/>
    </row>
    <row r="132" spans="1:13">
      <c r="A132" s="7"/>
      <c r="E132" s="1" t="s">
        <v>534</v>
      </c>
      <c r="G132" s="25" t="s">
        <v>30</v>
      </c>
      <c r="H132" s="26" t="s">
        <v>1</v>
      </c>
      <c r="I132" s="26">
        <f>J81/1000</f>
        <v>0.28216153681651668</v>
      </c>
      <c r="J132" s="26" t="s">
        <v>2</v>
      </c>
      <c r="K132" s="1666" t="s">
        <v>553</v>
      </c>
      <c r="L132" s="1666"/>
      <c r="M132" s="1667"/>
    </row>
    <row r="133" spans="1:13">
      <c r="A133" s="7"/>
      <c r="C133" s="1" t="s">
        <v>1</v>
      </c>
      <c r="D133" s="1">
        <f>MIN(2.5*(I130-I131),(I130-I132/3),I130/2)</f>
        <v>0.21249999999999991</v>
      </c>
      <c r="E133" s="1" t="s">
        <v>2</v>
      </c>
      <c r="G133" s="28"/>
      <c r="H133" s="15"/>
      <c r="I133" s="15"/>
      <c r="J133" s="15"/>
      <c r="K133" s="1668"/>
      <c r="L133" s="1668"/>
      <c r="M133" s="1669"/>
    </row>
    <row r="134" spans="1:13">
      <c r="A134" s="7"/>
    </row>
    <row r="135" spans="1:13">
      <c r="A135" s="7" t="s">
        <v>482</v>
      </c>
      <c r="C135" s="1" t="s">
        <v>1</v>
      </c>
      <c r="D135" s="1">
        <f>I99</f>
        <v>1</v>
      </c>
      <c r="E135" s="1" t="s">
        <v>2</v>
      </c>
    </row>
    <row r="136" spans="1:13">
      <c r="A136" s="7"/>
    </row>
    <row r="137" spans="1:13" ht="18.75">
      <c r="A137" s="11" t="s">
        <v>554</v>
      </c>
      <c r="C137" s="1" t="s">
        <v>1</v>
      </c>
      <c r="D137" s="26" t="s">
        <v>555</v>
      </c>
      <c r="E137" s="1" t="s">
        <v>1</v>
      </c>
      <c r="F137" s="1">
        <f>D133*D135</f>
        <v>0.21249999999999991</v>
      </c>
      <c r="G137" s="1" t="s">
        <v>458</v>
      </c>
    </row>
    <row r="138" spans="1:13">
      <c r="A138" s="7"/>
      <c r="L138" s="116"/>
      <c r="M138" s="116"/>
    </row>
    <row r="139" spans="1:13" ht="18">
      <c r="A139" s="293" t="s">
        <v>530</v>
      </c>
      <c r="B139" s="365"/>
      <c r="C139" s="26" t="s">
        <v>1</v>
      </c>
      <c r="D139" s="26" t="s">
        <v>531</v>
      </c>
      <c r="E139" s="26"/>
      <c r="L139" s="116"/>
      <c r="M139" s="116"/>
    </row>
    <row r="140" spans="1:13">
      <c r="A140" s="11"/>
      <c r="B140" s="26"/>
      <c r="C140" s="26" t="s">
        <v>1</v>
      </c>
      <c r="D140" s="26">
        <f>E12</f>
        <v>2243.9947525641383</v>
      </c>
      <c r="E140" s="368" t="s">
        <v>556</v>
      </c>
      <c r="F140" s="1">
        <f>F137*10^6</f>
        <v>212499.99999999991</v>
      </c>
      <c r="L140" s="116"/>
      <c r="M140" s="116"/>
    </row>
    <row r="141" spans="1:13">
      <c r="A141" s="7"/>
      <c r="C141" s="1" t="s">
        <v>1</v>
      </c>
      <c r="D141" s="1">
        <f>D140/F140</f>
        <v>1.0559975306184185E-2</v>
      </c>
      <c r="L141" s="116"/>
      <c r="M141" s="116"/>
    </row>
    <row r="142" spans="1:13">
      <c r="A142" s="7"/>
      <c r="L142" s="116"/>
      <c r="M142" s="116"/>
    </row>
    <row r="143" spans="1:13" ht="18">
      <c r="A143" s="7" t="s">
        <v>538</v>
      </c>
      <c r="C143" s="1" t="s">
        <v>1</v>
      </c>
      <c r="D143" s="1" t="s">
        <v>539</v>
      </c>
      <c r="L143" s="116"/>
      <c r="M143" s="116"/>
    </row>
    <row r="144" spans="1:13">
      <c r="A144" s="7"/>
      <c r="C144" s="1" t="s">
        <v>1</v>
      </c>
      <c r="D144" s="150">
        <f>J87</f>
        <v>23.738865324539436</v>
      </c>
      <c r="E144" s="1" t="s">
        <v>293</v>
      </c>
      <c r="F144" s="1" t="s">
        <v>553</v>
      </c>
    </row>
    <row r="145" spans="1:8">
      <c r="A145" s="7"/>
    </row>
    <row r="146" spans="1:8">
      <c r="A146" s="7" t="s">
        <v>294</v>
      </c>
      <c r="C146" s="1" t="s">
        <v>1</v>
      </c>
      <c r="D146" s="63">
        <f>GEN!H30</f>
        <v>200000</v>
      </c>
      <c r="E146" s="1" t="s">
        <v>293</v>
      </c>
    </row>
    <row r="147" spans="1:8">
      <c r="A147" s="7" t="s">
        <v>454</v>
      </c>
      <c r="C147" s="1" t="s">
        <v>1</v>
      </c>
      <c r="D147" s="63">
        <f>GEN!G46</f>
        <v>16154.124861482916</v>
      </c>
      <c r="E147" s="1" t="s">
        <v>293</v>
      </c>
      <c r="F147" s="1" t="s">
        <v>557</v>
      </c>
    </row>
    <row r="148" spans="1:8" ht="18">
      <c r="A148" s="7" t="s">
        <v>540</v>
      </c>
      <c r="C148" s="1" t="s">
        <v>1</v>
      </c>
      <c r="D148" s="1" t="s">
        <v>541</v>
      </c>
    </row>
    <row r="149" spans="1:8" ht="18">
      <c r="A149" s="7" t="s">
        <v>540</v>
      </c>
      <c r="C149" s="1" t="s">
        <v>1</v>
      </c>
      <c r="D149" s="1">
        <f>D146/D147</f>
        <v>12.380738771982006</v>
      </c>
    </row>
    <row r="150" spans="1:8">
      <c r="A150" s="7"/>
    </row>
    <row r="151" spans="1:8">
      <c r="A151" s="7" t="s">
        <v>542</v>
      </c>
      <c r="C151" s="1" t="s">
        <v>1</v>
      </c>
      <c r="D151" s="366">
        <v>0.5</v>
      </c>
      <c r="F151" s="1" t="s">
        <v>543</v>
      </c>
    </row>
    <row r="152" spans="1:8">
      <c r="A152" s="7"/>
    </row>
    <row r="153" spans="1:8">
      <c r="A153" s="7"/>
    </row>
    <row r="154" spans="1:8" ht="18">
      <c r="A154" s="7" t="s">
        <v>535</v>
      </c>
      <c r="C154" s="1" t="s">
        <v>1</v>
      </c>
      <c r="D154" s="171" t="s">
        <v>420</v>
      </c>
      <c r="E154" s="1673" t="s">
        <v>536</v>
      </c>
      <c r="F154" s="1673"/>
      <c r="G154" s="1673"/>
      <c r="H154" s="1673"/>
    </row>
    <row r="155" spans="1:8">
      <c r="A155" s="7"/>
      <c r="D155" s="171"/>
      <c r="E155" s="171"/>
      <c r="F155" s="171" t="s">
        <v>294</v>
      </c>
      <c r="G155" s="171"/>
      <c r="H155" s="171"/>
    </row>
    <row r="156" spans="1:8" ht="18">
      <c r="A156" s="7"/>
      <c r="D156" s="171"/>
      <c r="E156" s="171" t="s">
        <v>537</v>
      </c>
      <c r="F156" s="171"/>
      <c r="G156" s="171"/>
      <c r="H156" s="171"/>
    </row>
    <row r="157" spans="1:8">
      <c r="A157" s="7"/>
      <c r="D157" s="171"/>
      <c r="E157" s="171"/>
      <c r="F157" s="171"/>
      <c r="G157" s="171"/>
      <c r="H157" s="171"/>
    </row>
    <row r="158" spans="1:8">
      <c r="A158" s="7"/>
      <c r="C158" s="1" t="s">
        <v>1</v>
      </c>
      <c r="D158" s="87">
        <f>MAX((D144-D151*D103*(1+D149*D141)/D141)/D146,0.6*D144/D146)</f>
        <v>7.1216595973618306E-5</v>
      </c>
    </row>
    <row r="159" spans="1:8">
      <c r="A159" s="7"/>
    </row>
    <row r="160" spans="1:8" ht="18">
      <c r="A160" s="7" t="s">
        <v>523</v>
      </c>
      <c r="C160" s="1" t="s">
        <v>1</v>
      </c>
      <c r="D160" s="1" t="s">
        <v>524</v>
      </c>
    </row>
    <row r="161" spans="1:16">
      <c r="A161" s="7"/>
      <c r="C161" s="1" t="s">
        <v>1</v>
      </c>
      <c r="D161" s="150">
        <f>D128*D158</f>
        <v>4.1089871417457832E-2</v>
      </c>
      <c r="E161" s="1" t="s">
        <v>5</v>
      </c>
      <c r="F161" s="528" t="str">
        <f>IF(G161&lt;D161,"&gt;","&lt;")</f>
        <v>&lt;</v>
      </c>
      <c r="G161" s="1">
        <f>D118</f>
        <v>0.3</v>
      </c>
      <c r="H161" s="1" t="s">
        <v>5</v>
      </c>
      <c r="I161" s="333" t="str">
        <f>IF(G161&lt;D161,"REVISE","OK")</f>
        <v>OK</v>
      </c>
      <c r="J161" s="333"/>
    </row>
    <row r="162" spans="1:16">
      <c r="A162" s="7"/>
    </row>
    <row r="163" spans="1:16">
      <c r="A163" s="7"/>
    </row>
    <row r="164" spans="1:16">
      <c r="A164" s="9" t="s">
        <v>504</v>
      </c>
      <c r="F164" s="4" t="s">
        <v>437</v>
      </c>
      <c r="G164" s="4"/>
      <c r="H164" s="4"/>
      <c r="I164" s="4"/>
      <c r="J164" s="171"/>
    </row>
    <row r="165" spans="1:16" ht="18">
      <c r="A165" s="1" t="s">
        <v>436</v>
      </c>
      <c r="D165" s="1" t="s">
        <v>433</v>
      </c>
      <c r="E165" s="1" t="s">
        <v>1</v>
      </c>
      <c r="F165" s="150">
        <f>U_DF_PC!Q154</f>
        <v>0</v>
      </c>
      <c r="G165" s="1" t="s">
        <v>48</v>
      </c>
      <c r="P165" s="150"/>
    </row>
    <row r="167" spans="1:16" ht="18">
      <c r="A167" s="1" t="s">
        <v>587</v>
      </c>
    </row>
    <row r="168" spans="1:16" ht="18">
      <c r="A168" s="1" t="s">
        <v>585</v>
      </c>
      <c r="D168" s="1" t="s">
        <v>1</v>
      </c>
      <c r="E168" s="1">
        <f>C6</f>
        <v>1.7150000000000001</v>
      </c>
      <c r="F168" s="1" t="s">
        <v>2</v>
      </c>
    </row>
    <row r="170" spans="1:16">
      <c r="A170" s="171" t="s">
        <v>586</v>
      </c>
      <c r="B170" s="171"/>
      <c r="C170" s="171"/>
      <c r="D170" s="1" t="s">
        <v>1</v>
      </c>
      <c r="E170" s="6">
        <v>1</v>
      </c>
      <c r="F170" s="4" t="s">
        <v>1825</v>
      </c>
      <c r="G170" s="4"/>
      <c r="H170" s="4"/>
      <c r="I170" s="4"/>
      <c r="J170" s="4"/>
      <c r="K170" s="4"/>
    </row>
    <row r="172" spans="1:16">
      <c r="E172" s="528"/>
    </row>
    <row r="173" spans="1:16" ht="18">
      <c r="A173" s="403" t="s">
        <v>588</v>
      </c>
      <c r="B173" s="171"/>
      <c r="C173" s="171"/>
      <c r="D173" s="403" t="s">
        <v>1</v>
      </c>
      <c r="E173" s="403" t="s">
        <v>589</v>
      </c>
      <c r="F173" s="62"/>
    </row>
    <row r="174" spans="1:16">
      <c r="D174" s="1" t="s">
        <v>1</v>
      </c>
      <c r="E174" s="346">
        <f>E170*F165</f>
        <v>0</v>
      </c>
      <c r="F174" s="1" t="s">
        <v>34</v>
      </c>
    </row>
    <row r="176" spans="1:16">
      <c r="A176" s="62" t="s">
        <v>582</v>
      </c>
    </row>
    <row r="177" spans="1:11">
      <c r="A177" s="323" t="s">
        <v>576</v>
      </c>
      <c r="C177" s="171" t="s">
        <v>1</v>
      </c>
      <c r="D177" s="171" t="s">
        <v>581</v>
      </c>
      <c r="E177" s="171"/>
      <c r="F177" s="171"/>
      <c r="G177" s="171" t="s">
        <v>591</v>
      </c>
      <c r="H177" s="171"/>
    </row>
    <row r="178" spans="1:11">
      <c r="C178" s="1" t="s">
        <v>1</v>
      </c>
      <c r="D178" s="1">
        <f>0.6*(1-E16/310)</f>
        <v>0.532258064516129</v>
      </c>
    </row>
    <row r="180" spans="1:11">
      <c r="A180" s="1" t="s">
        <v>331</v>
      </c>
      <c r="C180" s="171" t="s">
        <v>1</v>
      </c>
      <c r="D180" s="345">
        <f>Mprop!D43</f>
        <v>0.44666666666666671</v>
      </c>
      <c r="E180" s="171" t="s">
        <v>345</v>
      </c>
    </row>
    <row r="181" spans="1:11">
      <c r="C181" s="1" t="s">
        <v>1</v>
      </c>
      <c r="D181" s="150">
        <f>D180*E16</f>
        <v>15.633333333333335</v>
      </c>
      <c r="E181" s="1" t="s">
        <v>293</v>
      </c>
    </row>
    <row r="183" spans="1:11" ht="18">
      <c r="A183" s="1" t="s">
        <v>583</v>
      </c>
      <c r="C183" s="171" t="s">
        <v>1</v>
      </c>
      <c r="D183" s="171" t="s">
        <v>580</v>
      </c>
      <c r="E183" s="171"/>
    </row>
    <row r="184" spans="1:11">
      <c r="C184" s="1" t="s">
        <v>1</v>
      </c>
      <c r="D184" s="1">
        <f>0.5*1000*(C187*1000)*D178*D181/10^4</f>
        <v>713.52298387096778</v>
      </c>
      <c r="E184" s="1" t="s">
        <v>34</v>
      </c>
      <c r="F184" s="528" t="str">
        <f>IF(D184&lt;G184,"&lt;","&gt;")</f>
        <v>&gt;</v>
      </c>
      <c r="G184" s="150">
        <f>E174</f>
        <v>0</v>
      </c>
      <c r="H184" s="1" t="s">
        <v>34</v>
      </c>
      <c r="I184" s="333" t="str">
        <f>IF(D184&lt;G184,"REVISE SECTION","OK")</f>
        <v>OK</v>
      </c>
      <c r="J184" s="333"/>
      <c r="K184" s="334"/>
    </row>
    <row r="185" spans="1:11">
      <c r="F185" s="528"/>
      <c r="G185" s="150"/>
    </row>
    <row r="186" spans="1:11">
      <c r="A186" s="1" t="s">
        <v>133</v>
      </c>
      <c r="B186" s="1" t="s">
        <v>1</v>
      </c>
      <c r="C186" s="14">
        <f>C5</f>
        <v>1.8</v>
      </c>
      <c r="D186" s="1" t="s">
        <v>2</v>
      </c>
      <c r="E186" s="1" t="s">
        <v>290</v>
      </c>
    </row>
    <row r="187" spans="1:11">
      <c r="A187" s="1" t="s">
        <v>61</v>
      </c>
      <c r="B187" s="1" t="s">
        <v>1</v>
      </c>
      <c r="C187" s="14">
        <f>C6</f>
        <v>1.7150000000000001</v>
      </c>
      <c r="D187" s="1" t="s">
        <v>2</v>
      </c>
      <c r="E187" s="1" t="s">
        <v>288</v>
      </c>
    </row>
    <row r="189" spans="1:11">
      <c r="A189" s="9" t="s">
        <v>590</v>
      </c>
    </row>
    <row r="190" spans="1:11">
      <c r="A190" s="171" t="s">
        <v>424</v>
      </c>
      <c r="B190" s="171" t="s">
        <v>1</v>
      </c>
      <c r="C190" s="171" t="s">
        <v>425</v>
      </c>
      <c r="D190" s="171" t="s">
        <v>426</v>
      </c>
      <c r="E190" s="171"/>
      <c r="F190" s="171" t="s">
        <v>427</v>
      </c>
      <c r="G190" s="171"/>
      <c r="I190" s="26"/>
    </row>
    <row r="191" spans="1:11">
      <c r="A191" s="171"/>
      <c r="B191" s="171"/>
      <c r="C191" s="171"/>
      <c r="D191" s="171">
        <v>2</v>
      </c>
      <c r="E191" s="171"/>
      <c r="F191" s="171"/>
      <c r="G191" s="171"/>
    </row>
    <row r="192" spans="1:11">
      <c r="A192" s="1" t="s">
        <v>424</v>
      </c>
      <c r="B192" s="1" t="s">
        <v>1</v>
      </c>
      <c r="C192" s="1">
        <f>MIN(1+SQRT(200/C187/1000),2)</f>
        <v>1.3414938883812553</v>
      </c>
    </row>
    <row r="194" spans="1:13">
      <c r="A194" s="171" t="s">
        <v>428</v>
      </c>
      <c r="B194" s="171" t="s">
        <v>1</v>
      </c>
      <c r="C194" s="171" t="s">
        <v>425</v>
      </c>
      <c r="D194" s="171" t="s">
        <v>429</v>
      </c>
      <c r="E194" s="171"/>
    </row>
    <row r="195" spans="1:13">
      <c r="A195" s="171"/>
      <c r="B195" s="171"/>
      <c r="C195" s="171"/>
      <c r="D195" s="171">
        <v>0.02</v>
      </c>
      <c r="E195" s="171"/>
    </row>
    <row r="196" spans="1:13">
      <c r="A196" s="1" t="s">
        <v>428</v>
      </c>
      <c r="B196" s="1" t="s">
        <v>1</v>
      </c>
      <c r="C196" s="1">
        <f>MIN(E12/1000/(C187*1000),0.02)</f>
        <v>1.3084517507662614E-3</v>
      </c>
    </row>
    <row r="198" spans="1:13" ht="18">
      <c r="A198" s="171" t="s">
        <v>430</v>
      </c>
      <c r="B198" s="193" t="s">
        <v>1</v>
      </c>
      <c r="C198" s="77">
        <v>0</v>
      </c>
      <c r="D198" s="193" t="s">
        <v>293</v>
      </c>
      <c r="E198" s="171"/>
      <c r="F198" s="26"/>
      <c r="G198" s="26"/>
    </row>
    <row r="199" spans="1:13">
      <c r="B199" s="26"/>
      <c r="C199" s="26"/>
      <c r="D199" s="26"/>
      <c r="E199" s="26"/>
      <c r="F199" s="26"/>
      <c r="G199" s="26"/>
    </row>
    <row r="200" spans="1:13" ht="18.75">
      <c r="A200" s="171" t="s">
        <v>431</v>
      </c>
      <c r="B200" s="193" t="s">
        <v>1</v>
      </c>
      <c r="C200" s="193" t="s">
        <v>432</v>
      </c>
      <c r="D200" s="193"/>
      <c r="E200" s="193"/>
      <c r="F200" s="26"/>
      <c r="G200" s="26"/>
    </row>
    <row r="201" spans="1:13">
      <c r="B201" s="26" t="s">
        <v>1</v>
      </c>
      <c r="C201" s="14">
        <f>0.031*C192^1.5 * E16^0.5</f>
        <v>0.28495662845405784</v>
      </c>
    </row>
    <row r="202" spans="1:13">
      <c r="B202" s="26"/>
    </row>
    <row r="203" spans="1:13" ht="18.75">
      <c r="A203" s="171" t="s">
        <v>419</v>
      </c>
      <c r="B203" s="171" t="s">
        <v>1</v>
      </c>
      <c r="C203" s="171" t="s">
        <v>420</v>
      </c>
      <c r="D203" s="171" t="s">
        <v>421</v>
      </c>
      <c r="E203" s="171"/>
      <c r="F203" s="171"/>
      <c r="G203" s="171"/>
      <c r="H203" s="171"/>
      <c r="I203" s="57" t="s">
        <v>422</v>
      </c>
    </row>
    <row r="204" spans="1:13" ht="18">
      <c r="A204" s="171"/>
      <c r="B204" s="171"/>
      <c r="C204" s="171"/>
      <c r="D204" s="171" t="s">
        <v>423</v>
      </c>
      <c r="E204" s="171"/>
      <c r="F204" s="171"/>
      <c r="G204" s="171"/>
      <c r="H204" s="171"/>
    </row>
    <row r="206" spans="1:13">
      <c r="B206" s="1" t="s">
        <v>1</v>
      </c>
      <c r="C206" s="14">
        <f>MAX((0.12*C192*(80*C196*E16)^0.33 +0.15*C198)*1000*(C187*1000)/10^4,(C201+0.15*C198)*1000*(C187*1000)/10^4)</f>
        <v>48.870061779870923</v>
      </c>
      <c r="D206" s="1" t="s">
        <v>34</v>
      </c>
      <c r="E206" s="528" t="str">
        <f>IF(C206&lt;F206,"&lt;","&gt;")</f>
        <v>&gt;</v>
      </c>
      <c r="F206" s="150">
        <f>E174</f>
        <v>0</v>
      </c>
      <c r="G206" s="1" t="s">
        <v>34</v>
      </c>
      <c r="H206" s="1125" t="str">
        <f>IF(C206&lt;F206,"PROVIDE SHEAR REINFORCEMENT","NO SHEAR REINFORCEMENT REQUIRED")</f>
        <v>NO SHEAR REINFORCEMENT REQUIRED</v>
      </c>
      <c r="I206" s="333"/>
      <c r="J206" s="334"/>
      <c r="K206" s="334"/>
      <c r="L206" s="334"/>
      <c r="M206" s="334"/>
    </row>
    <row r="208" spans="1:13">
      <c r="A208" s="291" t="s">
        <v>728</v>
      </c>
    </row>
    <row r="209" spans="1:12" ht="18">
      <c r="A209" s="1" t="s">
        <v>729</v>
      </c>
      <c r="C209" s="1" t="s">
        <v>1</v>
      </c>
      <c r="D209" s="1" t="s">
        <v>614</v>
      </c>
    </row>
    <row r="210" spans="1:12" ht="18">
      <c r="A210" s="323" t="s">
        <v>68</v>
      </c>
      <c r="C210" s="1" t="s">
        <v>1</v>
      </c>
      <c r="D210" s="1" t="s">
        <v>721</v>
      </c>
      <c r="I210" s="23" t="s">
        <v>722</v>
      </c>
      <c r="J210" s="24" t="s">
        <v>1</v>
      </c>
      <c r="K210" s="24">
        <v>1</v>
      </c>
      <c r="L210" s="21"/>
    </row>
    <row r="211" spans="1:12">
      <c r="C211" s="1" t="s">
        <v>1</v>
      </c>
      <c r="D211" s="150">
        <f>DEGREES(0.5 *ASIN(2*E174*10^4/(K210*1000*(K213*1000)*K211*D181)))</f>
        <v>0</v>
      </c>
      <c r="E211" s="1" t="s">
        <v>168</v>
      </c>
      <c r="I211" s="25" t="s">
        <v>723</v>
      </c>
      <c r="J211" s="26" t="s">
        <v>1</v>
      </c>
      <c r="K211" s="26">
        <v>0.6</v>
      </c>
      <c r="L211" s="27"/>
    </row>
    <row r="212" spans="1:12">
      <c r="I212" s="25" t="s">
        <v>219</v>
      </c>
      <c r="J212" s="26" t="s">
        <v>1</v>
      </c>
      <c r="K212" s="517" t="s">
        <v>724</v>
      </c>
      <c r="L212" s="27"/>
    </row>
    <row r="213" spans="1:12">
      <c r="A213" s="518" t="s">
        <v>725</v>
      </c>
      <c r="C213" s="1" t="s">
        <v>1</v>
      </c>
      <c r="D213" s="4">
        <v>45</v>
      </c>
      <c r="E213" s="1" t="s">
        <v>168</v>
      </c>
      <c r="I213" s="28"/>
      <c r="J213" s="15" t="s">
        <v>1</v>
      </c>
      <c r="K213" s="432">
        <f>0.9*C6</f>
        <v>1.5435000000000001</v>
      </c>
      <c r="L213" s="22" t="s">
        <v>2</v>
      </c>
    </row>
    <row r="216" spans="1:12">
      <c r="A216" s="291" t="s">
        <v>730</v>
      </c>
    </row>
    <row r="217" spans="1:12" ht="18">
      <c r="A217" s="1" t="s">
        <v>614</v>
      </c>
      <c r="C217" s="1" t="s">
        <v>1</v>
      </c>
      <c r="D217" s="1" t="s">
        <v>726</v>
      </c>
      <c r="E217" s="1" t="s">
        <v>1</v>
      </c>
      <c r="F217" s="1" t="s">
        <v>727</v>
      </c>
      <c r="I217" s="57" t="s">
        <v>731</v>
      </c>
    </row>
    <row r="218" spans="1:12" ht="18">
      <c r="A218" s="1" t="s">
        <v>620</v>
      </c>
      <c r="C218" s="1" t="s">
        <v>1</v>
      </c>
      <c r="D218" s="1" t="s">
        <v>739</v>
      </c>
    </row>
    <row r="219" spans="1:12">
      <c r="A219" s="1" t="s">
        <v>740</v>
      </c>
      <c r="C219" s="1" t="s">
        <v>1</v>
      </c>
      <c r="D219" s="1" t="s">
        <v>741</v>
      </c>
      <c r="J219" s="1021" t="s">
        <v>302</v>
      </c>
      <c r="K219" s="1023" t="s">
        <v>1</v>
      </c>
      <c r="L219" s="520">
        <v>1.1499999999999999</v>
      </c>
    </row>
    <row r="220" spans="1:12">
      <c r="A220" s="1" t="s">
        <v>740</v>
      </c>
      <c r="C220" s="1" t="s">
        <v>1</v>
      </c>
      <c r="D220" s="519">
        <f>0.8*E17/L219</f>
        <v>347.82608695652175</v>
      </c>
      <c r="E220" s="1" t="s">
        <v>293</v>
      </c>
    </row>
    <row r="221" spans="1:12" ht="17.25">
      <c r="A221" s="1" t="s">
        <v>620</v>
      </c>
      <c r="C221" s="1" t="s">
        <v>1</v>
      </c>
      <c r="D221" s="150">
        <f>E174*10^4*G229/(K213*1000*D220*(1/TAN(RADIANS(D213))))</f>
        <v>0</v>
      </c>
      <c r="E221" s="1" t="s">
        <v>1372</v>
      </c>
    </row>
    <row r="223" spans="1:12">
      <c r="A223" s="1" t="s">
        <v>615</v>
      </c>
      <c r="E223" s="57" t="s">
        <v>732</v>
      </c>
    </row>
    <row r="224" spans="1:12" ht="18">
      <c r="A224" s="1" t="s">
        <v>733</v>
      </c>
      <c r="C224" s="1" t="s">
        <v>1</v>
      </c>
      <c r="D224" s="1" t="s">
        <v>734</v>
      </c>
    </row>
    <row r="225" spans="1:13" ht="18">
      <c r="A225" s="1" t="s">
        <v>735</v>
      </c>
      <c r="C225" s="1" t="s">
        <v>1</v>
      </c>
      <c r="D225" s="1" t="s">
        <v>736</v>
      </c>
    </row>
    <row r="226" spans="1:13">
      <c r="C226" s="1" t="s">
        <v>1</v>
      </c>
      <c r="D226" s="1">
        <f>0.072*SQRT(GEN!H19)/GEN!H27</f>
        <v>8.5191548876634474E-4</v>
      </c>
    </row>
    <row r="227" spans="1:13" ht="18.75">
      <c r="A227" s="1" t="s">
        <v>733</v>
      </c>
      <c r="C227" s="1" t="s">
        <v>1</v>
      </c>
      <c r="D227" s="1">
        <f>D226*G229*1000</f>
        <v>255.57464662990341</v>
      </c>
      <c r="E227" s="1" t="s">
        <v>1372</v>
      </c>
    </row>
    <row r="229" spans="1:13">
      <c r="A229" s="1" t="s">
        <v>603</v>
      </c>
      <c r="B229" s="6">
        <v>12</v>
      </c>
      <c r="C229" s="528" t="s">
        <v>607</v>
      </c>
      <c r="D229" s="6">
        <v>2</v>
      </c>
      <c r="E229" s="1" t="s">
        <v>737</v>
      </c>
      <c r="G229" s="6">
        <v>300</v>
      </c>
      <c r="H229" s="1" t="s">
        <v>256</v>
      </c>
    </row>
    <row r="230" spans="1:13" ht="17.25">
      <c r="A230" s="323" t="s">
        <v>738</v>
      </c>
      <c r="B230" s="1">
        <f>PI()*B229^2/4*D229*1000/G229</f>
        <v>753.9822368615504</v>
      </c>
      <c r="C230" s="1" t="s">
        <v>410</v>
      </c>
      <c r="D230" s="528" t="s">
        <v>378</v>
      </c>
      <c r="E230" s="528">
        <f>1000/D229</f>
        <v>500</v>
      </c>
      <c r="F230" s="1" t="s">
        <v>1623</v>
      </c>
      <c r="I230" s="528" t="str">
        <f>IF(B230&gt;J230,"&gt;","&lt;")</f>
        <v>&gt;</v>
      </c>
      <c r="J230" s="150">
        <f>MAX(D221,D227)</f>
        <v>255.57464662990341</v>
      </c>
      <c r="K230" s="1" t="s">
        <v>1372</v>
      </c>
      <c r="M230" s="333" t="str">
        <f>IF(B230&gt;J230,"OK","REVISE")</f>
        <v>OK</v>
      </c>
    </row>
  </sheetData>
  <mergeCells count="11">
    <mergeCell ref="I11:J11"/>
    <mergeCell ref="A73:D74"/>
    <mergeCell ref="E73:H74"/>
    <mergeCell ref="I73:L74"/>
    <mergeCell ref="F82:G82"/>
    <mergeCell ref="J82:K82"/>
    <mergeCell ref="D105:L107"/>
    <mergeCell ref="I124:L126"/>
    <mergeCell ref="D127:F127"/>
    <mergeCell ref="K132:M133"/>
    <mergeCell ref="E154:H154"/>
  </mergeCells>
  <dataValidations disablePrompts="1" count="1">
    <dataValidation type="list" allowBlank="1" showInputMessage="1" showErrorMessage="1" sqref="I11:J11">
      <formula1>"NONE,ALTERNATE,LAYER-2"</formula1>
    </dataValidation>
  </dataValidations>
  <pageMargins left="0.70866141732283505" right="0.70866141732283505" top="0.74803149606299202" bottom="0.74803149606299202" header="0.31496062992126" footer="0.31496062992126"/>
  <pageSetup paperSize="9" scale="82" orientation="portrait" blackAndWhite="1" r:id="rId1"/>
  <rowBreaks count="5" manualBreakCount="5">
    <brk id="42" max="12" man="1"/>
    <brk id="92" max="12" man="1"/>
    <brk id="150" max="12" man="1"/>
    <brk id="231" max="12" man="1"/>
    <brk id="268" max="12" man="1"/>
  </rowBreaks>
  <drawing r:id="rId2"/>
</worksheet>
</file>

<file path=xl/worksheets/sheet27.xml><?xml version="1.0" encoding="utf-8"?>
<worksheet xmlns="http://schemas.openxmlformats.org/spreadsheetml/2006/main" xmlns:r="http://schemas.openxmlformats.org/officeDocument/2006/relationships">
  <sheetPr codeName="Sheet44">
    <tabColor theme="5" tint="0.59999389629810485"/>
  </sheetPr>
  <dimension ref="A1:L70"/>
  <sheetViews>
    <sheetView view="pageBreakPreview" zoomScaleSheetLayoutView="100" workbookViewId="0">
      <selection activeCell="M33" sqref="M33"/>
    </sheetView>
  </sheetViews>
  <sheetFormatPr defaultColWidth="7.7109375" defaultRowHeight="15"/>
  <cols>
    <col min="1" max="16384" width="7.7109375" style="1"/>
  </cols>
  <sheetData>
    <row r="1" spans="1:12">
      <c r="A1" s="9" t="s">
        <v>884</v>
      </c>
    </row>
    <row r="2" spans="1:12">
      <c r="A2" s="353" t="s">
        <v>883</v>
      </c>
      <c r="I2" s="4">
        <v>0.75</v>
      </c>
    </row>
    <row r="3" spans="1:12">
      <c r="A3" s="1" t="s">
        <v>885</v>
      </c>
      <c r="D3" s="1" t="s">
        <v>1</v>
      </c>
      <c r="E3" s="1">
        <f>GEN!H146</f>
        <v>1.8</v>
      </c>
      <c r="F3" s="1" t="s">
        <v>2</v>
      </c>
      <c r="K3" s="150">
        <f>PI()*(J7/2+J5)/2</f>
        <v>6.5973445725385655</v>
      </c>
    </row>
    <row r="4" spans="1:12" ht="17.25">
      <c r="A4" s="1" t="s">
        <v>49</v>
      </c>
      <c r="D4" s="1" t="s">
        <v>1</v>
      </c>
      <c r="E4" s="1">
        <f>GEN!H32</f>
        <v>2.5</v>
      </c>
      <c r="F4" s="1" t="s">
        <v>21</v>
      </c>
    </row>
    <row r="5" spans="1:12">
      <c r="J5" s="1">
        <f>E3*2</f>
        <v>3.6</v>
      </c>
    </row>
    <row r="7" spans="1:12">
      <c r="A7" s="1" t="s">
        <v>411</v>
      </c>
      <c r="D7" s="1" t="s">
        <v>1</v>
      </c>
      <c r="E7" s="1">
        <f>GEN!H19</f>
        <v>35</v>
      </c>
      <c r="F7" s="1" t="s">
        <v>293</v>
      </c>
      <c r="H7" s="529">
        <f>L9+J7/2+J5</f>
        <v>4.95</v>
      </c>
      <c r="J7" s="529">
        <f>GEN!F97</f>
        <v>1.2</v>
      </c>
    </row>
    <row r="8" spans="1:12">
      <c r="C8" s="1" t="s">
        <v>331</v>
      </c>
      <c r="D8" s="1" t="s">
        <v>1</v>
      </c>
      <c r="E8" s="254">
        <f>GEN!H22</f>
        <v>15.633333333333335</v>
      </c>
      <c r="F8" s="1" t="s">
        <v>293</v>
      </c>
    </row>
    <row r="9" spans="1:12">
      <c r="L9" s="527">
        <f>I2</f>
        <v>0.75</v>
      </c>
    </row>
    <row r="10" spans="1:12" ht="18">
      <c r="A10" s="1" t="s">
        <v>874</v>
      </c>
      <c r="D10" s="1" t="s">
        <v>1</v>
      </c>
      <c r="E10" s="1" t="s">
        <v>875</v>
      </c>
      <c r="F10" s="1" t="s">
        <v>115</v>
      </c>
      <c r="G10" s="1" t="s">
        <v>876</v>
      </c>
    </row>
    <row r="11" spans="1:12" ht="18">
      <c r="A11" s="1" t="s">
        <v>875</v>
      </c>
      <c r="D11" s="1" t="s">
        <v>1</v>
      </c>
      <c r="E11" s="1016">
        <f>'3.4D_LC_sum'!M17</f>
        <v>414.03021879539438</v>
      </c>
      <c r="F11" s="1" t="s">
        <v>34</v>
      </c>
    </row>
    <row r="12" spans="1:12">
      <c r="J12" s="1">
        <f>H7</f>
        <v>4.95</v>
      </c>
    </row>
    <row r="13" spans="1:12">
      <c r="A13" s="1" t="s">
        <v>877</v>
      </c>
    </row>
    <row r="14" spans="1:12">
      <c r="D14" s="1" t="s">
        <v>1</v>
      </c>
      <c r="E14" s="150">
        <f>(H7*J12-PI()*(J5+J7/2)^2/4/4)*E3*E4</f>
        <v>94.675023447377654</v>
      </c>
      <c r="F14" s="1" t="s">
        <v>34</v>
      </c>
      <c r="G14" s="1" t="s">
        <v>578</v>
      </c>
    </row>
    <row r="15" spans="1:12">
      <c r="A15" s="1" t="s">
        <v>610</v>
      </c>
      <c r="D15" s="1" t="s">
        <v>1</v>
      </c>
      <c r="E15" s="4">
        <v>1.35</v>
      </c>
    </row>
    <row r="17" spans="1:8" ht="18">
      <c r="A17" s="1" t="s">
        <v>876</v>
      </c>
      <c r="D17" s="1" t="s">
        <v>1</v>
      </c>
      <c r="E17" s="150">
        <f>E14*E15</f>
        <v>127.81128165395984</v>
      </c>
      <c r="F17" s="1" t="s">
        <v>34</v>
      </c>
    </row>
    <row r="19" spans="1:8" ht="18">
      <c r="A19" s="1" t="s">
        <v>874</v>
      </c>
      <c r="D19" s="1" t="s">
        <v>1</v>
      </c>
      <c r="E19" s="150">
        <f>E11-E17</f>
        <v>286.21893714143454</v>
      </c>
      <c r="F19" s="1" t="s">
        <v>34</v>
      </c>
    </row>
    <row r="21" spans="1:8" ht="18">
      <c r="A21" s="1" t="s">
        <v>878</v>
      </c>
      <c r="D21" s="1" t="s">
        <v>1</v>
      </c>
      <c r="E21" s="1" t="s">
        <v>879</v>
      </c>
    </row>
    <row r="23" spans="1:8">
      <c r="A23" s="1" t="s">
        <v>881</v>
      </c>
      <c r="D23" s="1" t="s">
        <v>1</v>
      </c>
      <c r="E23" s="1" t="s">
        <v>882</v>
      </c>
    </row>
    <row r="24" spans="1:8">
      <c r="D24" s="1" t="s">
        <v>1</v>
      </c>
      <c r="E24" s="150">
        <f>I2+K3+L9</f>
        <v>8.0973445725385655</v>
      </c>
      <c r="F24" s="1" t="s">
        <v>2</v>
      </c>
    </row>
    <row r="26" spans="1:8" ht="18.75">
      <c r="A26" s="1" t="s">
        <v>878</v>
      </c>
      <c r="D26" s="1" t="s">
        <v>1</v>
      </c>
      <c r="E26" s="14">
        <f>E19*10^4/(E24*1000*E3*1000)</f>
        <v>0.1963736620192755</v>
      </c>
      <c r="F26" s="1" t="s">
        <v>474</v>
      </c>
    </row>
    <row r="28" spans="1:8">
      <c r="A28" s="1" t="s">
        <v>609</v>
      </c>
      <c r="D28" s="1" t="s">
        <v>1</v>
      </c>
      <c r="E28" s="1" t="s">
        <v>889</v>
      </c>
      <c r="G28" s="1" t="s">
        <v>355</v>
      </c>
      <c r="H28" s="4">
        <v>2</v>
      </c>
    </row>
    <row r="29" spans="1:8">
      <c r="D29" s="1" t="s">
        <v>1</v>
      </c>
      <c r="E29" s="14">
        <f>MIN(1+ SQRT(200/(E3*1000)),H28)</f>
        <v>1.3333333333333333</v>
      </c>
    </row>
    <row r="30" spans="1:8">
      <c r="E30" s="14"/>
    </row>
    <row r="31" spans="1:8" ht="18.75">
      <c r="A31" s="1" t="s">
        <v>887</v>
      </c>
      <c r="D31" s="1" t="s">
        <v>1</v>
      </c>
      <c r="E31" s="1" t="s">
        <v>888</v>
      </c>
    </row>
    <row r="32" spans="1:8" ht="18">
      <c r="A32" s="1" t="s">
        <v>887</v>
      </c>
      <c r="D32" s="1" t="s">
        <v>1</v>
      </c>
      <c r="E32" s="14">
        <f>0.031*E29^(3/2)*E7^(1/2)</f>
        <v>0.28236042110644222</v>
      </c>
    </row>
    <row r="34" spans="1:9" ht="18.75">
      <c r="A34" s="1" t="s">
        <v>880</v>
      </c>
      <c r="D34" s="1" t="s">
        <v>1</v>
      </c>
      <c r="E34" s="1" t="s">
        <v>420</v>
      </c>
      <c r="F34" s="1" t="s">
        <v>894</v>
      </c>
      <c r="I34" s="323"/>
    </row>
    <row r="35" spans="1:9" ht="18">
      <c r="F35" s="1" t="s">
        <v>886</v>
      </c>
      <c r="I35" s="323"/>
    </row>
    <row r="36" spans="1:9">
      <c r="I36" s="323"/>
    </row>
    <row r="37" spans="1:9">
      <c r="A37" s="1" t="s">
        <v>62</v>
      </c>
      <c r="D37" s="1" t="s">
        <v>1</v>
      </c>
      <c r="E37" s="1">
        <f>J5</f>
        <v>3.6</v>
      </c>
      <c r="F37" s="1" t="s">
        <v>2</v>
      </c>
    </row>
    <row r="39" spans="1:9" ht="18">
      <c r="A39" s="1" t="s">
        <v>890</v>
      </c>
      <c r="D39" s="1" t="s">
        <v>1</v>
      </c>
      <c r="E39" s="397">
        <f>D_PC_L!E13/100</f>
        <v>1.3084517507662612E-3</v>
      </c>
    </row>
    <row r="40" spans="1:9" ht="18">
      <c r="A40" s="1" t="s">
        <v>891</v>
      </c>
      <c r="D40" s="1" t="s">
        <v>1</v>
      </c>
      <c r="E40" s="397">
        <f>D_PC_T!E13/100</f>
        <v>1.3084517507662612E-3</v>
      </c>
    </row>
    <row r="41" spans="1:9" ht="18">
      <c r="A41" s="1" t="s">
        <v>892</v>
      </c>
      <c r="D41" s="1" t="s">
        <v>1</v>
      </c>
      <c r="E41" s="1" t="s">
        <v>893</v>
      </c>
    </row>
    <row r="42" spans="1:9">
      <c r="D42" s="1" t="s">
        <v>1</v>
      </c>
      <c r="E42" s="14">
        <f>SQRT(E39*E40)</f>
        <v>1.3084517507662612E-3</v>
      </c>
    </row>
    <row r="44" spans="1:9" ht="18">
      <c r="A44" s="1" t="s">
        <v>880</v>
      </c>
      <c r="D44" s="1" t="s">
        <v>1</v>
      </c>
      <c r="E44" s="1" t="s">
        <v>420</v>
      </c>
      <c r="F44" s="590">
        <f>0.12* E29*(80*E42*E7)^(1/3)*(2*E3/E37)</f>
        <v>0.2466561209796494</v>
      </c>
      <c r="G44" s="1" t="s">
        <v>293</v>
      </c>
    </row>
    <row r="45" spans="1:9">
      <c r="F45" s="41">
        <f>E32*2*E3/E37</f>
        <v>0.28236042110644222</v>
      </c>
      <c r="G45" s="1" t="s">
        <v>293</v>
      </c>
    </row>
    <row r="47" spans="1:9">
      <c r="D47" s="1" t="s">
        <v>1</v>
      </c>
      <c r="E47" s="14">
        <f>MAX(F44,F45)</f>
        <v>0.28236042110644222</v>
      </c>
      <c r="F47" s="1" t="s">
        <v>293</v>
      </c>
    </row>
    <row r="49" spans="1:8" ht="18">
      <c r="A49" s="1" t="s">
        <v>895</v>
      </c>
      <c r="D49" s="1" t="s">
        <v>1</v>
      </c>
      <c r="E49" s="1" t="s">
        <v>896</v>
      </c>
    </row>
    <row r="50" spans="1:8">
      <c r="A50" s="323" t="s">
        <v>576</v>
      </c>
      <c r="D50" s="1" t="s">
        <v>1</v>
      </c>
      <c r="E50" s="1" t="s">
        <v>897</v>
      </c>
      <c r="G50" s="1" t="s">
        <v>1</v>
      </c>
      <c r="H50" s="14">
        <f>0.6*(1-E7/310)</f>
        <v>0.532258064516129</v>
      </c>
    </row>
    <row r="52" spans="1:8" ht="18">
      <c r="A52" s="1" t="s">
        <v>895</v>
      </c>
      <c r="D52" s="1" t="s">
        <v>1</v>
      </c>
      <c r="E52" s="150">
        <f>1/2*H50*E8</f>
        <v>4.1604838709677416</v>
      </c>
      <c r="F52" s="1" t="s">
        <v>293</v>
      </c>
    </row>
    <row r="54" spans="1:8">
      <c r="A54" s="291" t="s">
        <v>125</v>
      </c>
    </row>
    <row r="55" spans="1:8" ht="18">
      <c r="A55" s="1" t="s">
        <v>878</v>
      </c>
      <c r="B55" s="528" t="s">
        <v>608</v>
      </c>
      <c r="C55" s="1" t="s">
        <v>899</v>
      </c>
    </row>
    <row r="56" spans="1:8">
      <c r="A56" s="41">
        <f>E26</f>
        <v>0.1963736620192755</v>
      </c>
      <c r="B56" s="1" t="s">
        <v>293</v>
      </c>
      <c r="C56" s="528" t="str">
        <f>IF(A56&lt;D56,"&lt;","&gt;")</f>
        <v>&lt;</v>
      </c>
      <c r="D56" s="79">
        <f>E47</f>
        <v>0.28236042110644222</v>
      </c>
      <c r="E56" s="1" t="s">
        <v>293</v>
      </c>
      <c r="G56" s="334" t="str">
        <f>IF(A56&lt;D56,"OK","REVISE")</f>
        <v>OK</v>
      </c>
    </row>
    <row r="59" spans="1:8">
      <c r="A59" s="353" t="s">
        <v>900</v>
      </c>
    </row>
    <row r="60" spans="1:8" ht="17.25" customHeight="1">
      <c r="A60" s="1" t="s">
        <v>874</v>
      </c>
      <c r="D60" s="1" t="s">
        <v>1</v>
      </c>
      <c r="E60" s="1" t="s">
        <v>875</v>
      </c>
      <c r="F60" s="1" t="s">
        <v>115</v>
      </c>
      <c r="G60" s="1" t="s">
        <v>876</v>
      </c>
    </row>
    <row r="61" spans="1:8" ht="18">
      <c r="A61" s="1" t="s">
        <v>875</v>
      </c>
      <c r="D61" s="1" t="s">
        <v>1</v>
      </c>
      <c r="E61" s="1">
        <f>E11</f>
        <v>414.03021879539438</v>
      </c>
      <c r="F61" s="1" t="s">
        <v>34</v>
      </c>
    </row>
    <row r="63" spans="1:8" ht="18">
      <c r="A63" s="1" t="s">
        <v>898</v>
      </c>
      <c r="D63" s="1" t="s">
        <v>1</v>
      </c>
      <c r="E63" s="1" t="s">
        <v>901</v>
      </c>
    </row>
    <row r="64" spans="1:8" ht="18">
      <c r="A64" s="1" t="s">
        <v>902</v>
      </c>
      <c r="D64" s="1" t="s">
        <v>1</v>
      </c>
      <c r="E64" s="14">
        <f>PI()*J7</f>
        <v>3.7699111843077517</v>
      </c>
      <c r="F64" s="1" t="s">
        <v>2</v>
      </c>
    </row>
    <row r="66" spans="1:7" ht="18">
      <c r="A66" s="1" t="s">
        <v>898</v>
      </c>
      <c r="D66" s="1" t="s">
        <v>1</v>
      </c>
      <c r="E66" s="14">
        <f>E61*10^4/(E64*1000*E3*1000)</f>
        <v>0.6101384806546849</v>
      </c>
      <c r="F66" s="1" t="s">
        <v>293</v>
      </c>
    </row>
    <row r="68" spans="1:7">
      <c r="A68" s="291" t="s">
        <v>125</v>
      </c>
    </row>
    <row r="69" spans="1:7" ht="18">
      <c r="A69" s="1" t="s">
        <v>898</v>
      </c>
      <c r="B69" s="528" t="s">
        <v>608</v>
      </c>
      <c r="C69" s="1" t="s">
        <v>903</v>
      </c>
    </row>
    <row r="70" spans="1:7">
      <c r="A70" s="41">
        <f>E66</f>
        <v>0.6101384806546849</v>
      </c>
      <c r="B70" s="1" t="s">
        <v>293</v>
      </c>
      <c r="C70" s="528" t="str">
        <f>IF(A70&lt;D70,"&lt;","&gt;")</f>
        <v>&lt;</v>
      </c>
      <c r="D70" s="79">
        <f>E52</f>
        <v>4.1604838709677416</v>
      </c>
      <c r="E70" s="1" t="s">
        <v>293</v>
      </c>
      <c r="G70" s="334" t="str">
        <f>IF(A70&lt;D70,"OK","REVISE")</f>
        <v>OK</v>
      </c>
    </row>
  </sheetData>
  <pageMargins left="0.70866141732283505" right="0.70866141732283505" top="0.74803149606299202" bottom="0.74803149606299202" header="0.31496062992126" footer="0.31496062992126"/>
  <pageSetup paperSize="9" scale="94" orientation="portrait" blackAndWhite="1" r:id="rId1"/>
  <rowBreaks count="1" manualBreakCount="1">
    <brk id="48" max="16383" man="1"/>
  </rowBreaks>
  <drawing r:id="rId2"/>
</worksheet>
</file>

<file path=xl/worksheets/sheet28.xml><?xml version="1.0" encoding="utf-8"?>
<worksheet xmlns="http://schemas.openxmlformats.org/spreadsheetml/2006/main" xmlns:r="http://schemas.openxmlformats.org/officeDocument/2006/relationships">
  <sheetPr codeName="Sheet15">
    <tabColor theme="5" tint="0.59999389629810485"/>
  </sheetPr>
  <dimension ref="A1:AJ107"/>
  <sheetViews>
    <sheetView view="pageBreakPreview" zoomScaleSheetLayoutView="100" workbookViewId="0">
      <selection activeCell="O9" sqref="O9"/>
    </sheetView>
  </sheetViews>
  <sheetFormatPr defaultColWidth="7.7109375" defaultRowHeight="15"/>
  <cols>
    <col min="1" max="2" width="7.7109375" style="1"/>
    <col min="3" max="11" width="7.7109375" style="1" customWidth="1"/>
    <col min="12" max="12" width="7.7109375" style="1"/>
    <col min="13" max="13" width="7.7109375" style="1" customWidth="1"/>
    <col min="14" max="15" width="7.7109375" style="1"/>
    <col min="16" max="16" width="7.7109375" style="1" customWidth="1"/>
    <col min="17" max="18" width="7.7109375" style="1"/>
    <col min="19" max="19" width="7.7109375" style="1" customWidth="1"/>
    <col min="20" max="20" width="7.7109375" style="1"/>
    <col min="21" max="21" width="7.7109375" style="1" customWidth="1"/>
    <col min="22" max="24" width="7.7109375" style="1"/>
    <col min="25" max="26" width="7.7109375" style="1" customWidth="1"/>
    <col min="27" max="27" width="7.7109375" style="1"/>
    <col min="28" max="29" width="7.7109375" style="1" customWidth="1"/>
    <col min="30" max="16384" width="7.7109375" style="1"/>
  </cols>
  <sheetData>
    <row r="1" spans="1:13">
      <c r="A1" s="533" t="s">
        <v>796</v>
      </c>
    </row>
    <row r="3" spans="1:13">
      <c r="G3" s="1" t="s">
        <v>797</v>
      </c>
      <c r="J3" s="1" t="s">
        <v>1</v>
      </c>
      <c r="K3" s="1">
        <f>C5*1000</f>
        <v>1200</v>
      </c>
      <c r="L3" s="1" t="s">
        <v>5</v>
      </c>
    </row>
    <row r="5" spans="1:13">
      <c r="C5" s="10">
        <f>GEN!F97</f>
        <v>1.2</v>
      </c>
      <c r="G5" s="1" t="s">
        <v>606</v>
      </c>
      <c r="J5" s="1" t="s">
        <v>1</v>
      </c>
      <c r="K5" s="4">
        <f>75+10</f>
        <v>85</v>
      </c>
      <c r="L5" s="1" t="s">
        <v>5</v>
      </c>
    </row>
    <row r="6" spans="1:13">
      <c r="G6" s="1" t="s">
        <v>748</v>
      </c>
      <c r="J6" s="1" t="s">
        <v>1</v>
      </c>
      <c r="K6" s="4">
        <v>25</v>
      </c>
      <c r="L6" s="1" t="s">
        <v>5</v>
      </c>
    </row>
    <row r="7" spans="1:13">
      <c r="G7" s="1" t="s">
        <v>749</v>
      </c>
      <c r="J7" s="1" t="s">
        <v>1</v>
      </c>
      <c r="K7" s="4">
        <v>25</v>
      </c>
      <c r="L7" s="1" t="s">
        <v>604</v>
      </c>
    </row>
    <row r="8" spans="1:13">
      <c r="G8" s="1" t="s">
        <v>753</v>
      </c>
      <c r="J8" s="1" t="s">
        <v>1</v>
      </c>
      <c r="K8" s="4">
        <f>K5+K6/2</f>
        <v>97.5</v>
      </c>
      <c r="L8" s="1" t="s">
        <v>5</v>
      </c>
    </row>
    <row r="9" spans="1:13">
      <c r="A9" s="1394" t="s">
        <v>568</v>
      </c>
      <c r="B9" s="26"/>
      <c r="C9" s="26"/>
      <c r="D9" s="26"/>
      <c r="E9" s="26"/>
      <c r="G9" s="1" t="s">
        <v>752</v>
      </c>
      <c r="J9" s="1" t="s">
        <v>1</v>
      </c>
      <c r="K9" s="254">
        <f>K3-K8*2</f>
        <v>1005</v>
      </c>
      <c r="L9" s="1" t="s">
        <v>5</v>
      </c>
    </row>
    <row r="10" spans="1:13">
      <c r="A10" s="26" t="s">
        <v>329</v>
      </c>
      <c r="B10" s="26" t="s">
        <v>1</v>
      </c>
      <c r="C10" s="1238">
        <f>GEN!H19</f>
        <v>35</v>
      </c>
      <c r="D10" s="26" t="s">
        <v>293</v>
      </c>
      <c r="E10" s="26"/>
      <c r="G10" s="1" t="s">
        <v>561</v>
      </c>
      <c r="J10" s="1" t="s">
        <v>1</v>
      </c>
      <c r="K10" s="254">
        <f>PI()*K9/K7</f>
        <v>126.29202467430969</v>
      </c>
      <c r="L10" s="1" t="s">
        <v>5</v>
      </c>
    </row>
    <row r="11" spans="1:13" ht="17.25">
      <c r="A11" s="26" t="s">
        <v>331</v>
      </c>
      <c r="B11" s="26" t="s">
        <v>1</v>
      </c>
      <c r="C11" s="172">
        <f>GEN!H22</f>
        <v>15.633333333333335</v>
      </c>
      <c r="D11" s="26" t="s">
        <v>293</v>
      </c>
      <c r="E11" s="26"/>
      <c r="G11" s="1" t="s">
        <v>777</v>
      </c>
      <c r="J11" s="1" t="s">
        <v>1</v>
      </c>
      <c r="K11" s="254">
        <f>PI()*K6^2/4*K7</f>
        <v>12271.846303085129</v>
      </c>
      <c r="L11" s="1" t="s">
        <v>570</v>
      </c>
    </row>
    <row r="12" spans="1:13" ht="18">
      <c r="A12" s="1395" t="s">
        <v>295</v>
      </c>
      <c r="B12" s="1395" t="s">
        <v>1</v>
      </c>
      <c r="C12" s="1396">
        <f>GEN!H27</f>
        <v>500</v>
      </c>
      <c r="D12" s="1397" t="s">
        <v>567</v>
      </c>
      <c r="E12" s="26"/>
    </row>
    <row r="13" spans="1:13">
      <c r="A13" s="26" t="s">
        <v>304</v>
      </c>
      <c r="B13" s="26"/>
      <c r="C13" s="172">
        <f>GEN!H29</f>
        <v>434.78260869565224</v>
      </c>
      <c r="D13" s="26" t="s">
        <v>293</v>
      </c>
      <c r="E13" s="26"/>
      <c r="G13" s="1" t="s">
        <v>750</v>
      </c>
      <c r="J13" s="1" t="s">
        <v>1</v>
      </c>
      <c r="K13" s="254">
        <f>(PI()*K6^2/4*K7)/(PI()*(C5*1000)^2/4)*100</f>
        <v>1.0850694444444444</v>
      </c>
      <c r="L13" s="1" t="s">
        <v>360</v>
      </c>
    </row>
    <row r="14" spans="1:13">
      <c r="A14" s="1395"/>
      <c r="B14" s="1395"/>
      <c r="C14" s="26"/>
      <c r="D14" s="26"/>
      <c r="E14" s="26"/>
      <c r="G14" s="1" t="s">
        <v>751</v>
      </c>
      <c r="J14" s="1" t="s">
        <v>1</v>
      </c>
      <c r="K14" s="4">
        <v>0.4</v>
      </c>
      <c r="L14" s="1" t="s">
        <v>360</v>
      </c>
      <c r="M14" s="334" t="str">
        <f>IF(K14&lt;K13,"OK","REVISE")</f>
        <v>OK</v>
      </c>
    </row>
    <row r="15" spans="1:13" ht="18">
      <c r="A15" s="26" t="s">
        <v>294</v>
      </c>
      <c r="B15" s="26" t="s">
        <v>1</v>
      </c>
      <c r="C15" s="408">
        <f>GEN!H30</f>
        <v>200000</v>
      </c>
      <c r="D15" s="1397" t="s">
        <v>567</v>
      </c>
      <c r="E15" s="26"/>
    </row>
    <row r="18" spans="1:29">
      <c r="A18" s="26"/>
      <c r="B18" s="26"/>
      <c r="C18" s="26"/>
      <c r="D18" s="26"/>
      <c r="E18" s="26"/>
    </row>
    <row r="19" spans="1:29">
      <c r="A19" s="353" t="s">
        <v>1826</v>
      </c>
    </row>
    <row r="20" spans="1:29">
      <c r="A20" s="1695" t="s">
        <v>566</v>
      </c>
      <c r="B20" s="153" t="s">
        <v>562</v>
      </c>
      <c r="C20" s="523" t="s">
        <v>563</v>
      </c>
      <c r="AC20" s="150"/>
    </row>
    <row r="21" spans="1:29">
      <c r="A21" s="1696"/>
      <c r="B21" s="525" t="s">
        <v>51</v>
      </c>
      <c r="C21" s="523" t="s">
        <v>77</v>
      </c>
    </row>
    <row r="22" spans="1:29">
      <c r="A22" s="392">
        <v>1.0000000000000001E-9</v>
      </c>
      <c r="B22" s="532">
        <f t="shared" ref="B22:B32" si="0">ULS_CIRC($K$9,$K$7,$K$6,A22,$K$3,$C$10,$C$15,$C$12,B$20)/10^4</f>
        <v>-532.70702790389066</v>
      </c>
      <c r="C22" s="532">
        <f t="shared" ref="C22:C32" si="1">ULS_CIRC($K$9,$K$7,$K$6,A22,$K$3,$C$10,$C$15,$C$12,C$20)/10^7</f>
        <v>0.65084261514208275</v>
      </c>
      <c r="R22" s="8" t="s">
        <v>771</v>
      </c>
      <c r="S22" s="8"/>
      <c r="T22" s="8"/>
      <c r="U22" s="82"/>
    </row>
    <row r="23" spans="1:29">
      <c r="A23" s="25">
        <f t="shared" ref="A23:A32" si="2">A22+0.2</f>
        <v>0.20000000100000001</v>
      </c>
      <c r="B23" s="196">
        <f t="shared" si="0"/>
        <v>-103.79485068986493</v>
      </c>
      <c r="C23" s="196">
        <f t="shared" si="1"/>
        <v>194.08146849893927</v>
      </c>
      <c r="R23" s="430" t="s">
        <v>774</v>
      </c>
      <c r="S23" s="134" t="s">
        <v>2</v>
      </c>
      <c r="T23" s="8"/>
      <c r="U23" s="82"/>
    </row>
    <row r="24" spans="1:29">
      <c r="A24" s="25">
        <f t="shared" si="2"/>
        <v>0.40000000099999999</v>
      </c>
      <c r="B24" s="196">
        <f t="shared" si="0"/>
        <v>402.22256272178328</v>
      </c>
      <c r="C24" s="196">
        <f t="shared" si="1"/>
        <v>323.83177988976803</v>
      </c>
      <c r="I24" s="82"/>
      <c r="R24" s="426">
        <v>0</v>
      </c>
      <c r="S24" s="136">
        <v>0.82</v>
      </c>
      <c r="T24" s="8"/>
      <c r="U24" s="82"/>
    </row>
    <row r="25" spans="1:29">
      <c r="A25" s="25">
        <f t="shared" si="2"/>
        <v>0.60000000099999995</v>
      </c>
      <c r="B25" s="196">
        <f t="shared" si="0"/>
        <v>946.40381700724026</v>
      </c>
      <c r="C25" s="196">
        <f t="shared" si="1"/>
        <v>330.06653986895435</v>
      </c>
      <c r="R25" s="426">
        <v>0.5</v>
      </c>
      <c r="S25" s="136">
        <v>0.9</v>
      </c>
      <c r="T25" s="8"/>
      <c r="U25" s="82"/>
    </row>
    <row r="26" spans="1:29">
      <c r="A26" s="25">
        <f t="shared" si="2"/>
        <v>0.80000000099999991</v>
      </c>
      <c r="B26" s="196">
        <f t="shared" si="0"/>
        <v>1454.1762764402495</v>
      </c>
      <c r="C26" s="196">
        <f t="shared" si="1"/>
        <v>245.73852636165256</v>
      </c>
      <c r="R26" s="426">
        <v>1</v>
      </c>
      <c r="S26" s="136">
        <v>0.93</v>
      </c>
      <c r="T26" s="8"/>
      <c r="U26" s="82"/>
    </row>
    <row r="27" spans="1:29">
      <c r="A27" s="25">
        <f t="shared" si="2"/>
        <v>1.0000000009999999</v>
      </c>
      <c r="B27" s="196">
        <f t="shared" si="0"/>
        <v>1828.3786177516333</v>
      </c>
      <c r="C27" s="196">
        <f t="shared" si="1"/>
        <v>138.19110920672961</v>
      </c>
      <c r="R27" s="426">
        <v>1.5</v>
      </c>
      <c r="S27" s="136">
        <v>0.94</v>
      </c>
      <c r="T27" s="8"/>
      <c r="U27" s="82"/>
      <c r="V27" s="82"/>
    </row>
    <row r="28" spans="1:29">
      <c r="A28" s="25">
        <f t="shared" si="2"/>
        <v>1.2000000009999998</v>
      </c>
      <c r="B28" s="196">
        <f t="shared" si="0"/>
        <v>2001.3755992107569</v>
      </c>
      <c r="C28" s="196">
        <f t="shared" si="1"/>
        <v>80.560547525219889</v>
      </c>
      <c r="R28" s="429">
        <v>2</v>
      </c>
      <c r="S28" s="137">
        <v>0.95</v>
      </c>
      <c r="T28" s="8"/>
      <c r="U28" s="82"/>
    </row>
    <row r="29" spans="1:29">
      <c r="A29" s="25">
        <f t="shared" si="2"/>
        <v>1.4000000009999998</v>
      </c>
      <c r="B29" s="196">
        <f t="shared" si="0"/>
        <v>2093.061365823809</v>
      </c>
      <c r="C29" s="196">
        <f t="shared" si="1"/>
        <v>48.334361565229123</v>
      </c>
    </row>
    <row r="30" spans="1:29">
      <c r="A30" s="25">
        <f t="shared" si="2"/>
        <v>1.6000000009999997</v>
      </c>
      <c r="B30" s="196">
        <f t="shared" si="0"/>
        <v>2146.3273661210983</v>
      </c>
      <c r="C30" s="196">
        <f t="shared" si="1"/>
        <v>27.964675939293802</v>
      </c>
    </row>
    <row r="31" spans="1:29">
      <c r="A31" s="25">
        <f t="shared" si="2"/>
        <v>1.8000000009999997</v>
      </c>
      <c r="B31" s="196">
        <f t="shared" si="0"/>
        <v>2177.5706052481737</v>
      </c>
      <c r="C31" s="196">
        <f t="shared" si="1"/>
        <v>14.994903446581679</v>
      </c>
    </row>
    <row r="32" spans="1:29">
      <c r="A32" s="25">
        <f t="shared" si="2"/>
        <v>2.0000000009999996</v>
      </c>
      <c r="B32" s="196">
        <f t="shared" si="0"/>
        <v>2195.2635401565044</v>
      </c>
      <c r="C32" s="196">
        <f t="shared" si="1"/>
        <v>7.1869563206919729</v>
      </c>
    </row>
    <row r="33" spans="1:36" ht="17.25" customHeight="1">
      <c r="A33" s="28"/>
      <c r="B33" s="58"/>
      <c r="C33" s="58"/>
    </row>
    <row r="35" spans="1:36" ht="18">
      <c r="A35" s="308" t="s">
        <v>767</v>
      </c>
      <c r="B35" s="24" t="s">
        <v>1418</v>
      </c>
      <c r="C35" s="24"/>
      <c r="D35" s="407" t="s">
        <v>1</v>
      </c>
      <c r="E35" s="582">
        <f>HC_P!F38</f>
        <v>9.1853099630036485</v>
      </c>
      <c r="F35" s="583" t="s">
        <v>2</v>
      </c>
      <c r="W35" s="82"/>
    </row>
    <row r="36" spans="1:36" ht="18">
      <c r="A36" s="308" t="s">
        <v>767</v>
      </c>
      <c r="B36" s="24" t="s">
        <v>1034</v>
      </c>
      <c r="C36" s="24"/>
      <c r="D36" s="407" t="s">
        <v>1</v>
      </c>
      <c r="E36" s="582">
        <f>HC_P!H38</f>
        <v>11.659290477508057</v>
      </c>
      <c r="F36" s="583" t="s">
        <v>2</v>
      </c>
      <c r="W36" s="82"/>
    </row>
    <row r="37" spans="1:36">
      <c r="A37" s="112" t="s">
        <v>870</v>
      </c>
      <c r="B37" s="11"/>
      <c r="C37" s="11"/>
      <c r="D37" s="296" t="s">
        <v>1</v>
      </c>
      <c r="E37" s="555">
        <f>HC_P!F33</f>
        <v>0.82</v>
      </c>
      <c r="F37" s="27"/>
      <c r="W37" s="82"/>
    </row>
    <row r="38" spans="1:36">
      <c r="A38" s="28"/>
      <c r="B38" s="15"/>
      <c r="C38" s="15"/>
      <c r="D38" s="15"/>
      <c r="E38" s="15"/>
      <c r="F38" s="22"/>
      <c r="W38" s="82"/>
    </row>
    <row r="39" spans="1:36">
      <c r="W39" s="82"/>
    </row>
    <row r="40" spans="1:36">
      <c r="W40" s="82"/>
    </row>
    <row r="41" spans="1:36">
      <c r="A41" s="502" t="s">
        <v>780</v>
      </c>
      <c r="B41" s="543"/>
      <c r="C41" s="11"/>
      <c r="D41" s="11"/>
      <c r="E41" s="11"/>
      <c r="F41" s="536"/>
      <c r="G41" s="544"/>
      <c r="H41" s="545"/>
      <c r="I41" s="11"/>
      <c r="Y41" s="8"/>
      <c r="Z41" s="8"/>
      <c r="AA41" s="8"/>
      <c r="AI41" s="8"/>
      <c r="AJ41" s="8"/>
    </row>
    <row r="42" spans="1:36" ht="15" customHeight="1">
      <c r="A42" s="308" t="s">
        <v>596</v>
      </c>
      <c r="B42" s="1697" t="s">
        <v>783</v>
      </c>
      <c r="C42" s="1698"/>
      <c r="D42" s="1698"/>
      <c r="E42" s="1705" t="s">
        <v>790</v>
      </c>
      <c r="F42" s="1706"/>
      <c r="G42" s="1707" t="s">
        <v>791</v>
      </c>
      <c r="H42" s="1708"/>
      <c r="I42" s="1709" t="s">
        <v>1838</v>
      </c>
      <c r="J42" s="1687" t="s">
        <v>795</v>
      </c>
      <c r="K42" s="1688"/>
      <c r="Y42" s="8"/>
      <c r="Z42" s="8"/>
      <c r="AA42" s="8"/>
      <c r="AI42" s="8"/>
      <c r="AJ42" s="8"/>
    </row>
    <row r="43" spans="1:36" ht="15" customHeight="1">
      <c r="A43" s="112"/>
      <c r="B43" s="1632" t="s">
        <v>784</v>
      </c>
      <c r="C43" s="1633"/>
      <c r="D43" s="1699" t="s">
        <v>785</v>
      </c>
      <c r="E43" s="1701" t="s">
        <v>789</v>
      </c>
      <c r="F43" s="1702"/>
      <c r="G43" s="1693" t="s">
        <v>792</v>
      </c>
      <c r="H43" s="1694"/>
      <c r="I43" s="1709"/>
      <c r="J43" s="1689"/>
      <c r="K43" s="1690"/>
      <c r="Y43" s="8"/>
      <c r="Z43" s="8"/>
      <c r="AA43" s="8"/>
      <c r="AI43" s="8"/>
      <c r="AJ43" s="8"/>
    </row>
    <row r="44" spans="1:36" ht="33" customHeight="1">
      <c r="A44" s="112"/>
      <c r="B44" s="558" t="s">
        <v>420</v>
      </c>
      <c r="C44" s="559" t="s">
        <v>425</v>
      </c>
      <c r="D44" s="1700"/>
      <c r="E44" s="1703"/>
      <c r="F44" s="1704"/>
      <c r="G44" s="564" t="s">
        <v>798</v>
      </c>
      <c r="H44" s="1398" t="s">
        <v>799</v>
      </c>
      <c r="I44" s="1709"/>
      <c r="J44" s="1689"/>
      <c r="K44" s="1690"/>
      <c r="Y44" s="8"/>
      <c r="Z44" s="8"/>
      <c r="AA44" s="8"/>
      <c r="AI44" s="8"/>
      <c r="AJ44" s="8"/>
    </row>
    <row r="45" spans="1:36">
      <c r="A45" s="113"/>
      <c r="B45" s="560" t="s">
        <v>34</v>
      </c>
      <c r="C45" s="560" t="s">
        <v>34</v>
      </c>
      <c r="D45" s="561" t="s">
        <v>34</v>
      </c>
      <c r="E45" s="1710" t="s">
        <v>77</v>
      </c>
      <c r="F45" s="1711"/>
      <c r="G45" s="1710" t="s">
        <v>77</v>
      </c>
      <c r="H45" s="1711"/>
      <c r="I45" s="1324"/>
      <c r="J45" s="1691"/>
      <c r="K45" s="1692"/>
      <c r="Y45" s="8"/>
      <c r="Z45" s="8"/>
      <c r="AA45" s="8"/>
      <c r="AI45" s="8"/>
      <c r="AJ45" s="8"/>
    </row>
    <row r="46" spans="1:36">
      <c r="A46" s="11" t="str">
        <f>U_DF_PC!A8</f>
        <v>LC-1</v>
      </c>
      <c r="B46" s="142">
        <f>U_DF_PC!P8</f>
        <v>195.69884293538564</v>
      </c>
      <c r="C46" s="142">
        <f>U_DF_PC!Q8</f>
        <v>125.13000312057085</v>
      </c>
      <c r="D46" s="142">
        <f>U_DF_PC!R8</f>
        <v>3.6582500000000002</v>
      </c>
      <c r="E46" s="143">
        <f>D46*$E$35/2*$E$37</f>
        <v>13.77688567058482</v>
      </c>
      <c r="F46" s="141"/>
      <c r="G46" s="566">
        <v>270.87605891722075</v>
      </c>
      <c r="H46" s="565">
        <v>252.78116989210133</v>
      </c>
      <c r="I46" s="79">
        <v>5.4501233918908716E-2</v>
      </c>
      <c r="J46" s="556" t="s">
        <v>1954</v>
      </c>
      <c r="K46" s="557"/>
      <c r="Y46" s="8"/>
      <c r="Z46" s="8"/>
      <c r="AA46" s="8"/>
      <c r="AI46" s="8"/>
      <c r="AJ46" s="8"/>
    </row>
    <row r="47" spans="1:36">
      <c r="A47" s="11" t="str">
        <f>U_DF_PC!A9</f>
        <v>LC-2</v>
      </c>
      <c r="B47" s="142">
        <f>U_DF_PC!P9</f>
        <v>232.16708450945976</v>
      </c>
      <c r="C47" s="142">
        <f>U_DF_PC!Q9</f>
        <v>217.60409487983014</v>
      </c>
      <c r="D47" s="142">
        <f>U_DF_PC!R9</f>
        <v>1.4633000000000003</v>
      </c>
      <c r="E47" s="143">
        <f>D47*$E$35/2*$E$37</f>
        <v>5.5107542682339288</v>
      </c>
      <c r="F47" s="141"/>
      <c r="G47" s="566">
        <v>280.22705272632658</v>
      </c>
      <c r="H47" s="565">
        <v>276.49288787518799</v>
      </c>
      <c r="I47" s="79">
        <v>1.9930907845707575E-2</v>
      </c>
      <c r="J47" s="556" t="s">
        <v>1954</v>
      </c>
      <c r="K47" s="557"/>
      <c r="Y47" s="8"/>
      <c r="Z47" s="8"/>
      <c r="AA47" s="8"/>
      <c r="AI47" s="8"/>
      <c r="AJ47" s="8"/>
    </row>
    <row r="48" spans="1:36">
      <c r="A48" s="11" t="str">
        <f>U_DF_PC!A10</f>
        <v>LC-3</v>
      </c>
      <c r="B48" s="142">
        <f>U_DF_PC!P10</f>
        <v>300.34479262552583</v>
      </c>
      <c r="C48" s="142">
        <f>U_DF_PC!Q10</f>
        <v>219.59924390662121</v>
      </c>
      <c r="D48" s="142">
        <f>U_DF_PC!R10</f>
        <v>8.0128194285714294</v>
      </c>
      <c r="E48" s="143">
        <f>D48*$E$35/2*$E$37</f>
        <v>30.176094352892601</v>
      </c>
      <c r="F48" s="141"/>
      <c r="G48" s="566">
        <v>297.70882039580454</v>
      </c>
      <c r="H48" s="565">
        <v>277.00447344642731</v>
      </c>
      <c r="I48" s="79">
        <v>0.10893720948780511</v>
      </c>
      <c r="J48" s="556" t="s">
        <v>1954</v>
      </c>
      <c r="K48" s="557"/>
      <c r="Y48" s="8"/>
      <c r="Z48" s="8"/>
      <c r="AA48" s="8"/>
      <c r="AI48" s="8"/>
      <c r="AJ48" s="8"/>
    </row>
    <row r="49" spans="1:36">
      <c r="A49" s="11" t="str">
        <f>U_DF_PC!A11</f>
        <v>LC-4</v>
      </c>
      <c r="B49" s="142">
        <f>U_DF_PC!P11</f>
        <v>302.8568882773169</v>
      </c>
      <c r="C49" s="142">
        <f>U_DF_PC!Q11</f>
        <v>210.86403396911581</v>
      </c>
      <c r="D49" s="142">
        <f>U_DF_PC!R11</f>
        <v>7.4995564285714282</v>
      </c>
      <c r="E49" s="143">
        <f>D49*$E$35/2*$E$37</f>
        <v>28.243157656400729</v>
      </c>
      <c r="F49" s="141"/>
      <c r="G49" s="566">
        <v>298.35295868912112</v>
      </c>
      <c r="H49" s="565">
        <v>274.76463707041398</v>
      </c>
      <c r="I49" s="79">
        <v>0.1027903661749705</v>
      </c>
      <c r="J49" s="556" t="s">
        <v>1954</v>
      </c>
      <c r="K49" s="557"/>
      <c r="Y49" s="8"/>
      <c r="Z49" s="8"/>
      <c r="AA49" s="8"/>
      <c r="AI49" s="8"/>
      <c r="AJ49" s="8"/>
    </row>
    <row r="50" spans="1:36">
      <c r="A50" s="11"/>
      <c r="B50" s="142"/>
      <c r="C50" s="142"/>
      <c r="D50" s="142"/>
      <c r="E50" s="143"/>
      <c r="F50" s="141"/>
      <c r="G50" s="566"/>
      <c r="H50" s="565"/>
      <c r="I50" s="79"/>
      <c r="J50" s="556"/>
      <c r="K50" s="557"/>
      <c r="Y50" s="8"/>
      <c r="Z50" s="8"/>
      <c r="AA50" s="8"/>
      <c r="AI50" s="8"/>
      <c r="AJ50" s="8"/>
    </row>
    <row r="51" spans="1:36">
      <c r="A51" s="11" t="str">
        <f>U_DF_PC!A13</f>
        <v>LC-5</v>
      </c>
      <c r="B51" s="142">
        <f>U_DF_PC!P13</f>
        <v>143.29581755158881</v>
      </c>
      <c r="C51" s="142">
        <f>U_DF_PC!Q13</f>
        <v>88.166537551588817</v>
      </c>
      <c r="D51" s="142">
        <f>U_DF_PC!R13</f>
        <v>3.1704833333333333</v>
      </c>
      <c r="E51" s="143">
        <f>D51*$E$35/2*$E$37</f>
        <v>11.93996758117351</v>
      </c>
      <c r="F51" s="141"/>
      <c r="G51" s="566">
        <v>257.43915204176926</v>
      </c>
      <c r="H51" s="565">
        <v>243.30319336294579</v>
      </c>
      <c r="I51" s="79">
        <v>4.9074438424497574E-2</v>
      </c>
      <c r="J51" s="556" t="s">
        <v>1954</v>
      </c>
      <c r="K51" s="557"/>
      <c r="Y51" s="8"/>
      <c r="Z51" s="8"/>
      <c r="AA51" s="8"/>
      <c r="AI51" s="8"/>
      <c r="AJ51" s="8"/>
    </row>
    <row r="52" spans="1:36">
      <c r="A52" s="11" t="str">
        <f>U_DF_PC!A14</f>
        <v>LC-6</v>
      </c>
      <c r="B52" s="142">
        <f>U_DF_PC!P14</f>
        <v>170.34153355158881</v>
      </c>
      <c r="C52" s="142">
        <f>U_DF_PC!Q14</f>
        <v>158.67415488492216</v>
      </c>
      <c r="D52" s="142">
        <f>U_DF_PC!R14</f>
        <v>1.2681933333333337</v>
      </c>
      <c r="E52" s="143">
        <f>D52*$E$35/2*$E$37</f>
        <v>4.7759870324694056</v>
      </c>
      <c r="F52" s="141"/>
      <c r="G52" s="566">
        <v>264.37407163105456</v>
      </c>
      <c r="H52" s="565">
        <v>261.38238404285852</v>
      </c>
      <c r="I52" s="79">
        <v>1.8272031032077102E-2</v>
      </c>
      <c r="J52" s="556" t="s">
        <v>1954</v>
      </c>
      <c r="K52" s="557"/>
      <c r="Y52" s="8"/>
      <c r="Z52" s="8"/>
      <c r="AA52" s="8"/>
      <c r="AI52" s="8"/>
      <c r="AJ52" s="8"/>
    </row>
    <row r="53" spans="1:36">
      <c r="A53" s="11" t="str">
        <f>U_DF_PC!A15</f>
        <v>LC-7</v>
      </c>
      <c r="B53" s="142">
        <f>U_DF_PC!P15</f>
        <v>229.42888058551276</v>
      </c>
      <c r="C53" s="142">
        <f>U_DF_PC!Q15</f>
        <v>160.40328404147439</v>
      </c>
      <c r="D53" s="142">
        <f>U_DF_PC!R15</f>
        <v>6.9444435047619057</v>
      </c>
      <c r="E53" s="143">
        <f>D53*$E$35/2*$E$37</f>
        <v>26.152615105840258</v>
      </c>
      <c r="F53" s="141"/>
      <c r="G53" s="566">
        <v>279.52493694460213</v>
      </c>
      <c r="H53" s="565">
        <v>261.82575820459925</v>
      </c>
      <c r="I53" s="79">
        <v>9.9885570026321646E-2</v>
      </c>
      <c r="J53" s="556" t="s">
        <v>1954</v>
      </c>
      <c r="K53" s="557"/>
      <c r="Y53" s="8"/>
      <c r="Z53" s="8"/>
      <c r="AA53" s="8"/>
      <c r="AI53" s="8"/>
      <c r="AJ53" s="8"/>
    </row>
    <row r="54" spans="1:36">
      <c r="A54" s="11" t="str">
        <f>U_DF_PC!A16</f>
        <v>LC-8</v>
      </c>
      <c r="B54" s="142">
        <f>U_DF_PC!P16</f>
        <v>231.60603015039831</v>
      </c>
      <c r="C54" s="142">
        <f>U_DF_PC!Q16</f>
        <v>152.83276876230312</v>
      </c>
      <c r="D54" s="142">
        <f>U_DF_PC!R16</f>
        <v>6.4996155714285715</v>
      </c>
      <c r="E54" s="143">
        <f>D54*$E$35/2*$E$37</f>
        <v>24.477403302213968</v>
      </c>
      <c r="F54" s="141"/>
      <c r="G54" s="566">
        <v>280.08319013214316</v>
      </c>
      <c r="H54" s="565">
        <v>259.88456667872106</v>
      </c>
      <c r="I54" s="79">
        <v>9.4185674874929542E-2</v>
      </c>
      <c r="J54" s="556" t="s">
        <v>1954</v>
      </c>
      <c r="K54" s="557"/>
      <c r="Y54" s="8"/>
      <c r="Z54" s="8"/>
      <c r="AA54" s="8"/>
      <c r="AI54" s="8"/>
      <c r="AJ54" s="8"/>
    </row>
    <row r="55" spans="1:36" ht="15.75" customHeight="1">
      <c r="A55" s="11"/>
      <c r="B55" s="142"/>
      <c r="C55" s="142"/>
      <c r="D55" s="142"/>
      <c r="E55" s="143"/>
      <c r="F55" s="141"/>
      <c r="G55" s="566"/>
      <c r="H55" s="565"/>
      <c r="I55" s="79"/>
      <c r="J55" s="556"/>
      <c r="K55" s="557"/>
      <c r="Y55" s="8"/>
      <c r="Z55" s="8"/>
      <c r="AA55" s="8"/>
      <c r="AI55" s="8"/>
      <c r="AJ55" s="8"/>
    </row>
    <row r="56" spans="1:36">
      <c r="A56" s="11" t="str">
        <f>U_DF_PC!A18</f>
        <v>LC-9</v>
      </c>
      <c r="B56" s="142">
        <f>U_DF_PC!P18</f>
        <v>257.17338905386379</v>
      </c>
      <c r="C56" s="142">
        <f>U_DF_PC!Q18</f>
        <v>57.190317722240977</v>
      </c>
      <c r="D56" s="142">
        <f>U_DF_PC!R18</f>
        <v>17.257523407246346</v>
      </c>
      <c r="E56" s="143">
        <f>D56*$E$35/2*$E$37</f>
        <v>64.9914376926329</v>
      </c>
      <c r="F56" s="141"/>
      <c r="G56" s="566">
        <v>286.63903720625763</v>
      </c>
      <c r="H56" s="565">
        <v>235.36043475021202</v>
      </c>
      <c r="I56" s="79">
        <v>0.27613578196185906</v>
      </c>
      <c r="J56" s="556" t="s">
        <v>1954</v>
      </c>
      <c r="K56" s="557"/>
      <c r="Y56" s="8"/>
      <c r="Z56" s="8"/>
      <c r="AA56" s="8"/>
      <c r="AI56" s="8"/>
      <c r="AJ56" s="8"/>
    </row>
    <row r="57" spans="1:36">
      <c r="A57" s="11" t="str">
        <f>U_DF_PC!A19</f>
        <v>LC-10</v>
      </c>
      <c r="B57" s="142">
        <f>U_DF_PC!P19</f>
        <v>233.00781812605325</v>
      </c>
      <c r="C57" s="142">
        <f>U_DF_PC!Q19</f>
        <v>81.355888650051526</v>
      </c>
      <c r="D57" s="142">
        <f>U_DF_PC!R19</f>
        <v>11.264023470864549</v>
      </c>
      <c r="E57" s="143">
        <f>D57*$E$35/2*$E$37</f>
        <v>42.42005427428002</v>
      </c>
      <c r="F57" s="141"/>
      <c r="G57" s="566">
        <v>280.44262919792322</v>
      </c>
      <c r="H57" s="565">
        <v>241.5568427585464</v>
      </c>
      <c r="I57" s="79">
        <v>0.17561106441800095</v>
      </c>
      <c r="J57" s="556" t="s">
        <v>1954</v>
      </c>
      <c r="K57" s="557"/>
      <c r="Y57" s="8"/>
      <c r="Z57" s="8"/>
      <c r="AA57" s="8"/>
      <c r="AI57" s="8"/>
      <c r="AJ57" s="8"/>
    </row>
    <row r="58" spans="1:36">
      <c r="A58" s="11" t="str">
        <f>U_DF_PC!A20</f>
        <v>LC-11</v>
      </c>
      <c r="B58" s="142">
        <f>U_DF_PC!P20</f>
        <v>261.51470991704883</v>
      </c>
      <c r="C58" s="142">
        <f>U_DF_PC!Q20</f>
        <v>60.269942085426052</v>
      </c>
      <c r="D58" s="142">
        <f>U_DF_PC!R20</f>
        <v>17.257523407246346</v>
      </c>
      <c r="E58" s="143">
        <f>D58*$E$35/2*$E$37</f>
        <v>64.9914376926329</v>
      </c>
      <c r="F58" s="141"/>
      <c r="G58" s="566">
        <v>287.75221576279773</v>
      </c>
      <c r="H58" s="565">
        <v>236.15009575692716</v>
      </c>
      <c r="I58" s="79">
        <v>0.27521241303890709</v>
      </c>
      <c r="J58" s="556" t="s">
        <v>1954</v>
      </c>
      <c r="K58" s="557"/>
      <c r="Y58" s="8"/>
      <c r="Z58" s="8"/>
      <c r="AA58" s="8"/>
      <c r="AI58" s="8"/>
      <c r="AJ58" s="8"/>
    </row>
    <row r="59" spans="1:36">
      <c r="A59" s="11" t="str">
        <f>U_DF_PC!A21</f>
        <v>LC-12</v>
      </c>
      <c r="B59" s="142">
        <f>U_DF_PC!P21</f>
        <v>237.3491389892383</v>
      </c>
      <c r="C59" s="142">
        <f>U_DF_PC!Q21</f>
        <v>84.435513013236601</v>
      </c>
      <c r="D59" s="142">
        <f>U_DF_PC!R21</f>
        <v>11.264023470864549</v>
      </c>
      <c r="E59" s="143">
        <f>D59*$E$35/2*$E$37</f>
        <v>42.42005427428002</v>
      </c>
      <c r="F59" s="141"/>
      <c r="G59" s="566">
        <v>281.55580775446339</v>
      </c>
      <c r="H59" s="565">
        <v>242.34650376526156</v>
      </c>
      <c r="I59" s="79">
        <v>0.17503885393522478</v>
      </c>
      <c r="J59" s="556" t="s">
        <v>1954</v>
      </c>
      <c r="K59" s="557"/>
      <c r="Y59" s="8"/>
      <c r="Z59" s="8"/>
      <c r="AA59" s="8"/>
      <c r="AI59" s="8"/>
      <c r="AJ59" s="8"/>
    </row>
    <row r="60" spans="1:36">
      <c r="A60" s="11"/>
      <c r="B60" s="142"/>
      <c r="C60" s="142"/>
      <c r="D60" s="142"/>
      <c r="E60" s="143"/>
      <c r="F60" s="141"/>
      <c r="G60" s="566"/>
      <c r="H60" s="565"/>
      <c r="I60" s="79"/>
      <c r="J60" s="556"/>
      <c r="K60" s="557"/>
      <c r="Y60" s="8"/>
      <c r="Z60" s="8"/>
      <c r="AA60" s="8"/>
      <c r="AI60" s="8"/>
      <c r="AJ60" s="8"/>
    </row>
    <row r="61" spans="1:36">
      <c r="A61" s="11" t="str">
        <f>U_DF_PC!A23</f>
        <v>LC-13</v>
      </c>
      <c r="B61" s="142">
        <f>U_DF_PC!P23</f>
        <v>386.5855575230359</v>
      </c>
      <c r="C61" s="142">
        <f>U_DF_PC!Q23</f>
        <v>51.0235846398839</v>
      </c>
      <c r="D61" s="142">
        <f>U_DF_PC!R23</f>
        <v>33.007446989275508</v>
      </c>
      <c r="E61" s="143">
        <f>D61*$E$35/2*$E$37</f>
        <v>124.30528899040191</v>
      </c>
      <c r="F61" s="141"/>
      <c r="G61" s="566">
        <v>319.82222164141001</v>
      </c>
      <c r="H61" s="565">
        <v>233.77919363776627</v>
      </c>
      <c r="I61" s="79">
        <v>0.53172092458753695</v>
      </c>
      <c r="J61" s="556" t="s">
        <v>1954</v>
      </c>
      <c r="K61" s="557"/>
      <c r="Y61" s="8"/>
      <c r="Z61" s="8"/>
      <c r="AA61" s="8"/>
      <c r="AI61" s="8"/>
      <c r="AJ61" s="8"/>
    </row>
    <row r="62" spans="1:36">
      <c r="A62" s="11" t="str">
        <f>U_DF_PC!A24</f>
        <v>LC-14</v>
      </c>
      <c r="B62" s="142">
        <f>U_DF_PC!P24</f>
        <v>369.83466990854021</v>
      </c>
      <c r="C62" s="142">
        <f>U_DF_PC!Q24</f>
        <v>67.774472254379631</v>
      </c>
      <c r="D62" s="142">
        <f>U_DF_PC!R24</f>
        <v>32.147035993521833</v>
      </c>
      <c r="E62" s="143">
        <f>D62*$E$35/2*$E$37</f>
        <v>121.06500089685652</v>
      </c>
      <c r="F62" s="141"/>
      <c r="G62" s="566">
        <v>315.52704754967272</v>
      </c>
      <c r="H62" s="565">
        <v>238.07436772950348</v>
      </c>
      <c r="I62" s="79">
        <v>0.50851757814771881</v>
      </c>
      <c r="J62" s="556" t="s">
        <v>1954</v>
      </c>
      <c r="K62" s="557"/>
      <c r="Y62" s="8"/>
      <c r="Z62" s="8"/>
      <c r="AA62" s="8"/>
      <c r="AI62" s="8"/>
      <c r="AJ62" s="8"/>
    </row>
    <row r="63" spans="1:36">
      <c r="A63" s="11" t="str">
        <f>U_DF_PC!A25</f>
        <v>LC-15</v>
      </c>
      <c r="B63" s="142">
        <f>U_DF_PC!P25</f>
        <v>398.74759474940601</v>
      </c>
      <c r="C63" s="142">
        <f>U_DF_PC!Q25</f>
        <v>63.185621866254003</v>
      </c>
      <c r="D63" s="142">
        <f>U_DF_PC!R25</f>
        <v>33.007446989275508</v>
      </c>
      <c r="E63" s="143">
        <f>D63*$E$35/2*$E$37</f>
        <v>124.30528899040191</v>
      </c>
      <c r="F63" s="141"/>
      <c r="G63" s="566">
        <v>322.94074696374832</v>
      </c>
      <c r="H63" s="565">
        <v>236.89771896010461</v>
      </c>
      <c r="I63" s="79">
        <v>0.52472134191944608</v>
      </c>
      <c r="J63" s="556" t="s">
        <v>1954</v>
      </c>
      <c r="K63" s="557"/>
      <c r="Y63" s="8"/>
      <c r="Z63" s="8"/>
      <c r="AA63" s="8"/>
      <c r="AI63" s="8"/>
      <c r="AJ63" s="8"/>
    </row>
    <row r="64" spans="1:36">
      <c r="A64" s="11" t="str">
        <f>U_DF_PC!A26</f>
        <v>LC-16</v>
      </c>
      <c r="B64" s="142">
        <f>U_DF_PC!P26</f>
        <v>381.99670713491031</v>
      </c>
      <c r="C64" s="142">
        <f>U_DF_PC!Q26</f>
        <v>79.936509480749734</v>
      </c>
      <c r="D64" s="142">
        <f>U_DF_PC!R26</f>
        <v>32.147035993521833</v>
      </c>
      <c r="E64" s="143">
        <f>D64*$E$35/2*$E$37</f>
        <v>121.06500089685652</v>
      </c>
      <c r="F64" s="141"/>
      <c r="G64" s="566">
        <v>318.64557287201109</v>
      </c>
      <c r="H64" s="565">
        <v>241.19289305184182</v>
      </c>
      <c r="I64" s="79">
        <v>0.501942654134651</v>
      </c>
      <c r="J64" s="556" t="s">
        <v>1954</v>
      </c>
      <c r="K64" s="557"/>
      <c r="Y64" s="8"/>
      <c r="Z64" s="8"/>
      <c r="AA64" s="8"/>
      <c r="AI64" s="8"/>
      <c r="AJ64" s="8"/>
    </row>
    <row r="65" spans="1:36">
      <c r="A65" s="11"/>
      <c r="B65" s="142"/>
      <c r="C65" s="142"/>
      <c r="D65" s="142"/>
      <c r="E65" s="143"/>
      <c r="F65" s="141"/>
      <c r="G65" s="566"/>
      <c r="H65" s="565"/>
      <c r="I65" s="79"/>
      <c r="J65" s="556"/>
      <c r="K65" s="557"/>
      <c r="Y65" s="8"/>
      <c r="Z65" s="8"/>
      <c r="AA65" s="8"/>
      <c r="AI65" s="8"/>
      <c r="AJ65" s="8"/>
    </row>
    <row r="66" spans="1:36">
      <c r="A66" s="11" t="str">
        <f>U_DF_PC!A28</f>
        <v>LC-17</v>
      </c>
      <c r="B66" s="142">
        <f>U_DF_PC!P28</f>
        <v>391.57424836490799</v>
      </c>
      <c r="C66" s="142">
        <f>U_DF_PC!Q28</f>
        <v>54.93655463610709</v>
      </c>
      <c r="D66" s="142">
        <f>U_DF_PC!R28</f>
        <v>32.932331480890589</v>
      </c>
      <c r="E66" s="143">
        <f>D66*$E$35/2*$E$37</f>
        <v>124.02240570710883</v>
      </c>
      <c r="F66" s="141"/>
      <c r="G66" s="566">
        <v>321.10139538723303</v>
      </c>
      <c r="H66" s="565">
        <v>234.78253672837232</v>
      </c>
      <c r="I66" s="79">
        <v>0.52824374178474121</v>
      </c>
      <c r="J66" s="556" t="s">
        <v>1954</v>
      </c>
      <c r="K66" s="557"/>
      <c r="Y66" s="8"/>
      <c r="Z66" s="8"/>
      <c r="AA66" s="8"/>
      <c r="AI66" s="8"/>
      <c r="AJ66" s="8"/>
    </row>
    <row r="67" spans="1:36">
      <c r="A67" s="11" t="str">
        <f>U_DF_PC!A29</f>
        <v>LC-18</v>
      </c>
      <c r="B67" s="142">
        <f>U_DF_PC!P29</f>
        <v>378.45899016416229</v>
      </c>
      <c r="C67" s="142">
        <f>U_DF_PC!Q29</f>
        <v>68.051812836852804</v>
      </c>
      <c r="D67" s="142">
        <f>U_DF_PC!R29</f>
        <v>33.168647984517385</v>
      </c>
      <c r="E67" s="143">
        <f>D67*$E$35/2*$E$37</f>
        <v>124.91236824453485</v>
      </c>
      <c r="F67" s="141"/>
      <c r="G67" s="566">
        <v>317.73845017938993</v>
      </c>
      <c r="H67" s="565">
        <v>238.14548193621545</v>
      </c>
      <c r="I67" s="79">
        <v>0.52452125998338783</v>
      </c>
      <c r="J67" s="556" t="s">
        <v>1954</v>
      </c>
      <c r="K67" s="557"/>
      <c r="Y67" s="8"/>
      <c r="Z67" s="8"/>
      <c r="AA67" s="8"/>
      <c r="AI67" s="8"/>
      <c r="AJ67" s="8"/>
    </row>
    <row r="68" spans="1:36">
      <c r="A68" s="11" t="str">
        <f>U_DF_PC!A30</f>
        <v>LC-19</v>
      </c>
      <c r="B68" s="142">
        <f>U_DF_PC!P30</f>
        <v>404.1706437186333</v>
      </c>
      <c r="C68" s="142">
        <f>U_DF_PC!Q30</f>
        <v>67.573673963693409</v>
      </c>
      <c r="D68" s="142">
        <f>U_DF_PC!R30</f>
        <v>32.932331480890589</v>
      </c>
      <c r="E68" s="143">
        <f>D68*$E$35/2*$E$37</f>
        <v>124.02240570710883</v>
      </c>
      <c r="F68" s="141"/>
      <c r="G68" s="566">
        <v>323.85409932348563</v>
      </c>
      <c r="H68" s="565">
        <v>238.02288009280809</v>
      </c>
      <c r="I68" s="79">
        <v>0.52105245369164066</v>
      </c>
      <c r="J68" s="556" t="s">
        <v>1954</v>
      </c>
      <c r="K68" s="557"/>
      <c r="Y68" s="8"/>
      <c r="Z68" s="8"/>
      <c r="AA68" s="8"/>
      <c r="AI68" s="8"/>
      <c r="AJ68" s="8"/>
    </row>
    <row r="69" spans="1:36">
      <c r="A69" s="11" t="str">
        <f>U_DF_PC!A31</f>
        <v>LC-20</v>
      </c>
      <c r="B69" s="142">
        <f>U_DF_PC!P31</f>
        <v>391.05538551788749</v>
      </c>
      <c r="C69" s="142">
        <f>U_DF_PC!Q31</f>
        <v>80.688932164439152</v>
      </c>
      <c r="D69" s="142">
        <f>U_DF_PC!R31</f>
        <v>33.168647984517385</v>
      </c>
      <c r="E69" s="143">
        <f>D69*$E$35/2*$E$37</f>
        <v>124.91236824453485</v>
      </c>
      <c r="F69" s="141"/>
      <c r="G69" s="566">
        <v>320.96835131763049</v>
      </c>
      <c r="H69" s="565">
        <v>241.38582530065122</v>
      </c>
      <c r="I69" s="79">
        <v>0.51748012994944426</v>
      </c>
      <c r="J69" s="556" t="s">
        <v>1954</v>
      </c>
      <c r="K69" s="557"/>
      <c r="Y69" s="8"/>
      <c r="Z69" s="8"/>
      <c r="AA69" s="8"/>
      <c r="AI69" s="8"/>
      <c r="AJ69" s="8"/>
    </row>
    <row r="70" spans="1:36">
      <c r="A70" s="11"/>
      <c r="B70" s="142"/>
      <c r="C70" s="142"/>
      <c r="D70" s="142"/>
      <c r="E70" s="143"/>
      <c r="F70" s="141"/>
      <c r="G70" s="566"/>
      <c r="H70" s="565"/>
      <c r="I70" s="79"/>
      <c r="J70" s="556"/>
      <c r="K70" s="557"/>
      <c r="Y70" s="8"/>
      <c r="Z70" s="8"/>
      <c r="AA70" s="8"/>
      <c r="AI70" s="8"/>
      <c r="AJ70" s="8"/>
    </row>
    <row r="71" spans="1:36">
      <c r="A71" s="11" t="str">
        <f>U_DF_PC!A33</f>
        <v>LC-21</v>
      </c>
      <c r="B71" s="142">
        <f>U_DF_PC!P33</f>
        <v>392.10525241589369</v>
      </c>
      <c r="C71" s="142">
        <f>U_DF_PC!Q33</f>
        <v>53.616127794264173</v>
      </c>
      <c r="D71" s="142">
        <f>U_DF_PC!R33</f>
        <v>32.923654009321858</v>
      </c>
      <c r="E71" s="143">
        <f>D71*$E$35/2*$E$37</f>
        <v>123.98972654802672</v>
      </c>
      <c r="F71" s="141"/>
      <c r="G71" s="566">
        <v>321.23755264020321</v>
      </c>
      <c r="H71" s="565">
        <v>234.44395985461847</v>
      </c>
      <c r="I71" s="79">
        <v>0.52886722534849795</v>
      </c>
      <c r="J71" s="556" t="s">
        <v>1954</v>
      </c>
      <c r="K71" s="557"/>
      <c r="Y71" s="8"/>
      <c r="Z71" s="8"/>
      <c r="AA71" s="8"/>
      <c r="AI71" s="8"/>
      <c r="AJ71" s="8"/>
    </row>
    <row r="72" spans="1:36">
      <c r="A72" s="11" t="str">
        <f>U_DF_PC!A34</f>
        <v>LC-22</v>
      </c>
      <c r="B72" s="142">
        <f>U_DF_PC!P34</f>
        <v>378.66757699767294</v>
      </c>
      <c r="C72" s="142">
        <f>U_DF_PC!Q34</f>
        <v>67.053803212484894</v>
      </c>
      <c r="D72" s="142">
        <f>U_DF_PC!R34</f>
        <v>33.072792675005822</v>
      </c>
      <c r="E72" s="143">
        <f t="shared" ref="E72:E74" si="3">D72*$E$35/2*$E$37</f>
        <v>124.55137934545488</v>
      </c>
      <c r="F72" s="141"/>
      <c r="G72" s="566">
        <v>317.79193491308229</v>
      </c>
      <c r="H72" s="565">
        <v>237.88957758173933</v>
      </c>
      <c r="I72" s="79">
        <v>0.52356803779122596</v>
      </c>
      <c r="J72" s="556" t="s">
        <v>1954</v>
      </c>
      <c r="K72" s="557"/>
      <c r="Y72" s="8"/>
      <c r="Z72" s="8"/>
      <c r="AA72" s="8"/>
      <c r="AI72" s="8"/>
      <c r="AJ72" s="8"/>
    </row>
    <row r="73" spans="1:36">
      <c r="A73" s="11" t="str">
        <f>U_DF_PC!A35</f>
        <v>LC-23</v>
      </c>
      <c r="B73" s="142">
        <f>U_DF_PC!P35</f>
        <v>404.77001499039233</v>
      </c>
      <c r="C73" s="142">
        <f>U_DF_PC!Q35</f>
        <v>66.104228339934295</v>
      </c>
      <c r="D73" s="142">
        <f>U_DF_PC!R35</f>
        <v>32.923654009321858</v>
      </c>
      <c r="E73" s="143">
        <f t="shared" si="3"/>
        <v>123.98972654802672</v>
      </c>
      <c r="F73" s="141"/>
      <c r="G73" s="566">
        <v>323.86096640313673</v>
      </c>
      <c r="H73" s="565">
        <v>237.6460926103988</v>
      </c>
      <c r="I73" s="79">
        <v>0.52174106961353528</v>
      </c>
      <c r="J73" s="556" t="s">
        <v>1954</v>
      </c>
      <c r="K73" s="557"/>
      <c r="Y73" s="8"/>
      <c r="Z73" s="8"/>
      <c r="AA73" s="8"/>
      <c r="AI73" s="8"/>
      <c r="AJ73" s="8"/>
    </row>
    <row r="74" spans="1:36">
      <c r="A74" s="11" t="str">
        <f>U_DF_PC!A36</f>
        <v>LC-24</v>
      </c>
      <c r="B74" s="142">
        <f>U_DF_PC!P36</f>
        <v>391.33233957217169</v>
      </c>
      <c r="C74" s="142">
        <f>U_DF_PC!Q36</f>
        <v>79.541903758154973</v>
      </c>
      <c r="D74" s="142">
        <f>U_DF_PC!R36</f>
        <v>33.072792675005822</v>
      </c>
      <c r="E74" s="143">
        <f t="shared" si="3"/>
        <v>124.55137934545488</v>
      </c>
      <c r="F74" s="141"/>
      <c r="G74" s="566">
        <v>321.03936641282661</v>
      </c>
      <c r="H74" s="565">
        <v>241.09171033751966</v>
      </c>
      <c r="I74" s="79">
        <v>0.51661410992143797</v>
      </c>
      <c r="J74" s="556" t="s">
        <v>1954</v>
      </c>
      <c r="K74" s="557"/>
    </row>
    <row r="75" spans="1:36">
      <c r="A75" s="11"/>
      <c r="B75" s="142"/>
      <c r="C75" s="142"/>
      <c r="D75" s="142"/>
      <c r="E75" s="143"/>
      <c r="F75" s="141"/>
      <c r="G75" s="566"/>
      <c r="H75" s="565"/>
      <c r="I75" s="79"/>
      <c r="J75" s="556"/>
      <c r="K75" s="557"/>
    </row>
    <row r="76" spans="1:36">
      <c r="A76" s="11" t="str">
        <f>U_DF_PC!A38</f>
        <v>LC-25</v>
      </c>
      <c r="B76" s="142">
        <f>U_DF_PC!P38</f>
        <v>184.13019023804932</v>
      </c>
      <c r="C76" s="142">
        <f>U_DF_PC!Q38</f>
        <v>112.27835549442354</v>
      </c>
      <c r="D76" s="142">
        <f>U_DF_PC!R38</f>
        <v>4.2470287759288423</v>
      </c>
      <c r="E76" s="143">
        <f>D76*$E$36/2*$E$37</f>
        <v>20.302110287604837</v>
      </c>
      <c r="F76" s="141"/>
      <c r="G76" s="566">
        <v>267.90968612042008</v>
      </c>
      <c r="H76" s="565">
        <v>249.48581831489921</v>
      </c>
      <c r="I76" s="79">
        <v>8.1375808952714332E-2</v>
      </c>
      <c r="J76" s="556" t="s">
        <v>1954</v>
      </c>
      <c r="K76" s="557"/>
    </row>
    <row r="77" spans="1:36">
      <c r="A77" s="11" t="str">
        <f>U_DF_PC!A39</f>
        <v>LC-26</v>
      </c>
      <c r="B77" s="142">
        <f>U_DF_PC!P39</f>
        <v>222.35835773804931</v>
      </c>
      <c r="C77" s="142">
        <f>U_DF_PC!Q39</f>
        <v>205.74718799442357</v>
      </c>
      <c r="D77" s="142">
        <f>U_DF_PC!R39</f>
        <v>2.0956574025540289</v>
      </c>
      <c r="E77" s="143">
        <f>D77*$E$36/2*$E$37</f>
        <v>10.017890143064157</v>
      </c>
      <c r="F77" s="141"/>
      <c r="G77" s="566">
        <v>277.7119508361418</v>
      </c>
      <c r="H77" s="565">
        <v>273.45260246259483</v>
      </c>
      <c r="I77" s="79">
        <v>3.6634831970321032E-2</v>
      </c>
      <c r="J77" s="556" t="s">
        <v>1954</v>
      </c>
      <c r="K77" s="557"/>
    </row>
    <row r="78" spans="1:36">
      <c r="A78" s="11" t="str">
        <f>U_DF_PC!A40</f>
        <v>LC-27</v>
      </c>
      <c r="B78" s="142">
        <f>U_DF_PC!P40</f>
        <v>289.79582120498969</v>
      </c>
      <c r="C78" s="142">
        <f>U_DF_PC!Q40</f>
        <v>208.48258167034038</v>
      </c>
      <c r="D78" s="142">
        <f>U_DF_PC!R40</f>
        <v>8.5807281641928697</v>
      </c>
      <c r="E78" s="143">
        <f>D78*$E$36/2*$E$37</f>
        <v>41.018532891692232</v>
      </c>
      <c r="F78" s="141"/>
      <c r="G78" s="566">
        <v>295.00390888408538</v>
      </c>
      <c r="H78" s="565">
        <v>274.15399765536847</v>
      </c>
      <c r="I78" s="79">
        <v>0.14961858387071747</v>
      </c>
      <c r="J78" s="556" t="s">
        <v>1954</v>
      </c>
      <c r="K78" s="557"/>
    </row>
    <row r="79" spans="1:36">
      <c r="A79" s="11" t="str">
        <f>U_DF_PC!A41</f>
        <v>LC-28</v>
      </c>
      <c r="B79" s="142">
        <f>U_DF_PC!P41</f>
        <v>292.30791685678071</v>
      </c>
      <c r="C79" s="142">
        <f>U_DF_PC!Q41</f>
        <v>199.74737173283501</v>
      </c>
      <c r="D79" s="142">
        <f>U_DF_PC!R41</f>
        <v>8.0687568681290518</v>
      </c>
      <c r="E79" s="143">
        <f>D79*$E$36/2*$E$37</f>
        <v>38.571151848340953</v>
      </c>
      <c r="F79" s="141"/>
      <c r="G79" s="566">
        <v>295.64804717740191</v>
      </c>
      <c r="H79" s="565">
        <v>271.9141612793552</v>
      </c>
      <c r="I79" s="79">
        <v>0.14185047099740528</v>
      </c>
      <c r="J79" s="556" t="s">
        <v>1954</v>
      </c>
      <c r="K79" s="557"/>
    </row>
    <row r="80" spans="1:36">
      <c r="A80" s="11"/>
      <c r="B80" s="142"/>
      <c r="C80" s="142"/>
      <c r="D80" s="142"/>
      <c r="E80" s="143"/>
      <c r="F80" s="141"/>
      <c r="G80" s="566"/>
      <c r="H80" s="565"/>
      <c r="I80" s="79"/>
      <c r="J80" s="556"/>
      <c r="K80" s="557"/>
    </row>
    <row r="81" spans="1:11">
      <c r="A81" s="11" t="str">
        <f>U_DF_PC!A43</f>
        <v>LC-29</v>
      </c>
      <c r="B81" s="142">
        <f>U_DF_PC!P43</f>
        <v>135.62436733445301</v>
      </c>
      <c r="C81" s="142">
        <f>U_DF_PC!Q43</f>
        <v>78.446907220456865</v>
      </c>
      <c r="D81" s="142">
        <f>U_DF_PC!R43</f>
        <v>3.7646007571665767</v>
      </c>
      <c r="E81" s="143">
        <f>D81*$E$36/2*$E$37</f>
        <v>17.995955241457274</v>
      </c>
      <c r="F81" s="141"/>
      <c r="G81" s="566">
        <v>255.47207931243048</v>
      </c>
      <c r="H81" s="565">
        <v>240.81093711119863</v>
      </c>
      <c r="I81" s="79">
        <v>7.4730639136823471E-2</v>
      </c>
      <c r="J81" s="556" t="s">
        <v>1954</v>
      </c>
      <c r="K81" s="557"/>
    </row>
    <row r="82" spans="1:11">
      <c r="A82" s="11" t="str">
        <f>U_DF_PC!A44</f>
        <v>LC-30</v>
      </c>
      <c r="B82" s="142">
        <f>U_DF_PC!P44</f>
        <v>162.67008333445298</v>
      </c>
      <c r="C82" s="142">
        <f>U_DF_PC!Q44</f>
        <v>148.95452455379021</v>
      </c>
      <c r="D82" s="142">
        <f>U_DF_PC!R44</f>
        <v>1.9092315110351186</v>
      </c>
      <c r="E82" s="143">
        <f>D82*$E$36/2*$E$37</f>
        <v>9.1267167581477295</v>
      </c>
      <c r="F82" s="141"/>
      <c r="G82" s="566">
        <v>262.40699890171578</v>
      </c>
      <c r="H82" s="565">
        <v>258.89012779111135</v>
      </c>
      <c r="I82" s="79">
        <v>3.525324366756747E-2</v>
      </c>
      <c r="J82" s="556" t="s">
        <v>1954</v>
      </c>
      <c r="K82" s="557"/>
    </row>
    <row r="83" spans="1:11">
      <c r="A83" s="11" t="str">
        <f>U_DF_PC!A45</f>
        <v>LC-31</v>
      </c>
      <c r="B83" s="142">
        <f>U_DF_PC!P45</f>
        <v>221.01718571925119</v>
      </c>
      <c r="C83" s="142">
        <f>U_DF_PC!Q45</f>
        <v>151.42389835946818</v>
      </c>
      <c r="D83" s="142">
        <f>U_DF_PC!R45</f>
        <v>7.515239325551522</v>
      </c>
      <c r="E83" s="143">
        <f>D83*$E$36/2*$E$37</f>
        <v>35.92516690488474</v>
      </c>
      <c r="F83" s="141"/>
      <c r="G83" s="566">
        <v>277.36805459372897</v>
      </c>
      <c r="H83" s="565">
        <v>259.52331157438641</v>
      </c>
      <c r="I83" s="79">
        <v>0.13842751422577934</v>
      </c>
      <c r="J83" s="556" t="s">
        <v>1954</v>
      </c>
      <c r="K83" s="557"/>
    </row>
    <row r="84" spans="1:11">
      <c r="A84" s="11" t="str">
        <f>U_DF_PC!A46</f>
        <v>LC-32</v>
      </c>
      <c r="B84" s="142">
        <f>U_DF_PC!P46</f>
        <v>223.1943352841368</v>
      </c>
      <c r="C84" s="142">
        <f>U_DF_PC!Q46</f>
        <v>143.85338308029685</v>
      </c>
      <c r="D84" s="142">
        <f>U_DF_PC!R46</f>
        <v>7.071870324940817</v>
      </c>
      <c r="E84" s="143">
        <f>D84*$E$36/2*$E$37</f>
        <v>33.80572603847925</v>
      </c>
      <c r="F84" s="141"/>
      <c r="G84" s="566">
        <v>277.92630778127</v>
      </c>
      <c r="H84" s="565">
        <v>257.58212004850822</v>
      </c>
      <c r="I84" s="79">
        <v>0.13124251804478088</v>
      </c>
      <c r="J84" s="556" t="s">
        <v>1954</v>
      </c>
      <c r="K84" s="557"/>
    </row>
    <row r="85" spans="1:11">
      <c r="A85" s="11"/>
      <c r="B85" s="142"/>
      <c r="C85" s="142"/>
      <c r="D85" s="142"/>
      <c r="E85" s="143"/>
      <c r="F85" s="141"/>
      <c r="G85" s="566"/>
      <c r="H85" s="565"/>
      <c r="I85" s="79"/>
      <c r="J85" s="556"/>
      <c r="K85" s="557"/>
    </row>
    <row r="86" spans="1:11">
      <c r="A86" s="11" t="str">
        <f>U_DF_PC!A48</f>
        <v>LC-33</v>
      </c>
      <c r="B86" s="142">
        <f>U_DF_PC!P48</f>
        <v>268.01308569357661</v>
      </c>
      <c r="C86" s="142">
        <f>U_DF_PC!Q48</f>
        <v>39.555262915829623</v>
      </c>
      <c r="D86" s="142">
        <f>U_DF_PC!R48</f>
        <v>25.62280095275813</v>
      </c>
      <c r="E86" s="143">
        <f>D86*$E$36/2*$E$37</f>
        <v>122.48490845378666</v>
      </c>
      <c r="F86" s="141"/>
      <c r="G86" s="566">
        <v>289.41849494250886</v>
      </c>
      <c r="H86" s="565">
        <v>230.83854717899362</v>
      </c>
      <c r="I86" s="79">
        <v>0.53060855715233346</v>
      </c>
      <c r="J86" s="556" t="s">
        <v>1954</v>
      </c>
      <c r="K86" s="557"/>
    </row>
    <row r="87" spans="1:11">
      <c r="A87" s="11" t="str">
        <f>U_DF_PC!A49</f>
        <v>LC-34</v>
      </c>
      <c r="B87" s="142">
        <f>U_DF_PC!P49</f>
        <v>243.645694885859</v>
      </c>
      <c r="C87" s="142">
        <f>U_DF_PC!Q49</f>
        <v>63.922653723547185</v>
      </c>
      <c r="D87" s="142">
        <f>U_DF_PC!R49</f>
        <v>19.395771127491194</v>
      </c>
      <c r="E87" s="143">
        <f>D87*$E$36/2*$E$37</f>
        <v>92.717781140380353</v>
      </c>
      <c r="F87" s="141"/>
      <c r="G87" s="566">
        <v>283.17033734696906</v>
      </c>
      <c r="H87" s="565">
        <v>237.08670477453339</v>
      </c>
      <c r="I87" s="79">
        <v>0.39107119578279959</v>
      </c>
      <c r="J87" s="556" t="s">
        <v>1954</v>
      </c>
      <c r="K87" s="557"/>
    </row>
    <row r="88" spans="1:11">
      <c r="A88" s="11" t="str">
        <f>U_DF_PC!A50</f>
        <v>LC-35</v>
      </c>
      <c r="B88" s="142">
        <f>U_DF_PC!P50</f>
        <v>273.97169305676169</v>
      </c>
      <c r="C88" s="142">
        <f>U_DF_PC!Q50</f>
        <v>44.252173779014733</v>
      </c>
      <c r="D88" s="142">
        <f>U_DF_PC!R50</f>
        <v>25.62280095275813</v>
      </c>
      <c r="E88" s="143">
        <f>D88*$E$36/2*$E$37</f>
        <v>122.48490845378666</v>
      </c>
      <c r="F88" s="141"/>
      <c r="G88" s="566">
        <v>290.94636955776446</v>
      </c>
      <c r="H88" s="565">
        <v>232.04290424442422</v>
      </c>
      <c r="I88" s="79">
        <v>0.52785457436253347</v>
      </c>
      <c r="J88" s="556" t="s">
        <v>1954</v>
      </c>
      <c r="K88" s="557"/>
    </row>
    <row r="89" spans="1:11">
      <c r="A89" s="11" t="str">
        <f>U_DF_PC!A51</f>
        <v>LC-36</v>
      </c>
      <c r="B89" s="142">
        <f>U_DF_PC!P51</f>
        <v>249.60430224904411</v>
      </c>
      <c r="C89" s="142">
        <f>U_DF_PC!Q51</f>
        <v>68.619564586732281</v>
      </c>
      <c r="D89" s="142">
        <f>U_DF_PC!R51</f>
        <v>19.395771127491194</v>
      </c>
      <c r="E89" s="143">
        <f>D89*$E$36/2*$E$37</f>
        <v>92.717781140380353</v>
      </c>
      <c r="F89" s="141"/>
      <c r="G89" s="566">
        <v>284.69821196222472</v>
      </c>
      <c r="H89" s="565">
        <v>238.29106183996399</v>
      </c>
      <c r="I89" s="79">
        <v>0.38909466609641241</v>
      </c>
      <c r="J89" s="556" t="s">
        <v>1954</v>
      </c>
      <c r="K89" s="557"/>
    </row>
    <row r="90" spans="1:11">
      <c r="A90" s="11"/>
      <c r="B90" s="142"/>
      <c r="C90" s="142"/>
      <c r="D90" s="142"/>
      <c r="E90" s="143"/>
      <c r="F90" s="141"/>
      <c r="G90" s="566"/>
      <c r="H90" s="565"/>
      <c r="I90" s="79"/>
      <c r="J90" s="556"/>
      <c r="K90" s="557"/>
    </row>
    <row r="91" spans="1:11">
      <c r="A91" s="608" t="str">
        <f>U_DF_PC!A53</f>
        <v>LC-37</v>
      </c>
      <c r="B91" s="1069">
        <f>U_DF_PC!P53</f>
        <v>393.28430632803787</v>
      </c>
      <c r="C91" s="1069">
        <f>U_DF_PC!Q53</f>
        <v>35.912191168183313</v>
      </c>
      <c r="D91" s="1069">
        <f>U_DF_PC!R53</f>
        <v>45.653021691729634</v>
      </c>
      <c r="E91" s="1070">
        <f>D91*$E$36/2*$E$37</f>
        <v>218.23555484273933</v>
      </c>
      <c r="F91" s="1071"/>
      <c r="G91" s="1072">
        <v>321.53987941432712</v>
      </c>
      <c r="H91" s="1073">
        <v>229.90440997116656</v>
      </c>
      <c r="I91" s="79">
        <v>0.94924475293931654</v>
      </c>
      <c r="J91" s="556" t="s">
        <v>1954</v>
      </c>
      <c r="K91" s="557"/>
    </row>
    <row r="92" spans="1:11">
      <c r="A92" s="11" t="str">
        <f>U_DF_PC!A54</f>
        <v>LC-38</v>
      </c>
      <c r="B92" s="142">
        <f>U_DF_PC!P54</f>
        <v>375.21800970192032</v>
      </c>
      <c r="C92" s="142">
        <f>U_DF_PC!Q54</f>
        <v>53.978487794300889</v>
      </c>
      <c r="D92" s="142">
        <f>U_DF_PC!R54</f>
        <v>44.734803408695875</v>
      </c>
      <c r="E92" s="143">
        <f>D92*$E$36/2*$E$37</f>
        <v>213.84618763244313</v>
      </c>
      <c r="F92" s="141"/>
      <c r="G92" s="566">
        <v>316.90741509434753</v>
      </c>
      <c r="H92" s="565">
        <v>234.53687429114615</v>
      </c>
      <c r="I92" s="79">
        <v>0.91178066680884351</v>
      </c>
      <c r="J92" s="556" t="s">
        <v>1954</v>
      </c>
      <c r="K92" s="557"/>
    </row>
    <row r="93" spans="1:11">
      <c r="A93" s="11" t="str">
        <f>U_DF_PC!A55</f>
        <v>LC-39</v>
      </c>
      <c r="B93" s="142">
        <f>U_DF_PC!P55</f>
        <v>408.68091655440804</v>
      </c>
      <c r="C93" s="142">
        <f>U_DF_PC!Q55</f>
        <v>51.308801394553456</v>
      </c>
      <c r="D93" s="142">
        <f>U_DF_PC!R55</f>
        <v>45.653021691729634</v>
      </c>
      <c r="E93" s="143">
        <f>D93*$E$36/2*$E$37</f>
        <v>218.23555484273933</v>
      </c>
      <c r="F93" s="141"/>
      <c r="G93" s="566">
        <v>323.90577414386991</v>
      </c>
      <c r="H93" s="565">
        <v>233.85232741093574</v>
      </c>
      <c r="I93" s="79">
        <v>0.93321951189840446</v>
      </c>
      <c r="J93" s="556" t="s">
        <v>1954</v>
      </c>
      <c r="K93" s="557"/>
    </row>
    <row r="94" spans="1:11">
      <c r="A94" s="11" t="str">
        <f>U_DF_PC!A56</f>
        <v>LC-40</v>
      </c>
      <c r="B94" s="142">
        <f>U_DF_PC!P56</f>
        <v>390.61461992829044</v>
      </c>
      <c r="C94" s="142">
        <f>U_DF_PC!Q56</f>
        <v>69.375098020671032</v>
      </c>
      <c r="D94" s="142">
        <f>U_DF_PC!R56</f>
        <v>44.734803408695875</v>
      </c>
      <c r="E94" s="143">
        <f>D94*$E$36/2*$E$37</f>
        <v>213.84618763244313</v>
      </c>
      <c r="F94" s="141"/>
      <c r="G94" s="566">
        <v>320.85533253411671</v>
      </c>
      <c r="H94" s="565">
        <v>238.48479173091536</v>
      </c>
      <c r="I94" s="79">
        <v>0.89668689596663176</v>
      </c>
      <c r="J94" s="556" t="s">
        <v>1954</v>
      </c>
      <c r="K94" s="557"/>
    </row>
    <row r="95" spans="1:11">
      <c r="A95" s="11"/>
      <c r="B95" s="142"/>
      <c r="C95" s="142"/>
      <c r="D95" s="142"/>
      <c r="E95" s="143"/>
      <c r="F95" s="141"/>
      <c r="G95" s="566"/>
      <c r="H95" s="565"/>
      <c r="I95" s="79"/>
      <c r="J95" s="556"/>
      <c r="K95" s="557"/>
    </row>
    <row r="96" spans="1:11">
      <c r="A96" s="11" t="str">
        <f>U_DF_PC!A58</f>
        <v>LC-41</v>
      </c>
      <c r="B96" s="142">
        <f>U_DF_PC!P58</f>
        <v>397.59987916990997</v>
      </c>
      <c r="C96" s="142">
        <f>U_DF_PC!Q58</f>
        <v>40.49827916440649</v>
      </c>
      <c r="D96" s="142">
        <f>U_DF_PC!R58</f>
        <v>45.441739840364811</v>
      </c>
      <c r="E96" s="143">
        <f>D96*$E$36/2*$E$37</f>
        <v>217.2255622868872</v>
      </c>
      <c r="F96" s="141"/>
      <c r="G96" s="566">
        <v>322.64645579929277</v>
      </c>
      <c r="H96" s="565">
        <v>231.08035042263009</v>
      </c>
      <c r="I96" s="79">
        <v>0.94004341732041063</v>
      </c>
      <c r="J96" s="556" t="s">
        <v>1954</v>
      </c>
      <c r="K96" s="557"/>
    </row>
    <row r="97" spans="1:11">
      <c r="A97" s="11" t="str">
        <f>U_DF_PC!A59</f>
        <v>LC-42</v>
      </c>
      <c r="B97" s="142">
        <f>U_DF_PC!P59</f>
        <v>383.1692119575423</v>
      </c>
      <c r="C97" s="142">
        <f>U_DF_PC!Q59</f>
        <v>54.928946376774135</v>
      </c>
      <c r="D97" s="142">
        <f>U_DF_PC!R59</f>
        <v>45.709523992696255</v>
      </c>
      <c r="E97" s="143">
        <f>D97*$E$36/2*$E$37</f>
        <v>218.50565330598246</v>
      </c>
      <c r="F97" s="141"/>
      <c r="G97" s="566">
        <v>318.9462203632072</v>
      </c>
      <c r="H97" s="565">
        <v>234.7805858587156</v>
      </c>
      <c r="I97" s="79">
        <v>0.93068024558671592</v>
      </c>
      <c r="J97" s="556" t="s">
        <v>1954</v>
      </c>
      <c r="K97" s="557"/>
    </row>
    <row r="98" spans="1:11">
      <c r="A98" s="11" t="str">
        <f>U_DF_PC!A60</f>
        <v>LC-43</v>
      </c>
      <c r="B98" s="142">
        <f>U_DF_PC!P60</f>
        <v>413.43084752363529</v>
      </c>
      <c r="C98" s="142">
        <f>U_DF_PC!Q60</f>
        <v>56.369971491992843</v>
      </c>
      <c r="D98" s="142">
        <f>U_DF_PC!R60</f>
        <v>45.441739840364811</v>
      </c>
      <c r="E98" s="143">
        <f>D98*$E$36/2*$E$37</f>
        <v>217.2255622868872</v>
      </c>
      <c r="F98" s="141"/>
      <c r="G98" s="566">
        <v>323.96019476067289</v>
      </c>
      <c r="H98" s="565">
        <v>235.15008590449671</v>
      </c>
      <c r="I98" s="79">
        <v>0.9237741140996677</v>
      </c>
      <c r="J98" s="556" t="s">
        <v>1954</v>
      </c>
      <c r="K98" s="557"/>
    </row>
    <row r="99" spans="1:11">
      <c r="A99" s="11" t="str">
        <f>U_DF_PC!A61</f>
        <v>LC-44</v>
      </c>
      <c r="B99" s="142">
        <f>U_DF_PC!P61</f>
        <v>399.00018031126763</v>
      </c>
      <c r="C99" s="142">
        <f>U_DF_PC!Q61</f>
        <v>70.800638704360466</v>
      </c>
      <c r="D99" s="142">
        <f>U_DF_PC!R61</f>
        <v>45.709523992696255</v>
      </c>
      <c r="E99" s="143">
        <f>D99*$E$36/2*$E$37</f>
        <v>218.50565330598246</v>
      </c>
      <c r="F99" s="141"/>
      <c r="G99" s="566">
        <v>323.00551361887864</v>
      </c>
      <c r="H99" s="565">
        <v>238.85032134058224</v>
      </c>
      <c r="I99" s="79">
        <v>0.91482252181863366</v>
      </c>
      <c r="J99" s="556" t="s">
        <v>1954</v>
      </c>
      <c r="K99" s="557"/>
    </row>
    <row r="100" spans="1:11">
      <c r="A100" s="11"/>
      <c r="B100" s="142"/>
      <c r="C100" s="142"/>
      <c r="D100" s="142"/>
      <c r="E100" s="143"/>
      <c r="F100" s="141"/>
      <c r="G100" s="566"/>
      <c r="H100" s="565"/>
      <c r="I100" s="79"/>
      <c r="J100" s="556"/>
      <c r="K100" s="557"/>
    </row>
    <row r="101" spans="1:11">
      <c r="A101" s="11" t="str">
        <f>U_DF_PC!A63</f>
        <v>LC-45</v>
      </c>
      <c r="B101" s="142">
        <f>U_DF_PC!P63</f>
        <v>398.13088322089573</v>
      </c>
      <c r="C101" s="142">
        <f>U_DF_PC!Q63</f>
        <v>39.177852322563602</v>
      </c>
      <c r="D101" s="142">
        <f>U_DF_PC!R63</f>
        <v>45.432799121398695</v>
      </c>
      <c r="E101" s="143">
        <f>D101*$E$36/2*$E$37</f>
        <v>217.18282288669064</v>
      </c>
      <c r="F101" s="141"/>
      <c r="G101" s="566">
        <v>322.78261305226289</v>
      </c>
      <c r="H101" s="565">
        <v>230.74177354887621</v>
      </c>
      <c r="I101" s="79">
        <v>0.94123755549918453</v>
      </c>
      <c r="J101" s="556" t="s">
        <v>1954</v>
      </c>
      <c r="K101" s="557"/>
    </row>
    <row r="102" spans="1:11">
      <c r="A102" s="11" t="str">
        <f>U_DF_PC!A64</f>
        <v>LC-46</v>
      </c>
      <c r="B102" s="142">
        <f>U_DF_PC!P64</f>
        <v>383.37779879105312</v>
      </c>
      <c r="C102" s="142">
        <f>U_DF_PC!Q64</f>
        <v>53.930936752406197</v>
      </c>
      <c r="D102" s="142">
        <f>U_DF_PC!R64</f>
        <v>45.613710006021854</v>
      </c>
      <c r="E102" s="143">
        <f>D102*$E$36/2*$E$37</f>
        <v>218.04763283398006</v>
      </c>
      <c r="F102" s="141"/>
      <c r="G102" s="566">
        <v>318.99970509689962</v>
      </c>
      <c r="H102" s="565">
        <v>234.52468150423948</v>
      </c>
      <c r="I102" s="79">
        <v>0.9297427948112934</v>
      </c>
      <c r="J102" s="556" t="s">
        <v>1954</v>
      </c>
      <c r="K102" s="557"/>
    </row>
    <row r="103" spans="1:11">
      <c r="A103" s="11" t="str">
        <f>U_DF_PC!A65</f>
        <v>LC-47</v>
      </c>
      <c r="B103" s="142">
        <f>U_DF_PC!P65</f>
        <v>414.03021879539438</v>
      </c>
      <c r="C103" s="142">
        <f>U_DF_PC!Q65</f>
        <v>54.900525868233728</v>
      </c>
      <c r="D103" s="142">
        <f>U_DF_PC!R65</f>
        <v>45.432799121398695</v>
      </c>
      <c r="E103" s="143">
        <f>D103*$E$36/2*$E$37</f>
        <v>217.18282288669064</v>
      </c>
      <c r="F103" s="141"/>
      <c r="G103" s="566">
        <v>323.96706184032405</v>
      </c>
      <c r="H103" s="565">
        <v>234.77329842208741</v>
      </c>
      <c r="I103" s="419">
        <v>0.92507463304548498</v>
      </c>
      <c r="J103" s="556" t="s">
        <v>1954</v>
      </c>
      <c r="K103" s="557"/>
    </row>
    <row r="104" spans="1:11">
      <c r="A104" s="11" t="str">
        <f>U_DF_PC!A66</f>
        <v>LC-48</v>
      </c>
      <c r="B104" s="142">
        <f>U_DF_PC!P66</f>
        <v>399.27713436555177</v>
      </c>
      <c r="C104" s="142">
        <f>U_DF_PC!Q66</f>
        <v>69.653610298076316</v>
      </c>
      <c r="D104" s="142">
        <f>U_DF_PC!R66</f>
        <v>45.613710006021854</v>
      </c>
      <c r="E104" s="143">
        <f>D104*$E$36/2*$E$37</f>
        <v>218.04763283398006</v>
      </c>
      <c r="F104" s="141"/>
      <c r="G104" s="566">
        <v>323.07652871407475</v>
      </c>
      <c r="H104" s="565">
        <v>238.55620637745068</v>
      </c>
      <c r="I104" s="419">
        <v>0.91403043393882044</v>
      </c>
      <c r="J104" s="556" t="s">
        <v>1954</v>
      </c>
      <c r="K104" s="557"/>
    </row>
    <row r="105" spans="1:11">
      <c r="A105" s="651"/>
      <c r="B105" s="1399"/>
      <c r="C105" s="1399"/>
      <c r="D105" s="1399"/>
      <c r="E105" s="747"/>
      <c r="F105" s="148"/>
      <c r="G105" s="1400"/>
      <c r="H105" s="1401"/>
      <c r="I105" s="1269"/>
      <c r="J105" s="1402"/>
      <c r="K105" s="1403"/>
    </row>
    <row r="107" spans="1:11" ht="18">
      <c r="A107" s="1" t="s">
        <v>1839</v>
      </c>
      <c r="C107" s="528" t="s">
        <v>1</v>
      </c>
      <c r="D107" s="79">
        <f>MAX(I46:I105)</f>
        <v>0.94924475293931654</v>
      </c>
      <c r="E107" s="528" t="str">
        <f>IF(D107&lt;F107,"&lt;","&gt;")</f>
        <v>&lt;</v>
      </c>
      <c r="F107" s="528">
        <v>1</v>
      </c>
      <c r="G107" s="334" t="str">
        <f>IF(D107&lt;F107,"OK","REVISE")</f>
        <v>OK</v>
      </c>
      <c r="H107" s="334"/>
    </row>
  </sheetData>
  <mergeCells count="12">
    <mergeCell ref="J42:K45"/>
    <mergeCell ref="G43:H43"/>
    <mergeCell ref="A20:A21"/>
    <mergeCell ref="B42:D42"/>
    <mergeCell ref="B43:C43"/>
    <mergeCell ref="D43:D44"/>
    <mergeCell ref="E43:F44"/>
    <mergeCell ref="E42:F42"/>
    <mergeCell ref="G42:H42"/>
    <mergeCell ref="I42:I44"/>
    <mergeCell ref="G45:H45"/>
    <mergeCell ref="E45:F45"/>
  </mergeCells>
  <pageMargins left="0.70866141732283505" right="0.70866141732283505" top="0.74803149606299202" bottom="0.74803149606299202" header="0.31496062992126" footer="0.31496062992126"/>
  <pageSetup paperSize="9" scale="81" orientation="landscape" blackAndWhite="1" r:id="rId1"/>
  <rowBreaks count="1" manualBreakCount="1">
    <brk id="40" max="15" man="1"/>
  </rowBreaks>
  <drawing r:id="rId2"/>
</worksheet>
</file>

<file path=xl/worksheets/sheet29.xml><?xml version="1.0" encoding="utf-8"?>
<worksheet xmlns="http://schemas.openxmlformats.org/spreadsheetml/2006/main" xmlns:r="http://schemas.openxmlformats.org/officeDocument/2006/relationships">
  <sheetPr codeName="Sheet42">
    <tabColor theme="5" tint="0.59999389629810485"/>
  </sheetPr>
  <dimension ref="A1:N193"/>
  <sheetViews>
    <sheetView view="pageBreakPreview" workbookViewId="0">
      <selection activeCell="L10" sqref="L10"/>
    </sheetView>
  </sheetViews>
  <sheetFormatPr defaultColWidth="7.7109375" defaultRowHeight="13.5"/>
  <cols>
    <col min="1" max="1" width="7.7109375" style="1328"/>
    <col min="2" max="6" width="7.7109375" style="1327"/>
    <col min="7" max="7" width="7.7109375" style="1327" customWidth="1"/>
    <col min="8" max="8" width="7.7109375" style="1327"/>
    <col min="9" max="9" width="7.7109375" style="1327" customWidth="1"/>
    <col min="10" max="16384" width="7.7109375" style="1327"/>
  </cols>
  <sheetData>
    <row r="1" spans="1:13" s="1335" customFormat="1" ht="15">
      <c r="A1" s="1366" t="s">
        <v>504</v>
      </c>
      <c r="B1" s="1332"/>
      <c r="C1" s="1332"/>
      <c r="D1" s="1332"/>
      <c r="E1" s="1332"/>
      <c r="F1" s="1367"/>
      <c r="G1" s="1367"/>
      <c r="H1" s="1367"/>
      <c r="I1" s="1367"/>
      <c r="J1" s="1336"/>
      <c r="K1" s="1336"/>
      <c r="L1" s="1332"/>
      <c r="M1" s="1332"/>
    </row>
    <row r="2" spans="1:13" s="1335" customFormat="1" ht="15">
      <c r="A2" s="1338" t="s">
        <v>411</v>
      </c>
      <c r="B2" s="1338"/>
      <c r="C2" s="1338"/>
      <c r="D2" s="1327"/>
      <c r="E2" s="1338" t="s">
        <v>1</v>
      </c>
      <c r="F2" s="1368">
        <f>GEN!H19</f>
        <v>35</v>
      </c>
      <c r="G2" s="1342" t="s">
        <v>293</v>
      </c>
      <c r="H2" s="1367"/>
      <c r="I2" s="1367"/>
      <c r="J2" s="1336"/>
      <c r="K2" s="1336"/>
      <c r="L2" s="1332"/>
      <c r="M2" s="1332"/>
    </row>
    <row r="3" spans="1:13" s="1335" customFormat="1" ht="15">
      <c r="A3" s="1338" t="s">
        <v>418</v>
      </c>
      <c r="B3" s="1338"/>
      <c r="C3" s="1338"/>
      <c r="D3" s="1327"/>
      <c r="E3" s="1338" t="s">
        <v>1</v>
      </c>
      <c r="F3" s="1368">
        <f>GEN!H27</f>
        <v>500</v>
      </c>
      <c r="G3" s="1338" t="s">
        <v>293</v>
      </c>
      <c r="H3" s="1367"/>
      <c r="I3" s="1367"/>
      <c r="J3" s="1336"/>
      <c r="K3" s="1336"/>
      <c r="L3" s="1332"/>
      <c r="M3" s="1332"/>
    </row>
    <row r="4" spans="1:13" s="1335" customFormat="1" ht="18">
      <c r="A4" s="1332" t="s">
        <v>436</v>
      </c>
      <c r="B4" s="1332"/>
      <c r="C4" s="1332"/>
      <c r="D4" s="1332" t="s">
        <v>433</v>
      </c>
      <c r="E4" s="1332" t="s">
        <v>1</v>
      </c>
      <c r="F4" s="1337">
        <f>'3.4D_LC_sum'!M19</f>
        <v>45.709523992696255</v>
      </c>
      <c r="G4" s="1332" t="s">
        <v>34</v>
      </c>
      <c r="H4" s="1332"/>
      <c r="I4" s="254"/>
      <c r="J4" s="1332"/>
      <c r="K4" s="1332"/>
      <c r="L4" s="1332"/>
      <c r="M4" s="1332"/>
    </row>
    <row r="5" spans="1:13" s="1335" customFormat="1" ht="18" customHeight="1">
      <c r="A5" s="1332" t="s">
        <v>689</v>
      </c>
      <c r="B5" s="1332"/>
      <c r="C5" s="1332"/>
      <c r="D5" s="1332"/>
      <c r="E5" s="1332" t="s">
        <v>1</v>
      </c>
      <c r="F5" s="1337">
        <f>GEN!F97</f>
        <v>1.2</v>
      </c>
      <c r="G5" s="1332" t="s">
        <v>2</v>
      </c>
      <c r="H5" s="1332"/>
      <c r="I5" s="254"/>
      <c r="J5" s="1332"/>
      <c r="K5" s="1332"/>
      <c r="L5" s="1332"/>
      <c r="M5" s="1332"/>
    </row>
    <row r="6" spans="1:13" s="1335" customFormat="1" ht="15">
      <c r="A6" s="1332" t="s">
        <v>1837</v>
      </c>
      <c r="B6" s="1332"/>
      <c r="C6" s="1332"/>
      <c r="D6" s="1332"/>
      <c r="E6" s="1332"/>
      <c r="F6" s="1332"/>
      <c r="G6" s="1332"/>
      <c r="H6" s="1332"/>
    </row>
    <row r="7" spans="1:13" s="1335" customFormat="1" ht="15">
      <c r="A7" s="1332" t="s">
        <v>61</v>
      </c>
      <c r="B7" s="1327"/>
      <c r="C7" s="1327"/>
      <c r="D7" s="1327"/>
      <c r="E7" s="1332" t="s">
        <v>1</v>
      </c>
      <c r="F7" s="1353">
        <f>F5/SQRT(2)</f>
        <v>0.84852813742385691</v>
      </c>
      <c r="G7" s="1332" t="s">
        <v>2</v>
      </c>
      <c r="H7" s="1332" t="s">
        <v>1832</v>
      </c>
    </row>
    <row r="8" spans="1:13" s="1335" customFormat="1" ht="15">
      <c r="A8" s="1332" t="s">
        <v>435</v>
      </c>
      <c r="B8" s="1327"/>
      <c r="C8" s="1327"/>
      <c r="D8" s="1327"/>
      <c r="E8" s="1332" t="s">
        <v>1</v>
      </c>
      <c r="F8" s="1353">
        <f>1.2/SQRT(2)</f>
        <v>0.84852813742385691</v>
      </c>
      <c r="G8" s="1332" t="s">
        <v>2</v>
      </c>
      <c r="H8" s="1332"/>
    </row>
    <row r="9" spans="1:13" s="1335" customFormat="1" ht="15">
      <c r="A9" s="1332"/>
      <c r="B9" s="1327"/>
      <c r="C9" s="1327"/>
      <c r="D9" s="1327"/>
      <c r="E9" s="1332"/>
      <c r="F9" s="1353"/>
      <c r="G9" s="1332"/>
      <c r="H9" s="1332"/>
    </row>
    <row r="10" spans="1:13" s="1335" customFormat="1" ht="15">
      <c r="A10" s="1369" t="s">
        <v>582</v>
      </c>
      <c r="B10" s="1332"/>
      <c r="C10" s="1332"/>
      <c r="D10" s="1332"/>
      <c r="E10" s="1332"/>
      <c r="F10" s="1332"/>
      <c r="G10" s="1332"/>
      <c r="H10" s="1332"/>
      <c r="I10" s="1332"/>
      <c r="J10" s="1332"/>
      <c r="K10" s="1332"/>
      <c r="L10" s="1332"/>
      <c r="M10" s="1332"/>
    </row>
    <row r="11" spans="1:13" s="1335" customFormat="1" ht="15">
      <c r="A11" s="1339" t="s">
        <v>576</v>
      </c>
      <c r="B11" s="1332"/>
      <c r="C11" s="1327"/>
      <c r="D11" s="1327"/>
      <c r="E11" s="1363" t="s">
        <v>1</v>
      </c>
      <c r="F11" s="1363" t="s">
        <v>581</v>
      </c>
      <c r="G11" s="1363"/>
      <c r="H11" s="1363"/>
      <c r="I11" s="1363" t="s">
        <v>591</v>
      </c>
      <c r="J11" s="1363"/>
      <c r="K11" s="1332"/>
      <c r="L11" s="1332"/>
      <c r="M11" s="1332"/>
    </row>
    <row r="12" spans="1:13" s="1335" customFormat="1" ht="15">
      <c r="A12" s="1332"/>
      <c r="B12" s="1332"/>
      <c r="C12" s="1327"/>
      <c r="D12" s="1327"/>
      <c r="E12" s="1332" t="s">
        <v>1</v>
      </c>
      <c r="F12" s="1332">
        <f>0.6*(1-F2/310)</f>
        <v>0.532258064516129</v>
      </c>
      <c r="G12" s="1332"/>
      <c r="H12" s="1332"/>
      <c r="I12" s="1332"/>
      <c r="J12" s="1332"/>
      <c r="K12" s="1332"/>
      <c r="L12" s="1332"/>
      <c r="M12" s="1332"/>
    </row>
    <row r="13" spans="1:13" s="1335" customFormat="1" ht="15">
      <c r="A13" s="1332"/>
      <c r="B13" s="1332"/>
      <c r="C13" s="1332"/>
      <c r="D13" s="1332"/>
      <c r="E13" s="1332"/>
      <c r="F13" s="1332"/>
      <c r="G13" s="1332"/>
      <c r="H13" s="1332"/>
      <c r="I13" s="1332"/>
      <c r="J13" s="1332"/>
      <c r="K13" s="1332"/>
      <c r="L13" s="1332"/>
      <c r="M13" s="1332"/>
    </row>
    <row r="14" spans="1:13" s="1335" customFormat="1" ht="15">
      <c r="A14" s="1332" t="s">
        <v>331</v>
      </c>
      <c r="B14" s="1332"/>
      <c r="C14" s="1327"/>
      <c r="D14" s="1327"/>
      <c r="E14" s="1332" t="s">
        <v>1</v>
      </c>
      <c r="F14" s="1337">
        <f>GEN!H22</f>
        <v>15.633333333333335</v>
      </c>
      <c r="G14" s="1332" t="s">
        <v>293</v>
      </c>
      <c r="H14" s="1332"/>
      <c r="I14" s="1332"/>
      <c r="J14" s="1332"/>
      <c r="K14" s="1332"/>
      <c r="L14" s="1332"/>
      <c r="M14" s="1332"/>
    </row>
    <row r="15" spans="1:13" s="1335" customFormat="1" ht="15">
      <c r="A15" s="1332"/>
      <c r="B15" s="1332"/>
      <c r="C15" s="1327"/>
      <c r="D15" s="1327"/>
      <c r="E15" s="1332"/>
      <c r="F15" s="1332"/>
      <c r="G15" s="1332"/>
      <c r="H15" s="1332"/>
      <c r="I15" s="1332"/>
      <c r="J15" s="1332"/>
      <c r="K15" s="1332"/>
      <c r="L15" s="1332"/>
      <c r="M15" s="1332"/>
    </row>
    <row r="16" spans="1:13" s="1335" customFormat="1" ht="18">
      <c r="A16" s="1332" t="s">
        <v>583</v>
      </c>
      <c r="B16" s="1332"/>
      <c r="C16" s="1327"/>
      <c r="D16" s="1327"/>
      <c r="E16" s="1363" t="s">
        <v>1</v>
      </c>
      <c r="F16" s="1363" t="s">
        <v>580</v>
      </c>
      <c r="G16" s="1363"/>
      <c r="H16" s="1332"/>
      <c r="I16" s="1332"/>
      <c r="J16" s="1332"/>
      <c r="K16" s="1332"/>
      <c r="L16" s="1332"/>
      <c r="M16" s="1332"/>
    </row>
    <row r="17" spans="1:13" s="1335" customFormat="1" ht="15">
      <c r="A17" s="1332"/>
      <c r="B17" s="1332"/>
      <c r="C17" s="1327"/>
      <c r="D17" s="1327"/>
      <c r="E17" s="1332" t="s">
        <v>1</v>
      </c>
      <c r="F17" s="1340">
        <f>0.5*F8*1000*(F7*1000)*F12*F14/10^4</f>
        <v>299.55483870967731</v>
      </c>
      <c r="G17" s="1332" t="s">
        <v>34</v>
      </c>
      <c r="H17" s="1341" t="str">
        <f>IF(F17&lt;I17,"&lt;","&gt;")</f>
        <v>&gt;</v>
      </c>
      <c r="I17" s="1337">
        <f>F4</f>
        <v>45.709523992696255</v>
      </c>
      <c r="J17" s="1332" t="s">
        <v>34</v>
      </c>
      <c r="K17" s="1365" t="str">
        <f>IF(F17&lt;I17,"REVISE SECTION","OK")</f>
        <v>OK</v>
      </c>
      <c r="L17" s="1365"/>
      <c r="M17" s="1370"/>
    </row>
    <row r="18" spans="1:13" s="1335" customFormat="1" ht="15">
      <c r="A18" s="1332"/>
      <c r="B18" s="1332"/>
      <c r="C18" s="1332"/>
      <c r="D18" s="1332"/>
      <c r="E18" s="1332"/>
      <c r="F18" s="1341"/>
      <c r="G18" s="1337"/>
      <c r="H18" s="1332"/>
      <c r="I18" s="1332"/>
      <c r="J18" s="1332"/>
      <c r="K18" s="1332"/>
      <c r="L18" s="1332"/>
      <c r="M18" s="1332"/>
    </row>
    <row r="19" spans="1:13" s="1335" customFormat="1" ht="15">
      <c r="A19" s="1371" t="s">
        <v>590</v>
      </c>
      <c r="B19" s="1332"/>
      <c r="C19" s="1332"/>
      <c r="D19" s="1332"/>
      <c r="E19" s="1332"/>
      <c r="F19" s="1332"/>
      <c r="G19" s="1332"/>
      <c r="H19" s="1332"/>
      <c r="I19" s="1332"/>
      <c r="J19" s="1332"/>
      <c r="K19" s="1332"/>
      <c r="L19" s="1332"/>
      <c r="M19" s="1332"/>
    </row>
    <row r="20" spans="1:13" s="1335" customFormat="1" ht="15">
      <c r="A20" s="1363" t="s">
        <v>424</v>
      </c>
      <c r="B20" s="1327"/>
      <c r="C20" s="1327"/>
      <c r="D20" s="1327"/>
      <c r="E20" s="1363" t="s">
        <v>1</v>
      </c>
      <c r="F20" s="1363" t="s">
        <v>425</v>
      </c>
      <c r="G20" s="1363" t="s">
        <v>426</v>
      </c>
      <c r="H20" s="1363"/>
      <c r="I20" s="1363" t="s">
        <v>427</v>
      </c>
      <c r="J20" s="1363"/>
      <c r="K20" s="1332"/>
      <c r="L20" s="1332"/>
      <c r="M20" s="1332"/>
    </row>
    <row r="21" spans="1:13" s="1335" customFormat="1" ht="15">
      <c r="A21" s="1363"/>
      <c r="B21" s="1327"/>
      <c r="C21" s="1327"/>
      <c r="D21" s="1327"/>
      <c r="E21" s="1363"/>
      <c r="F21" s="1363"/>
      <c r="G21" s="1363">
        <v>2</v>
      </c>
      <c r="H21" s="1363"/>
      <c r="I21" s="1363"/>
      <c r="J21" s="1363"/>
      <c r="K21" s="1332"/>
      <c r="L21" s="1332"/>
      <c r="M21" s="1332"/>
    </row>
    <row r="22" spans="1:13" s="1335" customFormat="1" ht="15">
      <c r="A22" s="1332" t="s">
        <v>424</v>
      </c>
      <c r="B22" s="1327"/>
      <c r="C22" s="1327"/>
      <c r="D22" s="1327"/>
      <c r="E22" s="1332" t="s">
        <v>1</v>
      </c>
      <c r="F22" s="1332">
        <f>MIN(1+SQRT(200/F7/1000),2)</f>
        <v>1.4854917717073235</v>
      </c>
      <c r="G22" s="1332"/>
      <c r="H22" s="1332"/>
      <c r="I22" s="1332"/>
      <c r="J22" s="1332"/>
      <c r="K22" s="1332"/>
      <c r="L22" s="1332"/>
      <c r="M22" s="1332"/>
    </row>
    <row r="23" spans="1:13" s="1335" customFormat="1" ht="15">
      <c r="A23" s="1332"/>
      <c r="B23" s="1332"/>
      <c r="C23" s="1332"/>
      <c r="D23" s="1332"/>
      <c r="E23" s="1332"/>
      <c r="F23" s="1332"/>
      <c r="G23" s="1332"/>
      <c r="H23" s="1332"/>
      <c r="I23" s="1332"/>
      <c r="J23" s="1332"/>
      <c r="K23" s="1332"/>
      <c r="L23" s="1332"/>
      <c r="M23" s="1332"/>
    </row>
    <row r="24" spans="1:13" s="1335" customFormat="1" ht="15">
      <c r="A24" s="1338" t="s">
        <v>259</v>
      </c>
      <c r="B24" s="1338"/>
      <c r="D24" s="1327"/>
      <c r="E24" s="1338" t="s">
        <v>1</v>
      </c>
      <c r="F24" s="1372">
        <f>U_PILE!K11</f>
        <v>12271.846303085129</v>
      </c>
      <c r="G24" s="1338" t="s">
        <v>1485</v>
      </c>
      <c r="K24" s="1332"/>
      <c r="L24" s="1332"/>
      <c r="M24" s="1332"/>
    </row>
    <row r="25" spans="1:13" s="1335" customFormat="1" ht="15">
      <c r="A25" s="1338" t="s">
        <v>1833</v>
      </c>
      <c r="B25" s="1338"/>
      <c r="D25" s="1327"/>
      <c r="E25" s="1338" t="s">
        <v>1</v>
      </c>
      <c r="F25" s="1338">
        <f>F24*0.4</f>
        <v>4908.7385212340514</v>
      </c>
      <c r="G25" s="1338" t="s">
        <v>1485</v>
      </c>
      <c r="H25" s="1335" t="s">
        <v>1834</v>
      </c>
      <c r="K25" s="1332"/>
      <c r="L25" s="1332"/>
      <c r="M25" s="1332"/>
    </row>
    <row r="26" spans="1:13" s="1335" customFormat="1" ht="15">
      <c r="A26" s="1338"/>
      <c r="B26" s="1338"/>
      <c r="C26" s="1338"/>
      <c r="I26" s="1332"/>
      <c r="J26" s="1332"/>
      <c r="K26" s="1332"/>
      <c r="L26" s="1332"/>
      <c r="M26" s="1332"/>
    </row>
    <row r="27" spans="1:13" s="1335" customFormat="1" ht="15">
      <c r="A27" s="1363" t="s">
        <v>428</v>
      </c>
      <c r="B27" s="1327"/>
      <c r="C27" s="1327"/>
      <c r="D27" s="1327"/>
      <c r="E27" s="1363" t="s">
        <v>1</v>
      </c>
      <c r="F27" s="1363" t="s">
        <v>425</v>
      </c>
      <c r="G27" s="1363" t="s">
        <v>429</v>
      </c>
      <c r="H27" s="1363"/>
      <c r="I27" s="1332"/>
      <c r="J27" s="1332"/>
      <c r="K27" s="1332"/>
      <c r="L27" s="1332"/>
      <c r="M27" s="1332"/>
    </row>
    <row r="28" spans="1:13" s="1335" customFormat="1" ht="15">
      <c r="A28" s="1363"/>
      <c r="B28" s="1327"/>
      <c r="C28" s="1327"/>
      <c r="D28" s="1327"/>
      <c r="E28" s="1363"/>
      <c r="F28" s="1363"/>
      <c r="G28" s="1363">
        <v>0.02</v>
      </c>
      <c r="H28" s="1363"/>
      <c r="I28" s="1332"/>
      <c r="J28" s="1332"/>
      <c r="K28" s="1332"/>
      <c r="L28" s="1332"/>
      <c r="M28" s="1332"/>
    </row>
    <row r="29" spans="1:13" s="1335" customFormat="1" ht="15">
      <c r="A29" s="1332" t="s">
        <v>428</v>
      </c>
      <c r="B29" s="1327"/>
      <c r="C29" s="1327"/>
      <c r="D29" s="1327"/>
      <c r="E29" s="1332" t="s">
        <v>1</v>
      </c>
      <c r="F29" s="1373">
        <f>MIN(F25/(F7*1000*F8*1000),0.02)</f>
        <v>6.8176923906028515E-3</v>
      </c>
      <c r="G29" s="1332"/>
      <c r="H29" s="1332"/>
      <c r="I29" s="1332"/>
      <c r="J29" s="1332"/>
      <c r="K29" s="1332"/>
      <c r="L29" s="1332"/>
      <c r="M29" s="1332"/>
    </row>
    <row r="30" spans="1:13" s="1335" customFormat="1" ht="15" customHeight="1">
      <c r="A30" s="1332"/>
      <c r="B30" s="1332"/>
      <c r="C30" s="1332"/>
      <c r="D30" s="1332"/>
      <c r="F30" s="1332"/>
      <c r="G30" s="1332"/>
      <c r="H30" s="1332"/>
      <c r="I30" s="1332"/>
      <c r="J30" s="1332"/>
      <c r="K30" s="1332"/>
      <c r="L30" s="1332"/>
      <c r="M30" s="1332"/>
    </row>
    <row r="31" spans="1:13" s="1335" customFormat="1" ht="18">
      <c r="A31" s="1332" t="s">
        <v>1835</v>
      </c>
      <c r="C31" s="1327"/>
      <c r="D31" s="1327"/>
      <c r="E31" s="1374" t="s">
        <v>1</v>
      </c>
      <c r="F31" s="1375">
        <f>F32*10^4/F33/10^6</f>
        <v>0.317533485648749</v>
      </c>
      <c r="G31" s="1374" t="s">
        <v>293</v>
      </c>
      <c r="H31" s="1363"/>
      <c r="I31" s="1332"/>
      <c r="J31" s="1332"/>
      <c r="K31" s="1332"/>
      <c r="L31" s="1332"/>
      <c r="M31" s="1332"/>
    </row>
    <row r="32" spans="1:13" s="1335" customFormat="1" ht="15">
      <c r="A32" s="1332" t="s">
        <v>1836</v>
      </c>
      <c r="B32" s="1338"/>
      <c r="C32" s="1327"/>
      <c r="D32" s="1327"/>
      <c r="E32" s="1338" t="s">
        <v>1</v>
      </c>
      <c r="F32" s="1376">
        <f>'3.4D_LC_sum'!M18</f>
        <v>35.912191168183313</v>
      </c>
      <c r="G32" s="1338" t="s">
        <v>34</v>
      </c>
      <c r="H32" s="1338"/>
      <c r="I32" s="1332"/>
      <c r="J32" s="254"/>
      <c r="K32" s="1332"/>
      <c r="L32" s="1332"/>
      <c r="M32" s="1332"/>
    </row>
    <row r="33" spans="1:13" s="1335" customFormat="1" ht="17.25">
      <c r="A33" s="1332" t="s">
        <v>457</v>
      </c>
      <c r="C33" s="1327"/>
      <c r="D33" s="1327"/>
      <c r="E33" s="1338" t="s">
        <v>1</v>
      </c>
      <c r="F33" s="1335">
        <f>PI()*1.2^2/4</f>
        <v>1.1309733552923256</v>
      </c>
      <c r="G33" s="1338" t="s">
        <v>458</v>
      </c>
      <c r="H33" s="1338"/>
      <c r="I33" s="1332"/>
      <c r="J33" s="1332"/>
      <c r="K33" s="1332"/>
      <c r="L33" s="1332"/>
      <c r="M33" s="1332"/>
    </row>
    <row r="34" spans="1:13" s="1335" customFormat="1" ht="15">
      <c r="C34" s="1327"/>
      <c r="D34" s="1327"/>
      <c r="H34" s="1338"/>
      <c r="I34" s="1332"/>
      <c r="J34" s="1332"/>
      <c r="K34" s="1332"/>
      <c r="L34" s="1332"/>
      <c r="M34" s="1332"/>
    </row>
    <row r="35" spans="1:13" s="1335" customFormat="1" ht="18.75">
      <c r="A35" s="1363" t="s">
        <v>431</v>
      </c>
      <c r="B35" s="1327"/>
      <c r="C35" s="1327"/>
      <c r="D35" s="1327"/>
      <c r="E35" s="1374" t="s">
        <v>1</v>
      </c>
      <c r="F35" s="1374" t="s">
        <v>432</v>
      </c>
      <c r="G35" s="1374"/>
      <c r="H35" s="1374"/>
      <c r="I35" s="1332"/>
      <c r="J35" s="1332"/>
      <c r="K35" s="1332"/>
      <c r="L35" s="1332"/>
      <c r="M35" s="1332"/>
    </row>
    <row r="36" spans="1:13" s="1335" customFormat="1" ht="15">
      <c r="A36" s="1332"/>
      <c r="B36" s="1327"/>
      <c r="C36" s="1327"/>
      <c r="D36" s="1327"/>
      <c r="E36" s="1338" t="s">
        <v>1</v>
      </c>
      <c r="F36" s="1353">
        <f>0.031*F22^1.5 * F2^0.5</f>
        <v>0.33204817057280028</v>
      </c>
      <c r="G36" s="1332"/>
      <c r="H36" s="1332"/>
      <c r="I36" s="1332"/>
      <c r="J36" s="1332"/>
      <c r="K36" s="1332"/>
      <c r="L36" s="1332"/>
      <c r="M36" s="1332"/>
    </row>
    <row r="37" spans="1:13" s="1335" customFormat="1" ht="15">
      <c r="A37" s="1332"/>
      <c r="B37" s="1338"/>
      <c r="C37" s="1332"/>
      <c r="D37" s="1332"/>
      <c r="E37" s="1332"/>
      <c r="F37" s="1332"/>
      <c r="G37" s="1332"/>
      <c r="H37" s="1332"/>
      <c r="I37" s="1332"/>
      <c r="J37" s="1332"/>
      <c r="K37" s="1332"/>
      <c r="L37" s="1332"/>
      <c r="M37" s="1332"/>
    </row>
    <row r="38" spans="1:13" s="1335" customFormat="1" ht="18.75">
      <c r="A38" s="1363" t="s">
        <v>419</v>
      </c>
      <c r="B38" s="1333" t="s">
        <v>422</v>
      </c>
      <c r="C38" s="1327"/>
      <c r="D38" s="1327"/>
      <c r="E38" s="1363" t="s">
        <v>1</v>
      </c>
      <c r="F38" s="1363" t="s">
        <v>420</v>
      </c>
      <c r="G38" s="1363" t="s">
        <v>421</v>
      </c>
      <c r="H38" s="1363"/>
      <c r="I38" s="1363"/>
      <c r="J38" s="1363"/>
      <c r="K38" s="1363"/>
      <c r="L38" s="1332"/>
      <c r="M38" s="1332"/>
    </row>
    <row r="39" spans="1:13" s="1335" customFormat="1" ht="18">
      <c r="A39" s="1328"/>
      <c r="B39" s="1327"/>
      <c r="C39" s="1327"/>
      <c r="D39" s="1327"/>
      <c r="E39" s="1363"/>
      <c r="F39" s="1363"/>
      <c r="G39" s="1363" t="s">
        <v>423</v>
      </c>
      <c r="H39" s="1363"/>
      <c r="I39" s="1363"/>
      <c r="J39" s="1363"/>
      <c r="K39" s="1363"/>
      <c r="L39" s="1332"/>
      <c r="M39" s="1332"/>
    </row>
    <row r="40" spans="1:13" s="1335" customFormat="1" ht="15">
      <c r="A40" s="1332"/>
      <c r="B40" s="1332"/>
      <c r="C40" s="1332"/>
      <c r="D40" s="1332"/>
      <c r="E40" s="1332" t="s">
        <v>1</v>
      </c>
      <c r="F40" s="1337">
        <f>MAX((0.12*F22*(80*F29*F2)^0.33 +0.15*F31)*(F8*1000)*(F7*1000)/10^4,(F36+0.15*F31)*(F8*1000)*(F7*1000)/10^4)</f>
        <v>37.395524387846464</v>
      </c>
      <c r="G40" s="1332" t="s">
        <v>34</v>
      </c>
      <c r="H40" s="1341" t="str">
        <f>IF(F40&lt;I40,"&lt;","&gt;")</f>
        <v>&lt;</v>
      </c>
      <c r="I40" s="1377">
        <f>F4</f>
        <v>45.709523992696255</v>
      </c>
      <c r="J40" s="1332" t="s">
        <v>34</v>
      </c>
      <c r="K40" s="1327"/>
      <c r="L40" s="1332"/>
      <c r="M40" s="1332"/>
    </row>
    <row r="41" spans="1:13" s="1335" customFormat="1" ht="15">
      <c r="A41" s="1332"/>
      <c r="B41" s="1327"/>
      <c r="C41" s="1327"/>
      <c r="D41" s="1327"/>
      <c r="E41" s="1365" t="str">
        <f>IF(F40&lt;I40,"PROVIDE DESIGN SHEAR REINF.","PROVIDE MINIMUM SHEAR REINFORCEMENT")</f>
        <v>PROVIDE DESIGN SHEAR REINF.</v>
      </c>
      <c r="F41" s="1365"/>
      <c r="G41" s="1370"/>
      <c r="H41" s="1370"/>
      <c r="I41" s="1370"/>
      <c r="J41" s="1370"/>
      <c r="K41" s="1332"/>
      <c r="L41" s="1327"/>
      <c r="M41" s="1327"/>
    </row>
    <row r="42" spans="1:13" s="1335" customFormat="1" ht="15">
      <c r="A42" s="1328"/>
      <c r="B42" s="1327"/>
      <c r="C42" s="1327"/>
      <c r="D42" s="1327"/>
      <c r="E42" s="1327"/>
      <c r="F42" s="1327"/>
      <c r="G42" s="1327"/>
      <c r="H42" s="1327"/>
      <c r="I42" s="1327"/>
      <c r="J42" s="1327"/>
      <c r="K42" s="1327"/>
      <c r="L42" s="1327"/>
      <c r="M42" s="1332"/>
    </row>
    <row r="43" spans="1:13" ht="15">
      <c r="A43" s="1369" t="s">
        <v>615</v>
      </c>
      <c r="B43" s="1332"/>
      <c r="C43" s="1332"/>
      <c r="D43" s="1332"/>
      <c r="E43" s="1333" t="s">
        <v>732</v>
      </c>
      <c r="F43" s="1332"/>
      <c r="G43" s="1332"/>
      <c r="H43" s="1332"/>
      <c r="I43" s="1332"/>
      <c r="J43" s="1332"/>
      <c r="K43" s="1332"/>
      <c r="L43" s="1332"/>
    </row>
    <row r="44" spans="1:13" ht="18">
      <c r="A44" s="1332" t="s">
        <v>733</v>
      </c>
      <c r="B44" s="1332"/>
      <c r="E44" s="1332" t="s">
        <v>1</v>
      </c>
      <c r="F44" s="1332" t="s">
        <v>734</v>
      </c>
      <c r="G44" s="1332"/>
      <c r="H44" s="1332"/>
      <c r="I44" s="1332"/>
      <c r="J44" s="1332"/>
      <c r="K44" s="1332"/>
      <c r="L44" s="1332"/>
    </row>
    <row r="45" spans="1:13" ht="18">
      <c r="A45" s="1332" t="s">
        <v>735</v>
      </c>
      <c r="B45" s="1332"/>
      <c r="E45" s="1332" t="s">
        <v>1</v>
      </c>
      <c r="F45" s="1332" t="s">
        <v>736</v>
      </c>
      <c r="G45" s="1332"/>
      <c r="H45" s="1332"/>
      <c r="I45" s="1332"/>
      <c r="J45" s="1332"/>
      <c r="K45" s="1332"/>
      <c r="L45" s="1332"/>
    </row>
    <row r="46" spans="1:13" ht="15">
      <c r="A46" s="1332"/>
      <c r="B46" s="1332"/>
      <c r="E46" s="1332" t="s">
        <v>1</v>
      </c>
      <c r="F46" s="1332">
        <f>0.072*SQRT(F2)/F3</f>
        <v>8.5191548876634474E-4</v>
      </c>
      <c r="G46" s="1332"/>
      <c r="H46" s="1332"/>
      <c r="I46" s="1332"/>
      <c r="J46" s="1332"/>
      <c r="K46" s="1332"/>
      <c r="L46" s="1332"/>
    </row>
    <row r="47" spans="1:13" ht="18.75">
      <c r="A47" s="1332" t="s">
        <v>733</v>
      </c>
      <c r="B47" s="1332"/>
      <c r="E47" s="1332" t="s">
        <v>1</v>
      </c>
      <c r="F47" s="1332">
        <f>F46*G49*1000</f>
        <v>153.34478797794205</v>
      </c>
      <c r="G47" s="1332" t="s">
        <v>570</v>
      </c>
      <c r="H47" s="1332"/>
      <c r="I47" s="1332"/>
      <c r="J47" s="1332"/>
      <c r="K47" s="1332"/>
      <c r="L47" s="1332"/>
    </row>
    <row r="48" spans="1:13" ht="15">
      <c r="A48" s="1332"/>
      <c r="B48" s="1332"/>
      <c r="C48" s="1332"/>
      <c r="D48" s="1332"/>
      <c r="E48" s="1332"/>
      <c r="F48" s="1332"/>
      <c r="G48" s="1332"/>
      <c r="H48" s="1332"/>
      <c r="I48" s="1332"/>
      <c r="J48" s="1332"/>
      <c r="K48" s="1332"/>
      <c r="L48" s="1332"/>
    </row>
    <row r="49" spans="1:14" ht="15">
      <c r="A49" s="1332" t="s">
        <v>603</v>
      </c>
      <c r="B49" s="1391">
        <v>10</v>
      </c>
      <c r="C49" s="1341" t="s">
        <v>607</v>
      </c>
      <c r="D49" s="1391">
        <v>2</v>
      </c>
      <c r="E49" s="1332" t="s">
        <v>737</v>
      </c>
      <c r="F49" s="1332"/>
      <c r="G49" s="1391">
        <v>180</v>
      </c>
      <c r="H49" s="1332" t="s">
        <v>256</v>
      </c>
      <c r="I49" s="1332"/>
      <c r="J49" s="1332"/>
      <c r="K49" s="1332"/>
      <c r="L49" s="1332"/>
    </row>
    <row r="50" spans="1:14" ht="17.25">
      <c r="A50" s="1339" t="s">
        <v>738</v>
      </c>
      <c r="B50" s="1332">
        <f>PI()*B49^2/4*D49</f>
        <v>157.07963267948966</v>
      </c>
      <c r="C50" s="1332" t="s">
        <v>570</v>
      </c>
      <c r="D50" s="1341" t="s">
        <v>378</v>
      </c>
      <c r="E50" s="1332">
        <f>G49</f>
        <v>180</v>
      </c>
      <c r="F50" s="1332" t="s">
        <v>5</v>
      </c>
      <c r="G50" s="1332" t="s">
        <v>256</v>
      </c>
      <c r="H50" s="1341" t="str">
        <f>IF(B50&gt;I50,"&gt;","&lt;")</f>
        <v>&gt;</v>
      </c>
      <c r="I50" s="1337">
        <f>F47</f>
        <v>153.34478797794205</v>
      </c>
      <c r="J50" s="1332" t="s">
        <v>570</v>
      </c>
      <c r="K50" s="1365" t="str">
        <f>IF(B50&gt;I50,"OK","REVISE")</f>
        <v>OK</v>
      </c>
      <c r="L50" s="1332"/>
    </row>
    <row r="51" spans="1:14" ht="15">
      <c r="A51" s="1332"/>
      <c r="B51" s="1332"/>
      <c r="C51" s="1332"/>
      <c r="D51" s="1332"/>
      <c r="E51" s="1332"/>
      <c r="F51" s="1332"/>
      <c r="G51" s="1332"/>
      <c r="H51" s="1332"/>
      <c r="I51" s="1332"/>
      <c r="J51" s="1332"/>
      <c r="K51" s="1332"/>
      <c r="L51" s="1332"/>
    </row>
    <row r="52" spans="1:14">
      <c r="A52" s="1392"/>
      <c r="B52" s="1392"/>
      <c r="C52" s="1392"/>
      <c r="D52" s="1392"/>
      <c r="E52" s="1392"/>
      <c r="F52" s="1392"/>
      <c r="G52" s="1392"/>
      <c r="H52" s="1392"/>
      <c r="I52" s="1392"/>
      <c r="J52" s="1392"/>
    </row>
    <row r="53" spans="1:14">
      <c r="A53" s="1392"/>
      <c r="B53" s="1392"/>
      <c r="C53" s="1392"/>
      <c r="D53" s="1392"/>
      <c r="E53" s="1392"/>
      <c r="F53" s="1392"/>
      <c r="G53" s="1392"/>
      <c r="H53" s="1392"/>
      <c r="I53" s="1392"/>
      <c r="J53" s="1392"/>
    </row>
    <row r="54" spans="1:14">
      <c r="A54" s="1392"/>
      <c r="B54" s="1392"/>
      <c r="C54" s="1392"/>
      <c r="D54" s="1392"/>
      <c r="E54" s="1392"/>
      <c r="F54" s="1392"/>
      <c r="G54" s="1392"/>
      <c r="H54" s="1392"/>
      <c r="I54" s="1392"/>
      <c r="J54" s="1392"/>
    </row>
    <row r="55" spans="1:14" ht="15">
      <c r="A55" s="1369" t="s">
        <v>728</v>
      </c>
      <c r="B55" s="1332"/>
      <c r="C55" s="1332"/>
      <c r="D55" s="1332"/>
      <c r="E55" s="1332"/>
      <c r="F55" s="1332"/>
      <c r="G55" s="1332"/>
      <c r="H55" s="1332"/>
      <c r="I55" s="1332"/>
      <c r="J55" s="1332"/>
      <c r="K55" s="1332"/>
      <c r="L55" s="1332"/>
      <c r="M55" s="1332"/>
      <c r="N55" s="1335"/>
    </row>
    <row r="56" spans="1:14" ht="18">
      <c r="A56" s="1332" t="s">
        <v>729</v>
      </c>
      <c r="B56" s="1332"/>
      <c r="C56" s="1332" t="s">
        <v>1</v>
      </c>
      <c r="D56" s="1332" t="s">
        <v>614</v>
      </c>
      <c r="E56" s="1332"/>
      <c r="F56" s="1332"/>
      <c r="G56" s="1332"/>
      <c r="H56" s="1332"/>
      <c r="I56" s="1332"/>
      <c r="J56" s="1332"/>
      <c r="K56" s="1332"/>
      <c r="L56" s="1332"/>
      <c r="M56" s="1332"/>
      <c r="N56" s="1335"/>
    </row>
    <row r="57" spans="1:14" ht="18">
      <c r="A57" s="1339" t="s">
        <v>68</v>
      </c>
      <c r="B57" s="1332"/>
      <c r="C57" s="1332" t="s">
        <v>1</v>
      </c>
      <c r="D57" s="1332" t="s">
        <v>721</v>
      </c>
      <c r="E57" s="1332"/>
      <c r="F57" s="1332"/>
      <c r="G57" s="1332"/>
      <c r="H57" s="1332"/>
      <c r="I57" s="1343" t="s">
        <v>722</v>
      </c>
      <c r="J57" s="1344" t="s">
        <v>1</v>
      </c>
      <c r="K57" s="1378">
        <v>1</v>
      </c>
      <c r="L57" s="1379"/>
      <c r="M57" s="1332"/>
      <c r="N57" s="1335"/>
    </row>
    <row r="58" spans="1:14" ht="15">
      <c r="A58" s="1332"/>
      <c r="B58" s="1332"/>
      <c r="C58" s="1332" t="s">
        <v>1</v>
      </c>
      <c r="D58" s="1337">
        <f>DEGREES(0.5 *ASIN(2*F4*10^4/(K57*1000*(K60*1000)*K58*F14)))</f>
        <v>3.666095353206535</v>
      </c>
      <c r="E58" s="1332" t="s">
        <v>168</v>
      </c>
      <c r="F58" s="1332"/>
      <c r="G58" s="1332"/>
      <c r="H58" s="1332"/>
      <c r="I58" s="1348" t="s">
        <v>723</v>
      </c>
      <c r="J58" s="1338" t="s">
        <v>1</v>
      </c>
      <c r="K58" s="1380">
        <v>0.6</v>
      </c>
      <c r="L58" s="1381"/>
      <c r="M58" s="1332"/>
      <c r="N58" s="1335"/>
    </row>
    <row r="59" spans="1:14" ht="15">
      <c r="A59" s="1332"/>
      <c r="B59" s="1332"/>
      <c r="C59" s="1332"/>
      <c r="D59" s="1332"/>
      <c r="E59" s="1332"/>
      <c r="F59" s="1332"/>
      <c r="G59" s="1332"/>
      <c r="H59" s="1332"/>
      <c r="I59" s="1348" t="s">
        <v>219</v>
      </c>
      <c r="J59" s="1338" t="s">
        <v>1</v>
      </c>
      <c r="K59" s="1382" t="s">
        <v>724</v>
      </c>
      <c r="L59" s="1381"/>
      <c r="M59" s="1332"/>
      <c r="N59" s="1335"/>
    </row>
    <row r="60" spans="1:14" ht="15">
      <c r="A60" s="1383" t="s">
        <v>725</v>
      </c>
      <c r="B60" s="1332"/>
      <c r="C60" s="1332" t="s">
        <v>1</v>
      </c>
      <c r="D60" s="1384">
        <v>45</v>
      </c>
      <c r="E60" s="1332" t="s">
        <v>168</v>
      </c>
      <c r="F60" s="1332"/>
      <c r="G60" s="1332"/>
      <c r="H60" s="1332"/>
      <c r="I60" s="1354"/>
      <c r="J60" s="1355" t="s">
        <v>1</v>
      </c>
      <c r="K60" s="1385">
        <f>0.9*F7</f>
        <v>0.76367532368147129</v>
      </c>
      <c r="L60" s="1386" t="s">
        <v>2</v>
      </c>
      <c r="M60" s="1332"/>
      <c r="N60" s="1335"/>
    </row>
    <row r="61" spans="1:14" ht="15">
      <c r="A61" s="1332"/>
      <c r="B61" s="1332"/>
      <c r="C61" s="1332"/>
      <c r="D61" s="1332"/>
      <c r="E61" s="1332"/>
      <c r="F61" s="1332"/>
      <c r="G61" s="1332"/>
      <c r="H61" s="1332"/>
      <c r="I61" s="1332"/>
      <c r="J61" s="1332"/>
      <c r="K61" s="1332"/>
      <c r="L61" s="1332"/>
      <c r="M61" s="1332"/>
      <c r="N61" s="1335"/>
    </row>
    <row r="62" spans="1:14" ht="15">
      <c r="A62" s="1369" t="s">
        <v>730</v>
      </c>
      <c r="B62" s="1332"/>
      <c r="C62" s="1332"/>
      <c r="D62" s="1332"/>
      <c r="E62" s="1332"/>
      <c r="F62" s="1332"/>
      <c r="G62" s="1332"/>
      <c r="H62" s="1332"/>
      <c r="I62" s="1332"/>
      <c r="J62" s="1332"/>
      <c r="K62" s="1332"/>
      <c r="L62" s="1332"/>
      <c r="M62" s="1332"/>
      <c r="N62" s="1335"/>
    </row>
    <row r="63" spans="1:14" ht="18">
      <c r="A63" s="1332" t="s">
        <v>614</v>
      </c>
      <c r="B63" s="1332"/>
      <c r="C63" s="1332" t="s">
        <v>1</v>
      </c>
      <c r="D63" s="1332" t="s">
        <v>726</v>
      </c>
      <c r="E63" s="1332" t="s">
        <v>1</v>
      </c>
      <c r="F63" s="1332" t="s">
        <v>727</v>
      </c>
      <c r="G63" s="1332"/>
      <c r="H63" s="1332"/>
      <c r="I63" s="1333" t="s">
        <v>731</v>
      </c>
      <c r="J63" s="1332"/>
      <c r="K63" s="1332"/>
      <c r="L63" s="1332"/>
      <c r="M63" s="1332"/>
      <c r="N63" s="1335"/>
    </row>
    <row r="64" spans="1:14" ht="18">
      <c r="A64" s="1332" t="s">
        <v>620</v>
      </c>
      <c r="B64" s="1332"/>
      <c r="C64" s="1332" t="s">
        <v>1</v>
      </c>
      <c r="D64" s="1332" t="s">
        <v>739</v>
      </c>
      <c r="E64" s="1332"/>
      <c r="F64" s="1332"/>
      <c r="G64" s="1332"/>
      <c r="H64" s="1332"/>
      <c r="I64" s="1332"/>
      <c r="J64" s="1332"/>
      <c r="K64" s="1332"/>
      <c r="L64" s="1332"/>
      <c r="M64" s="1332"/>
      <c r="N64" s="1335"/>
    </row>
    <row r="65" spans="1:14" ht="15">
      <c r="A65" s="1332" t="s">
        <v>740</v>
      </c>
      <c r="B65" s="1332"/>
      <c r="C65" s="1332" t="s">
        <v>1</v>
      </c>
      <c r="D65" s="1332" t="s">
        <v>741</v>
      </c>
      <c r="E65" s="1332"/>
      <c r="F65" s="1332"/>
      <c r="G65" s="1332"/>
      <c r="H65" s="1332"/>
      <c r="I65" s="1332"/>
      <c r="J65" s="1387" t="s">
        <v>302</v>
      </c>
      <c r="K65" s="1388" t="s">
        <v>1</v>
      </c>
      <c r="L65" s="1389">
        <v>1.1499999999999999</v>
      </c>
      <c r="M65" s="1332"/>
      <c r="N65" s="1335"/>
    </row>
    <row r="66" spans="1:14" ht="15">
      <c r="A66" s="1332" t="s">
        <v>740</v>
      </c>
      <c r="B66" s="1332"/>
      <c r="C66" s="1332" t="s">
        <v>1</v>
      </c>
      <c r="D66" s="1390">
        <f>0.8*F3/L65</f>
        <v>347.82608695652175</v>
      </c>
      <c r="E66" s="1332" t="s">
        <v>293</v>
      </c>
      <c r="F66" s="1332"/>
      <c r="G66" s="1332"/>
      <c r="H66" s="1332"/>
      <c r="I66" s="1332"/>
      <c r="J66" s="1332"/>
      <c r="K66" s="1332"/>
      <c r="L66" s="1332"/>
      <c r="M66" s="1332"/>
      <c r="N66" s="1335"/>
    </row>
    <row r="67" spans="1:14" ht="17.25">
      <c r="A67" s="1332" t="s">
        <v>620</v>
      </c>
      <c r="B67" s="1332"/>
      <c r="C67" s="1332" t="s">
        <v>1</v>
      </c>
      <c r="D67" s="1337">
        <f>F4*10^4*G49/(K60*1000*D66*(1/TAN(RADIANS(D60))))</f>
        <v>309.74784614209517</v>
      </c>
      <c r="E67" s="1332" t="s">
        <v>570</v>
      </c>
      <c r="F67" s="1332"/>
      <c r="G67" s="1332"/>
      <c r="H67" s="1332"/>
      <c r="I67" s="1332"/>
      <c r="J67" s="1332"/>
      <c r="K67" s="1332"/>
      <c r="L67" s="1332"/>
      <c r="M67" s="1332"/>
      <c r="N67" s="1335"/>
    </row>
    <row r="68" spans="1:14">
      <c r="A68" s="1392"/>
      <c r="B68" s="1392"/>
      <c r="C68" s="1392"/>
      <c r="D68" s="1392"/>
      <c r="E68" s="1392"/>
      <c r="F68" s="1392"/>
      <c r="G68" s="1392"/>
      <c r="H68" s="1392"/>
      <c r="I68" s="1392"/>
      <c r="J68" s="1392"/>
    </row>
    <row r="69" spans="1:14">
      <c r="A69" s="1392"/>
      <c r="B69" s="1392"/>
      <c r="C69" s="1392"/>
      <c r="D69" s="1392"/>
      <c r="E69" s="1392"/>
      <c r="F69" s="1392"/>
      <c r="G69" s="1392"/>
      <c r="H69" s="1392"/>
      <c r="I69" s="1392"/>
      <c r="J69" s="1392"/>
    </row>
    <row r="70" spans="1:14">
      <c r="A70" s="1392"/>
      <c r="B70" s="1392"/>
      <c r="C70" s="1392"/>
      <c r="D70" s="1392"/>
      <c r="E70" s="1392"/>
      <c r="F70" s="1392"/>
      <c r="G70" s="1392"/>
      <c r="H70" s="1392"/>
      <c r="I70" s="1392"/>
      <c r="J70" s="1392"/>
    </row>
    <row r="71" spans="1:14">
      <c r="A71" s="1392"/>
      <c r="B71" s="1392"/>
      <c r="C71" s="1392"/>
      <c r="D71" s="1392"/>
      <c r="E71" s="1392"/>
      <c r="F71" s="1392"/>
      <c r="G71" s="1392"/>
      <c r="H71" s="1392"/>
      <c r="I71" s="1392"/>
      <c r="J71" s="1392"/>
    </row>
    <row r="72" spans="1:14">
      <c r="A72" s="1392"/>
      <c r="B72" s="1392"/>
      <c r="C72" s="1392"/>
      <c r="D72" s="1392"/>
      <c r="E72" s="1392"/>
      <c r="F72" s="1392"/>
      <c r="G72" s="1392"/>
      <c r="H72" s="1392"/>
      <c r="I72" s="1392"/>
      <c r="J72" s="1392"/>
    </row>
    <row r="73" spans="1:14">
      <c r="A73" s="1392"/>
      <c r="B73" s="1392"/>
      <c r="C73" s="1392"/>
      <c r="D73" s="1392"/>
      <c r="E73" s="1392"/>
      <c r="F73" s="1392"/>
      <c r="G73" s="1392"/>
      <c r="H73" s="1392"/>
      <c r="I73" s="1392"/>
      <c r="J73" s="1392"/>
    </row>
    <row r="74" spans="1:14">
      <c r="A74" s="1392"/>
      <c r="B74" s="1392"/>
      <c r="C74" s="1392"/>
      <c r="D74" s="1392"/>
      <c r="E74" s="1392"/>
      <c r="F74" s="1392"/>
      <c r="G74" s="1392"/>
      <c r="H74" s="1392"/>
      <c r="I74" s="1392"/>
      <c r="J74" s="1392"/>
    </row>
    <row r="75" spans="1:14">
      <c r="A75" s="1392"/>
      <c r="B75" s="1392"/>
      <c r="C75" s="1392"/>
      <c r="D75" s="1392"/>
      <c r="E75" s="1392"/>
      <c r="F75" s="1392"/>
      <c r="G75" s="1392"/>
      <c r="H75" s="1392"/>
      <c r="I75" s="1392"/>
      <c r="J75" s="1392"/>
    </row>
    <row r="76" spans="1:14">
      <c r="A76" s="1392"/>
      <c r="B76" s="1392"/>
      <c r="C76" s="1392"/>
      <c r="D76" s="1392"/>
      <c r="E76" s="1392"/>
      <c r="F76" s="1392"/>
      <c r="G76" s="1392"/>
      <c r="H76" s="1392"/>
      <c r="I76" s="1392"/>
      <c r="J76" s="1392"/>
    </row>
    <row r="77" spans="1:14">
      <c r="A77" s="1392"/>
      <c r="B77" s="1392"/>
      <c r="C77" s="1392"/>
      <c r="D77" s="1392"/>
      <c r="E77" s="1392"/>
      <c r="F77" s="1392"/>
      <c r="G77" s="1392"/>
      <c r="H77" s="1392"/>
      <c r="I77" s="1392"/>
      <c r="J77" s="1392"/>
    </row>
    <row r="78" spans="1:14">
      <c r="A78" s="1392"/>
      <c r="B78" s="1392"/>
      <c r="C78" s="1392"/>
      <c r="D78" s="1392"/>
      <c r="E78" s="1392"/>
      <c r="F78" s="1392"/>
      <c r="G78" s="1392"/>
      <c r="H78" s="1392"/>
      <c r="I78" s="1392"/>
      <c r="J78" s="1392"/>
    </row>
    <row r="79" spans="1:14">
      <c r="A79" s="1392"/>
      <c r="B79" s="1392"/>
      <c r="C79" s="1392"/>
      <c r="D79" s="1392"/>
      <c r="E79" s="1392"/>
      <c r="F79" s="1392"/>
      <c r="G79" s="1392"/>
      <c r="H79" s="1392"/>
      <c r="I79" s="1392"/>
      <c r="J79" s="1392"/>
    </row>
    <row r="80" spans="1:14">
      <c r="A80" s="1392"/>
      <c r="B80" s="1392"/>
      <c r="C80" s="1392"/>
      <c r="D80" s="1392"/>
      <c r="E80" s="1392"/>
      <c r="F80" s="1392"/>
      <c r="G80" s="1392"/>
      <c r="H80" s="1392"/>
      <c r="I80" s="1392"/>
      <c r="J80" s="1392"/>
    </row>
    <row r="81" spans="1:10">
      <c r="A81" s="1392"/>
      <c r="B81" s="1392"/>
      <c r="C81" s="1392"/>
      <c r="D81" s="1392"/>
      <c r="E81" s="1392"/>
      <c r="F81" s="1392"/>
      <c r="G81" s="1392"/>
      <c r="H81" s="1392"/>
      <c r="I81" s="1392"/>
      <c r="J81" s="1392"/>
    </row>
    <row r="82" spans="1:10">
      <c r="A82" s="1392"/>
      <c r="B82" s="1392"/>
      <c r="C82" s="1392"/>
      <c r="D82" s="1392"/>
      <c r="E82" s="1392"/>
      <c r="F82" s="1392"/>
      <c r="G82" s="1392"/>
      <c r="H82" s="1392"/>
      <c r="I82" s="1392"/>
      <c r="J82" s="1392"/>
    </row>
    <row r="83" spans="1:10">
      <c r="A83" s="1392"/>
      <c r="B83" s="1392"/>
      <c r="C83" s="1392"/>
      <c r="D83" s="1392"/>
      <c r="E83" s="1392"/>
      <c r="F83" s="1392"/>
      <c r="G83" s="1392"/>
      <c r="H83" s="1392"/>
      <c r="I83" s="1392"/>
      <c r="J83" s="1392"/>
    </row>
    <row r="84" spans="1:10">
      <c r="A84" s="1392"/>
      <c r="B84" s="1392"/>
      <c r="C84" s="1392"/>
      <c r="D84" s="1392"/>
      <c r="E84" s="1392"/>
      <c r="F84" s="1392"/>
      <c r="G84" s="1392"/>
      <c r="H84" s="1392"/>
      <c r="I84" s="1392"/>
      <c r="J84" s="1392"/>
    </row>
    <row r="85" spans="1:10">
      <c r="A85" s="1392"/>
      <c r="B85" s="1392"/>
      <c r="C85" s="1392"/>
      <c r="D85" s="1392"/>
      <c r="E85" s="1392"/>
      <c r="F85" s="1392"/>
      <c r="G85" s="1392"/>
      <c r="H85" s="1392"/>
      <c r="I85" s="1392"/>
      <c r="J85" s="1392"/>
    </row>
    <row r="86" spans="1:10">
      <c r="A86" s="1392"/>
      <c r="B86" s="1392"/>
      <c r="C86" s="1392"/>
      <c r="D86" s="1392"/>
      <c r="E86" s="1392"/>
      <c r="F86" s="1392"/>
      <c r="G86" s="1392"/>
      <c r="H86" s="1392"/>
      <c r="I86" s="1392"/>
      <c r="J86" s="1392"/>
    </row>
    <row r="87" spans="1:10">
      <c r="A87" s="1392"/>
      <c r="B87" s="1392"/>
      <c r="C87" s="1392"/>
      <c r="D87" s="1392"/>
      <c r="E87" s="1392"/>
      <c r="F87" s="1392"/>
      <c r="G87" s="1392"/>
      <c r="H87" s="1392"/>
      <c r="I87" s="1392"/>
      <c r="J87" s="1392"/>
    </row>
    <row r="88" spans="1:10">
      <c r="A88" s="1392"/>
      <c r="B88" s="1392"/>
      <c r="C88" s="1392"/>
      <c r="D88" s="1392"/>
      <c r="E88" s="1392"/>
      <c r="F88" s="1392"/>
      <c r="G88" s="1392"/>
      <c r="H88" s="1392"/>
      <c r="I88" s="1392"/>
      <c r="J88" s="1392"/>
    </row>
    <row r="89" spans="1:10">
      <c r="A89" s="1392"/>
      <c r="B89" s="1392"/>
      <c r="C89" s="1392"/>
      <c r="D89" s="1392"/>
      <c r="E89" s="1392"/>
      <c r="F89" s="1392"/>
      <c r="G89" s="1392"/>
      <c r="H89" s="1392"/>
      <c r="I89" s="1392"/>
      <c r="J89" s="1392"/>
    </row>
    <row r="90" spans="1:10">
      <c r="A90" s="1392"/>
      <c r="B90" s="1392"/>
      <c r="C90" s="1392"/>
      <c r="D90" s="1392"/>
      <c r="E90" s="1392"/>
      <c r="F90" s="1392"/>
      <c r="G90" s="1392"/>
      <c r="H90" s="1392"/>
      <c r="I90" s="1392"/>
      <c r="J90" s="1392"/>
    </row>
    <row r="91" spans="1:10">
      <c r="A91" s="1392"/>
      <c r="B91" s="1392"/>
      <c r="C91" s="1392"/>
      <c r="D91" s="1392"/>
      <c r="E91" s="1392"/>
      <c r="F91" s="1392"/>
      <c r="G91" s="1392"/>
      <c r="H91" s="1392"/>
      <c r="I91" s="1392"/>
      <c r="J91" s="1392"/>
    </row>
    <row r="92" spans="1:10">
      <c r="A92" s="1392"/>
      <c r="B92" s="1392"/>
      <c r="C92" s="1392"/>
      <c r="D92" s="1392"/>
      <c r="E92" s="1392"/>
      <c r="F92" s="1392"/>
      <c r="G92" s="1392"/>
      <c r="H92" s="1392"/>
      <c r="I92" s="1392"/>
      <c r="J92" s="1392"/>
    </row>
    <row r="93" spans="1:10">
      <c r="A93" s="1392"/>
      <c r="B93" s="1392"/>
      <c r="C93" s="1392"/>
      <c r="D93" s="1392"/>
      <c r="E93" s="1392"/>
      <c r="F93" s="1392"/>
      <c r="G93" s="1392"/>
      <c r="H93" s="1392"/>
      <c r="I93" s="1392"/>
      <c r="J93" s="1392"/>
    </row>
    <row r="94" spans="1:10">
      <c r="A94" s="1392"/>
      <c r="B94" s="1392"/>
      <c r="C94" s="1392"/>
      <c r="D94" s="1392"/>
      <c r="E94" s="1392"/>
      <c r="F94" s="1392"/>
      <c r="G94" s="1392"/>
      <c r="H94" s="1392"/>
      <c r="I94" s="1392"/>
      <c r="J94" s="1392"/>
    </row>
    <row r="95" spans="1:10">
      <c r="A95" s="1392"/>
      <c r="B95" s="1392"/>
      <c r="C95" s="1392"/>
      <c r="D95" s="1392"/>
      <c r="E95" s="1392"/>
      <c r="F95" s="1392"/>
      <c r="G95" s="1392"/>
      <c r="H95" s="1392"/>
      <c r="I95" s="1392"/>
      <c r="J95" s="1392"/>
    </row>
    <row r="96" spans="1:10">
      <c r="A96" s="1392"/>
      <c r="B96" s="1392"/>
      <c r="C96" s="1392"/>
      <c r="D96" s="1392"/>
      <c r="E96" s="1392"/>
      <c r="F96" s="1392"/>
      <c r="G96" s="1392"/>
      <c r="H96" s="1392"/>
      <c r="I96" s="1392"/>
      <c r="J96" s="1392"/>
    </row>
    <row r="97" spans="1:10">
      <c r="A97" s="1392"/>
      <c r="B97" s="1392"/>
      <c r="C97" s="1392"/>
      <c r="D97" s="1392"/>
      <c r="E97" s="1392"/>
      <c r="F97" s="1392"/>
      <c r="G97" s="1392"/>
      <c r="H97" s="1392"/>
      <c r="I97" s="1392"/>
      <c r="J97" s="1392"/>
    </row>
    <row r="98" spans="1:10">
      <c r="A98" s="1392"/>
      <c r="B98" s="1392"/>
      <c r="C98" s="1392"/>
      <c r="D98" s="1392"/>
      <c r="E98" s="1392"/>
      <c r="F98" s="1392"/>
      <c r="G98" s="1392"/>
      <c r="H98" s="1392"/>
      <c r="I98" s="1392"/>
      <c r="J98" s="1392"/>
    </row>
    <row r="99" spans="1:10">
      <c r="A99" s="1392"/>
      <c r="B99" s="1392"/>
      <c r="C99" s="1392"/>
      <c r="D99" s="1392"/>
      <c r="E99" s="1392"/>
      <c r="F99" s="1392"/>
      <c r="G99" s="1392"/>
      <c r="H99" s="1392"/>
      <c r="I99" s="1392"/>
      <c r="J99" s="1392"/>
    </row>
    <row r="100" spans="1:10">
      <c r="A100" s="1392"/>
      <c r="B100" s="1392"/>
      <c r="C100" s="1392"/>
      <c r="D100" s="1392"/>
      <c r="E100" s="1392"/>
      <c r="F100" s="1392"/>
      <c r="G100" s="1392"/>
      <c r="H100" s="1392"/>
      <c r="I100" s="1392"/>
      <c r="J100" s="1392"/>
    </row>
    <row r="101" spans="1:10">
      <c r="A101" s="1392"/>
      <c r="B101" s="1392"/>
      <c r="C101" s="1392"/>
      <c r="D101" s="1392"/>
      <c r="E101" s="1392"/>
      <c r="F101" s="1392"/>
      <c r="G101" s="1392"/>
      <c r="H101" s="1392"/>
      <c r="I101" s="1392"/>
      <c r="J101" s="1392"/>
    </row>
    <row r="102" spans="1:10">
      <c r="A102" s="1392"/>
      <c r="B102" s="1392"/>
      <c r="C102" s="1392"/>
      <c r="D102" s="1392"/>
      <c r="E102" s="1392"/>
      <c r="F102" s="1392"/>
      <c r="G102" s="1392"/>
      <c r="H102" s="1392"/>
      <c r="I102" s="1392"/>
      <c r="J102" s="1392"/>
    </row>
    <row r="103" spans="1:10">
      <c r="A103" s="1392"/>
      <c r="B103" s="1392"/>
      <c r="C103" s="1392"/>
      <c r="D103" s="1392"/>
      <c r="E103" s="1392"/>
      <c r="F103" s="1392"/>
      <c r="G103" s="1392"/>
      <c r="H103" s="1392"/>
      <c r="I103" s="1392"/>
      <c r="J103" s="1392"/>
    </row>
    <row r="104" spans="1:10">
      <c r="A104" s="1392"/>
      <c r="B104" s="1392"/>
      <c r="C104" s="1392"/>
      <c r="D104" s="1392"/>
      <c r="E104" s="1392"/>
      <c r="F104" s="1392"/>
      <c r="G104" s="1392"/>
      <c r="H104" s="1392"/>
      <c r="I104" s="1392"/>
      <c r="J104" s="1392"/>
    </row>
    <row r="105" spans="1:10">
      <c r="A105" s="1392"/>
      <c r="B105" s="1392"/>
      <c r="C105" s="1392"/>
      <c r="D105" s="1392"/>
      <c r="E105" s="1392"/>
      <c r="F105" s="1392"/>
      <c r="G105" s="1392"/>
      <c r="H105" s="1392"/>
      <c r="I105" s="1392"/>
      <c r="J105" s="1392"/>
    </row>
    <row r="106" spans="1:10">
      <c r="A106" s="1392"/>
      <c r="B106" s="1392"/>
      <c r="C106" s="1392"/>
      <c r="D106" s="1392"/>
      <c r="E106" s="1392"/>
      <c r="F106" s="1392"/>
      <c r="G106" s="1392"/>
      <c r="H106" s="1392"/>
      <c r="I106" s="1392"/>
      <c r="J106" s="1392"/>
    </row>
    <row r="107" spans="1:10">
      <c r="A107" s="1392"/>
      <c r="B107" s="1392"/>
      <c r="C107" s="1392"/>
      <c r="D107" s="1392"/>
      <c r="E107" s="1392"/>
      <c r="F107" s="1392"/>
      <c r="G107" s="1392"/>
      <c r="H107" s="1392"/>
      <c r="I107" s="1392"/>
      <c r="J107" s="1392"/>
    </row>
    <row r="108" spans="1:10">
      <c r="A108" s="1392"/>
      <c r="B108" s="1392"/>
      <c r="C108" s="1392"/>
      <c r="D108" s="1392"/>
      <c r="E108" s="1392"/>
      <c r="F108" s="1392"/>
      <c r="G108" s="1392"/>
      <c r="H108" s="1392"/>
      <c r="I108" s="1392"/>
      <c r="J108" s="1392"/>
    </row>
    <row r="109" spans="1:10">
      <c r="A109" s="1392"/>
      <c r="B109" s="1392"/>
      <c r="C109" s="1392"/>
      <c r="D109" s="1392"/>
      <c r="E109" s="1392"/>
      <c r="F109" s="1392"/>
      <c r="G109" s="1392"/>
      <c r="H109" s="1392"/>
      <c r="I109" s="1392"/>
      <c r="J109" s="1392"/>
    </row>
    <row r="110" spans="1:10">
      <c r="A110" s="1392"/>
      <c r="B110" s="1392"/>
      <c r="C110" s="1392"/>
      <c r="D110" s="1392"/>
      <c r="E110" s="1392"/>
      <c r="F110" s="1392"/>
      <c r="G110" s="1392"/>
      <c r="H110" s="1392"/>
      <c r="I110" s="1392"/>
      <c r="J110" s="1392"/>
    </row>
    <row r="111" spans="1:10">
      <c r="A111" s="1392"/>
      <c r="B111" s="1392"/>
      <c r="C111" s="1392"/>
      <c r="D111" s="1392"/>
      <c r="E111" s="1392"/>
      <c r="F111" s="1392"/>
      <c r="G111" s="1392"/>
      <c r="H111" s="1392"/>
      <c r="I111" s="1392"/>
      <c r="J111" s="1392"/>
    </row>
    <row r="112" spans="1:10">
      <c r="A112" s="1392"/>
      <c r="B112" s="1392"/>
      <c r="C112" s="1392"/>
      <c r="D112" s="1392"/>
      <c r="E112" s="1392"/>
      <c r="F112" s="1392"/>
      <c r="G112" s="1392"/>
      <c r="H112" s="1392"/>
      <c r="I112" s="1392"/>
      <c r="J112" s="1392"/>
    </row>
    <row r="113" spans="1:10">
      <c r="A113" s="1392"/>
      <c r="B113" s="1392"/>
      <c r="C113" s="1392"/>
      <c r="D113" s="1392"/>
      <c r="E113" s="1392"/>
      <c r="F113" s="1392"/>
      <c r="G113" s="1392"/>
      <c r="H113" s="1392"/>
      <c r="I113" s="1392"/>
      <c r="J113" s="1392"/>
    </row>
    <row r="114" spans="1:10">
      <c r="A114" s="1392"/>
      <c r="B114" s="1392"/>
      <c r="C114" s="1392"/>
      <c r="D114" s="1392"/>
      <c r="E114" s="1392"/>
      <c r="F114" s="1392"/>
      <c r="G114" s="1392"/>
      <c r="H114" s="1392"/>
      <c r="I114" s="1392"/>
      <c r="J114" s="1392"/>
    </row>
    <row r="115" spans="1:10">
      <c r="A115" s="1392"/>
      <c r="B115" s="1392"/>
      <c r="C115" s="1392"/>
      <c r="D115" s="1392"/>
      <c r="E115" s="1392"/>
      <c r="F115" s="1392"/>
      <c r="G115" s="1392"/>
      <c r="H115" s="1392"/>
      <c r="I115" s="1392"/>
      <c r="J115" s="1392"/>
    </row>
    <row r="116" spans="1:10">
      <c r="A116" s="1392"/>
      <c r="B116" s="1392"/>
      <c r="C116" s="1392"/>
      <c r="D116" s="1392"/>
      <c r="E116" s="1392"/>
      <c r="F116" s="1392"/>
      <c r="G116" s="1392"/>
      <c r="H116" s="1392"/>
      <c r="I116" s="1392"/>
      <c r="J116" s="1392"/>
    </row>
    <row r="117" spans="1:10">
      <c r="A117" s="1392"/>
      <c r="B117" s="1392"/>
      <c r="C117" s="1392"/>
      <c r="D117" s="1392"/>
      <c r="E117" s="1392"/>
      <c r="F117" s="1392"/>
      <c r="G117" s="1392"/>
      <c r="H117" s="1392"/>
      <c r="I117" s="1392"/>
      <c r="J117" s="1392"/>
    </row>
    <row r="118" spans="1:10">
      <c r="A118" s="1392"/>
      <c r="B118" s="1392"/>
      <c r="C118" s="1392"/>
      <c r="D118" s="1392"/>
      <c r="E118" s="1392"/>
      <c r="F118" s="1392"/>
      <c r="G118" s="1392"/>
      <c r="H118" s="1392"/>
      <c r="I118" s="1392"/>
      <c r="J118" s="1392"/>
    </row>
    <row r="119" spans="1:10">
      <c r="A119" s="1392"/>
      <c r="B119" s="1392"/>
      <c r="C119" s="1392"/>
      <c r="D119" s="1392"/>
      <c r="E119" s="1392"/>
      <c r="F119" s="1392"/>
      <c r="G119" s="1392"/>
      <c r="H119" s="1392"/>
      <c r="I119" s="1392"/>
      <c r="J119" s="1392"/>
    </row>
    <row r="120" spans="1:10">
      <c r="A120" s="1392"/>
      <c r="B120" s="1393"/>
      <c r="C120" s="1393"/>
      <c r="D120" s="1393"/>
      <c r="E120" s="1393"/>
      <c r="F120" s="1393"/>
      <c r="G120" s="1393"/>
      <c r="H120" s="1393"/>
      <c r="I120" s="1393"/>
      <c r="J120" s="1393"/>
    </row>
    <row r="121" spans="1:10">
      <c r="A121" s="1392"/>
      <c r="B121" s="1393"/>
      <c r="C121" s="1393"/>
      <c r="D121" s="1393"/>
      <c r="E121" s="1393"/>
      <c r="F121" s="1393"/>
      <c r="G121" s="1393"/>
      <c r="H121" s="1393"/>
      <c r="I121" s="1393"/>
      <c r="J121" s="1393"/>
    </row>
    <row r="122" spans="1:10">
      <c r="A122" s="1392"/>
      <c r="B122" s="1393"/>
      <c r="C122" s="1393"/>
      <c r="D122" s="1393"/>
      <c r="E122" s="1393"/>
      <c r="F122" s="1393"/>
      <c r="G122" s="1393"/>
      <c r="H122" s="1393"/>
      <c r="I122" s="1393"/>
      <c r="J122" s="1393"/>
    </row>
    <row r="123" spans="1:10">
      <c r="A123" s="1392"/>
      <c r="B123" s="1393"/>
      <c r="C123" s="1393"/>
      <c r="D123" s="1393"/>
      <c r="E123" s="1393"/>
      <c r="F123" s="1393"/>
      <c r="G123" s="1393"/>
      <c r="H123" s="1393"/>
      <c r="I123" s="1393"/>
      <c r="J123" s="1393"/>
    </row>
    <row r="124" spans="1:10">
      <c r="A124" s="1392"/>
      <c r="B124" s="1393"/>
      <c r="C124" s="1393"/>
      <c r="D124" s="1393"/>
      <c r="E124" s="1393"/>
      <c r="F124" s="1393"/>
      <c r="G124" s="1393"/>
      <c r="H124" s="1393"/>
      <c r="I124" s="1393"/>
      <c r="J124" s="1393"/>
    </row>
    <row r="125" spans="1:10">
      <c r="A125" s="1392"/>
      <c r="B125" s="1393"/>
      <c r="C125" s="1393"/>
      <c r="D125" s="1393"/>
      <c r="E125" s="1393"/>
      <c r="F125" s="1393"/>
      <c r="G125" s="1393"/>
      <c r="H125" s="1393"/>
      <c r="I125" s="1393"/>
      <c r="J125" s="1393"/>
    </row>
    <row r="126" spans="1:10">
      <c r="A126" s="1392"/>
      <c r="B126" s="1393"/>
      <c r="C126" s="1393"/>
      <c r="D126" s="1393"/>
      <c r="E126" s="1393"/>
      <c r="F126" s="1393"/>
      <c r="G126" s="1393"/>
      <c r="H126" s="1393"/>
      <c r="I126" s="1393"/>
      <c r="J126" s="1393"/>
    </row>
    <row r="127" spans="1:10">
      <c r="A127" s="1392"/>
      <c r="B127" s="1393"/>
      <c r="C127" s="1393"/>
      <c r="D127" s="1393"/>
      <c r="E127" s="1393"/>
      <c r="F127" s="1393"/>
      <c r="G127" s="1393"/>
      <c r="H127" s="1393"/>
      <c r="I127" s="1393"/>
      <c r="J127" s="1393"/>
    </row>
    <row r="128" spans="1:10">
      <c r="A128" s="1392"/>
      <c r="B128" s="1393"/>
      <c r="C128" s="1393"/>
      <c r="D128" s="1393"/>
      <c r="E128" s="1393"/>
      <c r="F128" s="1393"/>
      <c r="G128" s="1393"/>
      <c r="H128" s="1393"/>
      <c r="I128" s="1393"/>
      <c r="J128" s="1393"/>
    </row>
    <row r="129" spans="1:10">
      <c r="A129" s="1392"/>
      <c r="B129" s="1393"/>
      <c r="C129" s="1393"/>
      <c r="D129" s="1393"/>
      <c r="E129" s="1393"/>
      <c r="F129" s="1393"/>
      <c r="G129" s="1393"/>
      <c r="H129" s="1393"/>
      <c r="I129" s="1393"/>
      <c r="J129" s="1393"/>
    </row>
    <row r="130" spans="1:10">
      <c r="A130" s="1392"/>
      <c r="B130" s="1393"/>
      <c r="C130" s="1393"/>
      <c r="D130" s="1393"/>
      <c r="E130" s="1393"/>
      <c r="F130" s="1393"/>
      <c r="G130" s="1393"/>
      <c r="H130" s="1393"/>
      <c r="I130" s="1393"/>
      <c r="J130" s="1393"/>
    </row>
    <row r="131" spans="1:10">
      <c r="A131" s="1392"/>
      <c r="B131" s="1393"/>
      <c r="C131" s="1393"/>
      <c r="D131" s="1393"/>
      <c r="E131" s="1393"/>
      <c r="F131" s="1393"/>
      <c r="G131" s="1393"/>
      <c r="H131" s="1393"/>
      <c r="I131" s="1393"/>
      <c r="J131" s="1393"/>
    </row>
    <row r="132" spans="1:10">
      <c r="A132" s="1392"/>
      <c r="B132" s="1393"/>
      <c r="C132" s="1393"/>
      <c r="D132" s="1393"/>
      <c r="E132" s="1393"/>
      <c r="F132" s="1393"/>
      <c r="G132" s="1393"/>
      <c r="H132" s="1393"/>
      <c r="I132" s="1393"/>
      <c r="J132" s="1393"/>
    </row>
    <row r="133" spans="1:10">
      <c r="A133" s="1392"/>
      <c r="B133" s="1393"/>
      <c r="C133" s="1393"/>
      <c r="D133" s="1393"/>
      <c r="E133" s="1393"/>
      <c r="F133" s="1393"/>
      <c r="G133" s="1393"/>
      <c r="H133" s="1393"/>
      <c r="I133" s="1393"/>
      <c r="J133" s="1393"/>
    </row>
    <row r="134" spans="1:10">
      <c r="A134" s="1392"/>
      <c r="B134" s="1393"/>
      <c r="C134" s="1393"/>
      <c r="D134" s="1393"/>
      <c r="E134" s="1393"/>
      <c r="F134" s="1393"/>
      <c r="G134" s="1393"/>
      <c r="H134" s="1393"/>
      <c r="I134" s="1393"/>
      <c r="J134" s="1393"/>
    </row>
    <row r="135" spans="1:10">
      <c r="A135" s="1392"/>
      <c r="B135" s="1393"/>
      <c r="C135" s="1393"/>
      <c r="D135" s="1393"/>
      <c r="E135" s="1393"/>
      <c r="F135" s="1393"/>
      <c r="G135" s="1393"/>
      <c r="H135" s="1393"/>
      <c r="I135" s="1393"/>
      <c r="J135" s="1393"/>
    </row>
    <row r="136" spans="1:10">
      <c r="A136" s="1392"/>
      <c r="B136" s="1393"/>
      <c r="C136" s="1393"/>
      <c r="D136" s="1393"/>
      <c r="E136" s="1393"/>
      <c r="F136" s="1393"/>
      <c r="G136" s="1393"/>
      <c r="H136" s="1393"/>
      <c r="I136" s="1393"/>
      <c r="J136" s="1393"/>
    </row>
    <row r="137" spans="1:10">
      <c r="A137" s="1392"/>
      <c r="B137" s="1393"/>
      <c r="C137" s="1393"/>
      <c r="D137" s="1393"/>
      <c r="E137" s="1393"/>
      <c r="F137" s="1393"/>
      <c r="G137" s="1393"/>
      <c r="H137" s="1393"/>
      <c r="I137" s="1393"/>
      <c r="J137" s="1393"/>
    </row>
    <row r="138" spans="1:10">
      <c r="A138" s="1392"/>
      <c r="B138" s="1393"/>
      <c r="C138" s="1393"/>
      <c r="D138" s="1393"/>
      <c r="E138" s="1393"/>
      <c r="F138" s="1393"/>
      <c r="G138" s="1393"/>
      <c r="H138" s="1393"/>
      <c r="I138" s="1393"/>
      <c r="J138" s="1393"/>
    </row>
    <row r="139" spans="1:10">
      <c r="A139" s="1392"/>
      <c r="B139" s="1393"/>
      <c r="C139" s="1393"/>
      <c r="D139" s="1393"/>
      <c r="E139" s="1393"/>
      <c r="F139" s="1393"/>
      <c r="G139" s="1393"/>
      <c r="H139" s="1393"/>
      <c r="I139" s="1393"/>
      <c r="J139" s="1393"/>
    </row>
    <row r="140" spans="1:10">
      <c r="A140" s="1392"/>
      <c r="B140" s="1393"/>
      <c r="C140" s="1393"/>
      <c r="D140" s="1393"/>
      <c r="E140" s="1393"/>
      <c r="F140" s="1393"/>
      <c r="G140" s="1393"/>
      <c r="H140" s="1393"/>
      <c r="I140" s="1393"/>
      <c r="J140" s="1393"/>
    </row>
    <row r="141" spans="1:10">
      <c r="A141" s="1392"/>
      <c r="B141" s="1393"/>
      <c r="C141" s="1393"/>
      <c r="D141" s="1393"/>
      <c r="E141" s="1393"/>
      <c r="F141" s="1393"/>
      <c r="G141" s="1393"/>
      <c r="H141" s="1393"/>
      <c r="I141" s="1393"/>
      <c r="J141" s="1393"/>
    </row>
    <row r="142" spans="1:10">
      <c r="A142" s="1392"/>
      <c r="B142" s="1393"/>
      <c r="C142" s="1393"/>
      <c r="D142" s="1393"/>
      <c r="E142" s="1393"/>
      <c r="F142" s="1393"/>
      <c r="G142" s="1393"/>
      <c r="H142" s="1393"/>
      <c r="I142" s="1393"/>
      <c r="J142" s="1393"/>
    </row>
    <row r="143" spans="1:10">
      <c r="A143" s="1392"/>
      <c r="B143" s="1393"/>
      <c r="C143" s="1393"/>
      <c r="D143" s="1393"/>
      <c r="E143" s="1393"/>
      <c r="F143" s="1393"/>
      <c r="G143" s="1393"/>
      <c r="H143" s="1393"/>
      <c r="I143" s="1393"/>
      <c r="J143" s="1393"/>
    </row>
    <row r="144" spans="1:10">
      <c r="A144" s="1392"/>
      <c r="B144" s="1393"/>
      <c r="C144" s="1393"/>
      <c r="D144" s="1393"/>
      <c r="E144" s="1393"/>
      <c r="F144" s="1393"/>
      <c r="G144" s="1393"/>
      <c r="H144" s="1393"/>
      <c r="I144" s="1393"/>
      <c r="J144" s="1393"/>
    </row>
    <row r="145" spans="1:10">
      <c r="A145" s="1392"/>
      <c r="B145" s="1393"/>
      <c r="C145" s="1393"/>
      <c r="D145" s="1393"/>
      <c r="E145" s="1393"/>
      <c r="F145" s="1393"/>
      <c r="G145" s="1393"/>
      <c r="H145" s="1393"/>
      <c r="I145" s="1393"/>
      <c r="J145" s="1393"/>
    </row>
    <row r="146" spans="1:10">
      <c r="A146" s="1392"/>
      <c r="B146" s="1393"/>
      <c r="C146" s="1393"/>
      <c r="D146" s="1393"/>
      <c r="E146" s="1393"/>
      <c r="F146" s="1393"/>
      <c r="G146" s="1393"/>
      <c r="H146" s="1393"/>
      <c r="I146" s="1393"/>
      <c r="J146" s="1393"/>
    </row>
    <row r="147" spans="1:10">
      <c r="A147" s="1392"/>
      <c r="B147" s="1393"/>
      <c r="C147" s="1393"/>
      <c r="D147" s="1393"/>
      <c r="E147" s="1393"/>
      <c r="F147" s="1393"/>
      <c r="G147" s="1393"/>
      <c r="H147" s="1393"/>
      <c r="I147" s="1393"/>
      <c r="J147" s="1393"/>
    </row>
    <row r="148" spans="1:10">
      <c r="A148" s="1392"/>
      <c r="B148" s="1393"/>
      <c r="C148" s="1393"/>
      <c r="D148" s="1393"/>
      <c r="E148" s="1393"/>
      <c r="F148" s="1393"/>
      <c r="G148" s="1393"/>
      <c r="H148" s="1393"/>
      <c r="I148" s="1393"/>
      <c r="J148" s="1393"/>
    </row>
    <row r="149" spans="1:10">
      <c r="A149" s="1392"/>
      <c r="B149" s="1393"/>
      <c r="C149" s="1393"/>
      <c r="D149" s="1393"/>
      <c r="E149" s="1393"/>
      <c r="F149" s="1393"/>
      <c r="G149" s="1393"/>
      <c r="H149" s="1393"/>
      <c r="I149" s="1393"/>
      <c r="J149" s="1393"/>
    </row>
    <row r="150" spans="1:10">
      <c r="A150" s="1392"/>
      <c r="B150" s="1393"/>
      <c r="C150" s="1393"/>
      <c r="D150" s="1393"/>
      <c r="E150" s="1393"/>
      <c r="F150" s="1393"/>
      <c r="G150" s="1393"/>
      <c r="H150" s="1393"/>
      <c r="I150" s="1393"/>
      <c r="J150" s="1393"/>
    </row>
    <row r="151" spans="1:10">
      <c r="A151" s="1392"/>
      <c r="B151" s="1393"/>
      <c r="C151" s="1393"/>
      <c r="D151" s="1393"/>
      <c r="E151" s="1393"/>
      <c r="F151" s="1393"/>
      <c r="G151" s="1393"/>
      <c r="H151" s="1393"/>
      <c r="I151" s="1393"/>
      <c r="J151" s="1393"/>
    </row>
    <row r="152" spans="1:10">
      <c r="A152" s="1392"/>
      <c r="B152" s="1393"/>
      <c r="C152" s="1393"/>
      <c r="D152" s="1393"/>
      <c r="E152" s="1393"/>
      <c r="F152" s="1393"/>
      <c r="G152" s="1393"/>
      <c r="H152" s="1393"/>
      <c r="I152" s="1393"/>
      <c r="J152" s="1393"/>
    </row>
    <row r="153" spans="1:10">
      <c r="A153" s="1392"/>
      <c r="B153" s="1393"/>
      <c r="C153" s="1393"/>
      <c r="D153" s="1393"/>
      <c r="E153" s="1393"/>
      <c r="F153" s="1393"/>
      <c r="G153" s="1393"/>
      <c r="H153" s="1393"/>
      <c r="I153" s="1393"/>
      <c r="J153" s="1393"/>
    </row>
    <row r="154" spans="1:10">
      <c r="A154" s="1392"/>
      <c r="B154" s="1393"/>
      <c r="C154" s="1393"/>
      <c r="D154" s="1393"/>
      <c r="E154" s="1393"/>
      <c r="F154" s="1393"/>
      <c r="G154" s="1393"/>
      <c r="H154" s="1393"/>
      <c r="I154" s="1393"/>
      <c r="J154" s="1393"/>
    </row>
    <row r="155" spans="1:10">
      <c r="A155" s="1392"/>
      <c r="B155" s="1393"/>
      <c r="C155" s="1393"/>
      <c r="D155" s="1393"/>
      <c r="E155" s="1393"/>
      <c r="F155" s="1393"/>
      <c r="G155" s="1393"/>
      <c r="H155" s="1393"/>
      <c r="I155" s="1393"/>
      <c r="J155" s="1393"/>
    </row>
    <row r="156" spans="1:10">
      <c r="A156" s="1392"/>
      <c r="B156" s="1393"/>
      <c r="C156" s="1393"/>
      <c r="D156" s="1393"/>
      <c r="E156" s="1393"/>
      <c r="F156" s="1393"/>
      <c r="G156" s="1393"/>
      <c r="H156" s="1393"/>
      <c r="I156" s="1393"/>
      <c r="J156" s="1393"/>
    </row>
    <row r="157" spans="1:10">
      <c r="A157" s="1392"/>
      <c r="B157" s="1393"/>
      <c r="C157" s="1393"/>
      <c r="D157" s="1393"/>
      <c r="E157" s="1393"/>
      <c r="F157" s="1393"/>
      <c r="G157" s="1393"/>
      <c r="H157" s="1393"/>
      <c r="I157" s="1393"/>
      <c r="J157" s="1393"/>
    </row>
    <row r="158" spans="1:10">
      <c r="A158" s="1392"/>
      <c r="B158" s="1393"/>
      <c r="C158" s="1393"/>
      <c r="D158" s="1393"/>
      <c r="E158" s="1393"/>
      <c r="F158" s="1393"/>
      <c r="G158" s="1393"/>
      <c r="H158" s="1393"/>
      <c r="I158" s="1393"/>
      <c r="J158" s="1393"/>
    </row>
    <row r="159" spans="1:10">
      <c r="A159" s="1392"/>
      <c r="B159" s="1393"/>
      <c r="C159" s="1393"/>
      <c r="D159" s="1393"/>
      <c r="E159" s="1393"/>
      <c r="F159" s="1393"/>
      <c r="G159" s="1393"/>
      <c r="H159" s="1393"/>
      <c r="I159" s="1393"/>
      <c r="J159" s="1393"/>
    </row>
    <row r="160" spans="1:10">
      <c r="A160" s="1392"/>
      <c r="B160" s="1393"/>
      <c r="C160" s="1393"/>
      <c r="D160" s="1393"/>
      <c r="E160" s="1393"/>
      <c r="F160" s="1393"/>
      <c r="G160" s="1393"/>
      <c r="H160" s="1393"/>
      <c r="I160" s="1393"/>
      <c r="J160" s="1393"/>
    </row>
    <row r="161" spans="1:10">
      <c r="A161" s="1392"/>
      <c r="B161" s="1393"/>
      <c r="C161" s="1393"/>
      <c r="D161" s="1393"/>
      <c r="E161" s="1393"/>
      <c r="F161" s="1393"/>
      <c r="G161" s="1393"/>
      <c r="H161" s="1393"/>
      <c r="I161" s="1393"/>
      <c r="J161" s="1393"/>
    </row>
    <row r="162" spans="1:10">
      <c r="A162" s="1392"/>
      <c r="B162" s="1393"/>
      <c r="C162" s="1393"/>
      <c r="D162" s="1393"/>
      <c r="E162" s="1393"/>
      <c r="F162" s="1393"/>
      <c r="G162" s="1393"/>
      <c r="H162" s="1393"/>
      <c r="I162" s="1393"/>
      <c r="J162" s="1393"/>
    </row>
    <row r="163" spans="1:10">
      <c r="A163" s="1392"/>
      <c r="B163" s="1393"/>
      <c r="C163" s="1393"/>
      <c r="D163" s="1393"/>
      <c r="E163" s="1393"/>
      <c r="F163" s="1393"/>
      <c r="G163" s="1393"/>
      <c r="H163" s="1393"/>
      <c r="I163" s="1393"/>
      <c r="J163" s="1393"/>
    </row>
    <row r="164" spans="1:10">
      <c r="A164" s="1392"/>
      <c r="B164" s="1393"/>
      <c r="C164" s="1393"/>
      <c r="D164" s="1393"/>
      <c r="E164" s="1393"/>
      <c r="F164" s="1393"/>
      <c r="G164" s="1393"/>
      <c r="H164" s="1393"/>
      <c r="I164" s="1393"/>
      <c r="J164" s="1393"/>
    </row>
    <row r="165" spans="1:10">
      <c r="A165" s="1392"/>
      <c r="B165" s="1393"/>
      <c r="C165" s="1393"/>
      <c r="D165" s="1393"/>
      <c r="E165" s="1393"/>
      <c r="F165" s="1393"/>
      <c r="G165" s="1393"/>
      <c r="H165" s="1393"/>
      <c r="I165" s="1393"/>
      <c r="J165" s="1393"/>
    </row>
    <row r="166" spans="1:10">
      <c r="A166" s="1392"/>
      <c r="B166" s="1393"/>
      <c r="C166" s="1393"/>
      <c r="D166" s="1393"/>
      <c r="E166" s="1393"/>
      <c r="F166" s="1393"/>
      <c r="G166" s="1393"/>
      <c r="H166" s="1393"/>
      <c r="I166" s="1393"/>
      <c r="J166" s="1393"/>
    </row>
    <row r="167" spans="1:10">
      <c r="A167" s="1392"/>
      <c r="B167" s="1393"/>
      <c r="C167" s="1393"/>
      <c r="D167" s="1393"/>
      <c r="E167" s="1393"/>
      <c r="F167" s="1393"/>
      <c r="G167" s="1393"/>
      <c r="H167" s="1393"/>
      <c r="I167" s="1393"/>
      <c r="J167" s="1393"/>
    </row>
    <row r="168" spans="1:10">
      <c r="A168" s="1392"/>
      <c r="B168" s="1393"/>
      <c r="C168" s="1393"/>
      <c r="D168" s="1393"/>
      <c r="E168" s="1393"/>
      <c r="F168" s="1393"/>
      <c r="G168" s="1393"/>
      <c r="H168" s="1393"/>
      <c r="I168" s="1393"/>
      <c r="J168" s="1393"/>
    </row>
    <row r="169" spans="1:10">
      <c r="A169" s="1392"/>
      <c r="B169" s="1393"/>
      <c r="C169" s="1393"/>
      <c r="D169" s="1393"/>
      <c r="E169" s="1393"/>
      <c r="F169" s="1393"/>
      <c r="G169" s="1393"/>
      <c r="H169" s="1393"/>
      <c r="I169" s="1393"/>
      <c r="J169" s="1393"/>
    </row>
    <row r="170" spans="1:10">
      <c r="A170" s="1392"/>
      <c r="B170" s="1393"/>
      <c r="C170" s="1393"/>
      <c r="D170" s="1393"/>
      <c r="E170" s="1393"/>
      <c r="F170" s="1393"/>
      <c r="G170" s="1393"/>
      <c r="H170" s="1393"/>
      <c r="I170" s="1393"/>
      <c r="J170" s="1393"/>
    </row>
    <row r="171" spans="1:10">
      <c r="A171" s="1392"/>
      <c r="B171" s="1393"/>
      <c r="C171" s="1393"/>
      <c r="D171" s="1393"/>
      <c r="E171" s="1393"/>
      <c r="F171" s="1393"/>
      <c r="G171" s="1393"/>
      <c r="H171" s="1393"/>
      <c r="I171" s="1393"/>
      <c r="J171" s="1393"/>
    </row>
    <row r="172" spans="1:10">
      <c r="A172" s="1392"/>
      <c r="B172" s="1393"/>
      <c r="C172" s="1393"/>
      <c r="D172" s="1393"/>
      <c r="E172" s="1393"/>
      <c r="F172" s="1393"/>
      <c r="G172" s="1393"/>
      <c r="H172" s="1393"/>
      <c r="I172" s="1393"/>
      <c r="J172" s="1393"/>
    </row>
    <row r="173" spans="1:10">
      <c r="A173" s="1392"/>
      <c r="B173" s="1393"/>
      <c r="C173" s="1393"/>
      <c r="D173" s="1393"/>
      <c r="E173" s="1393"/>
      <c r="F173" s="1393"/>
      <c r="G173" s="1393"/>
      <c r="H173" s="1393"/>
      <c r="I173" s="1393"/>
      <c r="J173" s="1393"/>
    </row>
    <row r="174" spans="1:10">
      <c r="A174" s="1392"/>
      <c r="B174" s="1393"/>
      <c r="C174" s="1393"/>
      <c r="D174" s="1393"/>
      <c r="E174" s="1393"/>
      <c r="F174" s="1393"/>
      <c r="G174" s="1393"/>
      <c r="H174" s="1393"/>
      <c r="I174" s="1393"/>
      <c r="J174" s="1393"/>
    </row>
    <row r="175" spans="1:10">
      <c r="A175" s="1392"/>
      <c r="B175" s="1393"/>
      <c r="C175" s="1393"/>
      <c r="D175" s="1393"/>
      <c r="E175" s="1393"/>
      <c r="F175" s="1393"/>
      <c r="G175" s="1393"/>
      <c r="H175" s="1393"/>
      <c r="I175" s="1393"/>
      <c r="J175" s="1393"/>
    </row>
    <row r="176" spans="1:10">
      <c r="A176" s="1392"/>
      <c r="B176" s="1393"/>
      <c r="C176" s="1393"/>
      <c r="D176" s="1393"/>
      <c r="E176" s="1393"/>
      <c r="F176" s="1393"/>
      <c r="G176" s="1393"/>
      <c r="H176" s="1393"/>
      <c r="I176" s="1393"/>
      <c r="J176" s="1393"/>
    </row>
    <row r="177" spans="1:10">
      <c r="A177" s="1392"/>
      <c r="B177" s="1393"/>
      <c r="C177" s="1393"/>
      <c r="D177" s="1393"/>
      <c r="E177" s="1393"/>
      <c r="F177" s="1393"/>
      <c r="G177" s="1393"/>
      <c r="H177" s="1393"/>
      <c r="I177" s="1393"/>
      <c r="J177" s="1393"/>
    </row>
    <row r="178" spans="1:10">
      <c r="A178" s="1392"/>
      <c r="B178" s="1393"/>
      <c r="C178" s="1393"/>
      <c r="D178" s="1393"/>
      <c r="E178" s="1393"/>
      <c r="F178" s="1393"/>
      <c r="G178" s="1393"/>
      <c r="H178" s="1393"/>
      <c r="I178" s="1393"/>
      <c r="J178" s="1393"/>
    </row>
    <row r="179" spans="1:10">
      <c r="A179" s="1392"/>
      <c r="B179" s="1393"/>
      <c r="C179" s="1393"/>
      <c r="D179" s="1393"/>
      <c r="E179" s="1393"/>
      <c r="F179" s="1393"/>
      <c r="G179" s="1393"/>
      <c r="H179" s="1393"/>
      <c r="I179" s="1393"/>
      <c r="J179" s="1393"/>
    </row>
    <row r="180" spans="1:10">
      <c r="A180" s="1392"/>
      <c r="B180" s="1393"/>
      <c r="C180" s="1393"/>
      <c r="D180" s="1393"/>
      <c r="E180" s="1393"/>
      <c r="F180" s="1393"/>
      <c r="G180" s="1393"/>
      <c r="H180" s="1393"/>
      <c r="I180" s="1393"/>
      <c r="J180" s="1393"/>
    </row>
    <row r="181" spans="1:10">
      <c r="A181" s="1392"/>
      <c r="B181" s="1393"/>
      <c r="C181" s="1393"/>
      <c r="D181" s="1393"/>
      <c r="E181" s="1393"/>
      <c r="F181" s="1393"/>
      <c r="G181" s="1393"/>
      <c r="H181" s="1393"/>
      <c r="I181" s="1393"/>
      <c r="J181" s="1393"/>
    </row>
    <row r="182" spans="1:10">
      <c r="A182" s="1392"/>
      <c r="B182" s="1393"/>
      <c r="C182" s="1393"/>
      <c r="D182" s="1393"/>
      <c r="E182" s="1393"/>
      <c r="F182" s="1393"/>
      <c r="G182" s="1393"/>
      <c r="H182" s="1393"/>
      <c r="I182" s="1393"/>
      <c r="J182" s="1393"/>
    </row>
    <row r="183" spans="1:10">
      <c r="A183" s="1392"/>
      <c r="B183" s="1393"/>
      <c r="C183" s="1393"/>
      <c r="D183" s="1393"/>
      <c r="E183" s="1393"/>
      <c r="F183" s="1393"/>
      <c r="G183" s="1393"/>
      <c r="H183" s="1393"/>
      <c r="I183" s="1393"/>
      <c r="J183" s="1393"/>
    </row>
    <row r="184" spans="1:10">
      <c r="A184" s="1392"/>
      <c r="B184" s="1393"/>
      <c r="C184" s="1393"/>
      <c r="D184" s="1393"/>
      <c r="E184" s="1393"/>
      <c r="F184" s="1393"/>
      <c r="G184" s="1393"/>
      <c r="H184" s="1393"/>
      <c r="I184" s="1393"/>
      <c r="J184" s="1393"/>
    </row>
    <row r="185" spans="1:10">
      <c r="A185" s="1392"/>
      <c r="B185" s="1393"/>
      <c r="C185" s="1393"/>
      <c r="D185" s="1393"/>
      <c r="E185" s="1393"/>
      <c r="F185" s="1393"/>
      <c r="G185" s="1393"/>
      <c r="H185" s="1393"/>
      <c r="I185" s="1393"/>
      <c r="J185" s="1393"/>
    </row>
    <row r="186" spans="1:10">
      <c r="A186" s="1392"/>
      <c r="B186" s="1393"/>
      <c r="C186" s="1393"/>
      <c r="D186" s="1393"/>
      <c r="E186" s="1393"/>
      <c r="F186" s="1393"/>
      <c r="G186" s="1393"/>
      <c r="H186" s="1393"/>
      <c r="I186" s="1393"/>
      <c r="J186" s="1393"/>
    </row>
    <row r="187" spans="1:10">
      <c r="A187" s="1392"/>
      <c r="B187" s="1393"/>
      <c r="C187" s="1393"/>
      <c r="D187" s="1393"/>
      <c r="E187" s="1393"/>
      <c r="F187" s="1393"/>
      <c r="G187" s="1393"/>
      <c r="H187" s="1393"/>
      <c r="I187" s="1393"/>
      <c r="J187" s="1393"/>
    </row>
    <row r="188" spans="1:10">
      <c r="A188" s="1392"/>
      <c r="B188" s="1393"/>
      <c r="C188" s="1393"/>
      <c r="D188" s="1393"/>
      <c r="E188" s="1393"/>
      <c r="F188" s="1393"/>
      <c r="G188" s="1393"/>
      <c r="H188" s="1393"/>
      <c r="I188" s="1393"/>
      <c r="J188" s="1393"/>
    </row>
    <row r="189" spans="1:10">
      <c r="A189" s="1392"/>
      <c r="B189" s="1393"/>
      <c r="C189" s="1393"/>
      <c r="D189" s="1393"/>
      <c r="E189" s="1393"/>
      <c r="F189" s="1393"/>
      <c r="G189" s="1393"/>
      <c r="H189" s="1393"/>
      <c r="I189" s="1393"/>
      <c r="J189" s="1393"/>
    </row>
    <row r="190" spans="1:10">
      <c r="A190" s="1392"/>
      <c r="B190" s="1393"/>
      <c r="C190" s="1393"/>
      <c r="D190" s="1393"/>
      <c r="E190" s="1393"/>
      <c r="F190" s="1393"/>
      <c r="G190" s="1393"/>
      <c r="H190" s="1393"/>
      <c r="I190" s="1393"/>
      <c r="J190" s="1393"/>
    </row>
    <row r="191" spans="1:10">
      <c r="A191" s="1392"/>
      <c r="B191" s="1393"/>
      <c r="C191" s="1393"/>
      <c r="D191" s="1393"/>
      <c r="E191" s="1393"/>
      <c r="F191" s="1393"/>
      <c r="G191" s="1393"/>
      <c r="H191" s="1393"/>
      <c r="I191" s="1393"/>
      <c r="J191" s="1393"/>
    </row>
    <row r="192" spans="1:10">
      <c r="A192" s="1392"/>
      <c r="B192" s="1393"/>
      <c r="C192" s="1393"/>
      <c r="D192" s="1393"/>
      <c r="E192" s="1393"/>
      <c r="F192" s="1393"/>
      <c r="G192" s="1393"/>
      <c r="H192" s="1393"/>
      <c r="I192" s="1393"/>
      <c r="J192" s="1393"/>
    </row>
    <row r="193" spans="1:10">
      <c r="A193" s="1392"/>
      <c r="B193" s="1393"/>
      <c r="C193" s="1393"/>
      <c r="D193" s="1393"/>
      <c r="E193" s="1393"/>
      <c r="F193" s="1393"/>
      <c r="G193" s="1393"/>
      <c r="H193" s="1393"/>
      <c r="I193" s="1393"/>
      <c r="J193" s="1393"/>
    </row>
  </sheetData>
  <pageMargins left="0.59055118110236204" right="0.15748031496063" top="0.59055118110236204" bottom="0.15748031496063" header="0.511811023622047" footer="0.511811023622047"/>
  <pageSetup paperSize="9" firstPageNumber="0" orientation="portrait" blackAndWhite="1" r:id="rId1"/>
  <headerFooter alignWithMargins="0"/>
  <drawing r:id="rId2"/>
</worksheet>
</file>

<file path=xl/worksheets/sheet3.xml><?xml version="1.0" encoding="utf-8"?>
<worksheet xmlns="http://schemas.openxmlformats.org/spreadsheetml/2006/main" xmlns:r="http://schemas.openxmlformats.org/officeDocument/2006/relationships">
  <sheetPr codeName="Sheet1"/>
  <dimension ref="A1:X277"/>
  <sheetViews>
    <sheetView view="pageBreakPreview" topLeftCell="A258" zoomScaleSheetLayoutView="100" workbookViewId="0">
      <selection activeCell="J197" sqref="J197"/>
    </sheetView>
  </sheetViews>
  <sheetFormatPr defaultColWidth="7.7109375" defaultRowHeight="15"/>
  <cols>
    <col min="1" max="6" width="7.7109375" style="1"/>
    <col min="7" max="7" width="7.7109375" style="1" customWidth="1"/>
    <col min="8" max="16384" width="7.7109375" style="1"/>
  </cols>
  <sheetData>
    <row r="1" spans="1:18">
      <c r="A1" s="62" t="s">
        <v>0</v>
      </c>
    </row>
    <row r="2" spans="1:18">
      <c r="G2" s="15" t="s">
        <v>906</v>
      </c>
      <c r="H2" s="1224"/>
      <c r="I2" s="651" t="s">
        <v>907</v>
      </c>
      <c r="J2" s="651"/>
    </row>
    <row r="3" spans="1:18">
      <c r="A3" s="1" t="s">
        <v>11</v>
      </c>
      <c r="F3" s="528" t="s">
        <v>1</v>
      </c>
      <c r="G3" s="720">
        <v>35</v>
      </c>
      <c r="H3" s="27" t="s">
        <v>2</v>
      </c>
      <c r="I3" s="1291">
        <v>35</v>
      </c>
      <c r="J3" s="26" t="s">
        <v>2</v>
      </c>
      <c r="O3" s="1">
        <v>1</v>
      </c>
      <c r="P3" s="1">
        <v>0.02</v>
      </c>
      <c r="Q3" s="1">
        <v>0</v>
      </c>
      <c r="R3" s="1">
        <v>0</v>
      </c>
    </row>
    <row r="4" spans="1:18">
      <c r="A4" s="1" t="s">
        <v>3</v>
      </c>
      <c r="F4" s="528" t="s">
        <v>1</v>
      </c>
      <c r="G4" s="720">
        <v>0.5</v>
      </c>
      <c r="H4" s="27" t="s">
        <v>2</v>
      </c>
      <c r="I4" s="366">
        <v>0.5</v>
      </c>
      <c r="J4" s="26" t="s">
        <v>2</v>
      </c>
      <c r="O4" s="1">
        <v>2</v>
      </c>
      <c r="P4" s="150">
        <f>P3+G4-0.02</f>
        <v>0.5</v>
      </c>
      <c r="Q4" s="1">
        <v>0</v>
      </c>
      <c r="R4" s="1">
        <v>0</v>
      </c>
    </row>
    <row r="5" spans="1:18">
      <c r="A5" s="1" t="s">
        <v>4</v>
      </c>
      <c r="F5" s="528" t="s">
        <v>1</v>
      </c>
      <c r="G5" s="720">
        <v>40</v>
      </c>
      <c r="H5" s="27" t="s">
        <v>5</v>
      </c>
      <c r="I5" s="366">
        <v>40</v>
      </c>
      <c r="J5" s="26" t="s">
        <v>5</v>
      </c>
      <c r="O5" s="1">
        <v>3</v>
      </c>
      <c r="P5" s="150">
        <f>P4+G3</f>
        <v>35.5</v>
      </c>
      <c r="Q5" s="1">
        <v>0</v>
      </c>
      <c r="R5" s="1">
        <v>0</v>
      </c>
    </row>
    <row r="6" spans="1:18">
      <c r="A6" s="1" t="s">
        <v>6</v>
      </c>
      <c r="F6" s="528" t="s">
        <v>1</v>
      </c>
      <c r="G6" s="720">
        <f>G3+G4*2-G5/1000</f>
        <v>35.96</v>
      </c>
      <c r="H6" s="27" t="s">
        <v>2</v>
      </c>
      <c r="I6" s="366">
        <f>I3+I4*2-I5/1000</f>
        <v>35.96</v>
      </c>
      <c r="J6" s="26" t="s">
        <v>2</v>
      </c>
      <c r="O6" s="1">
        <v>4</v>
      </c>
      <c r="P6" s="150">
        <f>P5+G4-0.02</f>
        <v>35.979999999999997</v>
      </c>
      <c r="Q6" s="1">
        <v>0</v>
      </c>
      <c r="R6" s="1">
        <v>0</v>
      </c>
    </row>
    <row r="7" spans="1:18">
      <c r="H7" s="27"/>
      <c r="I7" s="26"/>
      <c r="O7" s="1">
        <v>5</v>
      </c>
      <c r="P7" s="150">
        <f>P6+0.04</f>
        <v>36.019999999999996</v>
      </c>
      <c r="Q7" s="1">
        <v>0</v>
      </c>
      <c r="R7" s="1">
        <v>0</v>
      </c>
    </row>
    <row r="8" spans="1:18">
      <c r="A8" s="1" t="s">
        <v>8</v>
      </c>
      <c r="F8" s="528" t="s">
        <v>1</v>
      </c>
      <c r="G8" s="4">
        <f>1.2+0.22</f>
        <v>1.42</v>
      </c>
      <c r="H8" s="27" t="s">
        <v>2</v>
      </c>
      <c r="I8" s="77">
        <f>G8</f>
        <v>1.42</v>
      </c>
      <c r="J8" s="26" t="s">
        <v>2</v>
      </c>
      <c r="O8" s="1">
        <v>6</v>
      </c>
      <c r="P8" s="150">
        <f>P7+I4-0.02</f>
        <v>36.499999999999993</v>
      </c>
      <c r="Q8" s="1">
        <v>0</v>
      </c>
      <c r="R8" s="1">
        <v>0</v>
      </c>
    </row>
    <row r="9" spans="1:18">
      <c r="A9" s="1" t="s">
        <v>9</v>
      </c>
      <c r="F9" s="528" t="s">
        <v>1</v>
      </c>
      <c r="G9" s="4">
        <v>65</v>
      </c>
      <c r="H9" s="27" t="s">
        <v>5</v>
      </c>
      <c r="I9" s="77">
        <v>65</v>
      </c>
      <c r="J9" s="26" t="s">
        <v>5</v>
      </c>
      <c r="O9" s="1">
        <v>7</v>
      </c>
      <c r="P9" s="150">
        <f>P8+I3</f>
        <v>71.5</v>
      </c>
      <c r="Q9" s="1">
        <v>0</v>
      </c>
      <c r="R9" s="1">
        <v>0</v>
      </c>
    </row>
    <row r="10" spans="1:18">
      <c r="A10" s="1" t="s">
        <v>64</v>
      </c>
      <c r="F10" s="528" t="s">
        <v>1</v>
      </c>
      <c r="G10" s="4">
        <v>500</v>
      </c>
      <c r="H10" s="27" t="s">
        <v>5</v>
      </c>
      <c r="I10" s="77">
        <v>500</v>
      </c>
      <c r="J10" s="26" t="s">
        <v>5</v>
      </c>
      <c r="O10" s="1">
        <v>8</v>
      </c>
      <c r="P10" s="150">
        <f>P9+I4-0.02</f>
        <v>71.98</v>
      </c>
      <c r="Q10" s="1">
        <v>0</v>
      </c>
      <c r="R10" s="1">
        <v>0</v>
      </c>
    </row>
    <row r="11" spans="1:18">
      <c r="H11" s="27"/>
    </row>
    <row r="12" spans="1:18">
      <c r="A12" s="1" t="s">
        <v>7</v>
      </c>
      <c r="F12" s="528" t="s">
        <v>1</v>
      </c>
      <c r="G12" s="4">
        <v>11.85</v>
      </c>
      <c r="H12" s="27" t="s">
        <v>2</v>
      </c>
      <c r="J12" s="26"/>
    </row>
    <row r="13" spans="1:18">
      <c r="A13" s="1" t="s">
        <v>10</v>
      </c>
      <c r="F13" s="528" t="s">
        <v>1</v>
      </c>
      <c r="G13" s="446">
        <v>10</v>
      </c>
      <c r="H13" s="27" t="s">
        <v>2</v>
      </c>
      <c r="J13" s="26"/>
    </row>
    <row r="14" spans="1:18">
      <c r="A14" s="1" t="s">
        <v>12</v>
      </c>
      <c r="F14" s="528" t="s">
        <v>1</v>
      </c>
      <c r="G14" s="1191">
        <v>2.5000000000000001E-2</v>
      </c>
      <c r="H14" s="27"/>
      <c r="J14" s="26"/>
      <c r="O14" s="1" t="s">
        <v>329</v>
      </c>
      <c r="P14" s="1" t="s">
        <v>1</v>
      </c>
      <c r="Q14" s="1" t="s">
        <v>19</v>
      </c>
    </row>
    <row r="15" spans="1:18">
      <c r="G15" s="528"/>
      <c r="O15" s="1" t="s">
        <v>349</v>
      </c>
      <c r="P15" s="1" t="s">
        <v>1</v>
      </c>
      <c r="Q15" s="1" t="s">
        <v>449</v>
      </c>
    </row>
    <row r="16" spans="1:18">
      <c r="G16" s="528"/>
      <c r="O16" s="1" t="s">
        <v>331</v>
      </c>
      <c r="P16" s="1" t="s">
        <v>1</v>
      </c>
      <c r="Q16" s="1" t="s">
        <v>571</v>
      </c>
    </row>
    <row r="17" spans="1:24">
      <c r="A17" s="1" t="s">
        <v>572</v>
      </c>
      <c r="G17" s="528"/>
      <c r="O17" s="1" t="s">
        <v>451</v>
      </c>
      <c r="P17" s="1" t="s">
        <v>1</v>
      </c>
      <c r="Q17" s="1" t="s">
        <v>450</v>
      </c>
    </row>
    <row r="18" spans="1:24">
      <c r="A18" s="291" t="s">
        <v>573</v>
      </c>
      <c r="G18" s="528"/>
      <c r="O18" s="1" t="s">
        <v>352</v>
      </c>
      <c r="P18" s="1" t="s">
        <v>1</v>
      </c>
      <c r="Q18" s="1" t="s">
        <v>516</v>
      </c>
    </row>
    <row r="19" spans="1:24">
      <c r="A19" s="1" t="s">
        <v>19</v>
      </c>
      <c r="F19" s="1" t="s">
        <v>329</v>
      </c>
      <c r="G19" s="528" t="s">
        <v>1</v>
      </c>
      <c r="H19" s="18">
        <v>35</v>
      </c>
      <c r="I19" s="1" t="s">
        <v>293</v>
      </c>
    </row>
    <row r="20" spans="1:24">
      <c r="A20" s="1" t="s">
        <v>449</v>
      </c>
      <c r="F20" s="1" t="s">
        <v>349</v>
      </c>
      <c r="G20" s="528" t="s">
        <v>1</v>
      </c>
      <c r="H20" s="87">
        <v>45</v>
      </c>
      <c r="I20" s="1" t="s">
        <v>293</v>
      </c>
    </row>
    <row r="21" spans="1:24" ht="17.25">
      <c r="A21" s="1" t="s">
        <v>571</v>
      </c>
      <c r="F21" s="1" t="s">
        <v>331</v>
      </c>
      <c r="G21" s="528" t="s">
        <v>1</v>
      </c>
      <c r="H21" s="395">
        <f>Mprop!D43</f>
        <v>0.44666666666666671</v>
      </c>
      <c r="I21" s="1" t="s">
        <v>345</v>
      </c>
      <c r="O21" s="1" t="s">
        <v>451</v>
      </c>
      <c r="P21" s="1" t="s">
        <v>1</v>
      </c>
      <c r="Q21" s="351" t="s">
        <v>515</v>
      </c>
      <c r="T21" s="1" t="s">
        <v>293</v>
      </c>
    </row>
    <row r="22" spans="1:24">
      <c r="G22" s="528" t="s">
        <v>1</v>
      </c>
      <c r="H22" s="150">
        <f>H21*H19</f>
        <v>15.633333333333335</v>
      </c>
      <c r="I22" s="1" t="s">
        <v>144</v>
      </c>
      <c r="Q22" s="351"/>
    </row>
    <row r="23" spans="1:24" ht="17.25">
      <c r="A23" s="1" t="s">
        <v>450</v>
      </c>
      <c r="F23" s="1" t="s">
        <v>451</v>
      </c>
      <c r="G23" s="528" t="s">
        <v>1</v>
      </c>
      <c r="H23" s="351">
        <f>22*(H20/12.5)^0.3*10^3</f>
        <v>32308.249722965833</v>
      </c>
      <c r="I23" s="1" t="s">
        <v>144</v>
      </c>
      <c r="O23" s="1" t="s">
        <v>352</v>
      </c>
      <c r="Q23" s="1" t="s">
        <v>1</v>
      </c>
      <c r="R23" s="1" t="s">
        <v>353</v>
      </c>
      <c r="U23" s="1" t="s">
        <v>354</v>
      </c>
      <c r="V23" s="1" t="s">
        <v>355</v>
      </c>
      <c r="W23" s="1">
        <v>60</v>
      </c>
      <c r="X23" s="1" t="s">
        <v>293</v>
      </c>
    </row>
    <row r="24" spans="1:24">
      <c r="A24" s="1" t="s">
        <v>516</v>
      </c>
      <c r="F24" s="1" t="s">
        <v>352</v>
      </c>
      <c r="G24" s="528" t="s">
        <v>1</v>
      </c>
      <c r="H24" s="302">
        <f>IF(H19&lt;=W23,0.259*H19^(2/3),2.27*LN(1+H20/12.5))</f>
        <v>2.7712675746635549</v>
      </c>
      <c r="I24" s="1" t="s">
        <v>293</v>
      </c>
      <c r="Q24" s="1" t="s">
        <v>1</v>
      </c>
      <c r="R24" s="1" t="s">
        <v>356</v>
      </c>
      <c r="U24" s="1" t="s">
        <v>354</v>
      </c>
      <c r="V24" s="1" t="s">
        <v>357</v>
      </c>
      <c r="W24" s="1">
        <v>60</v>
      </c>
      <c r="X24" s="1" t="s">
        <v>293</v>
      </c>
    </row>
    <row r="25" spans="1:24">
      <c r="G25" s="528"/>
      <c r="R25" s="26"/>
      <c r="S25" s="26"/>
    </row>
    <row r="26" spans="1:24">
      <c r="A26" s="291" t="s">
        <v>574</v>
      </c>
      <c r="G26" s="528"/>
      <c r="Q26" s="26"/>
      <c r="R26" s="26"/>
    </row>
    <row r="27" spans="1:24">
      <c r="A27" s="1" t="s">
        <v>20</v>
      </c>
      <c r="F27" s="1" t="s">
        <v>295</v>
      </c>
      <c r="G27" s="528" t="s">
        <v>1</v>
      </c>
      <c r="H27" s="19">
        <v>500</v>
      </c>
      <c r="I27" s="1" t="s">
        <v>293</v>
      </c>
      <c r="Q27" s="26"/>
      <c r="R27" s="26"/>
    </row>
    <row r="28" spans="1:24">
      <c r="A28" s="1" t="s">
        <v>305</v>
      </c>
      <c r="F28" s="1" t="s">
        <v>304</v>
      </c>
      <c r="G28" s="528" t="s">
        <v>1</v>
      </c>
      <c r="H28" s="395">
        <f>Mprop!D14</f>
        <v>0.86956521739130443</v>
      </c>
      <c r="I28" s="1" t="s">
        <v>575</v>
      </c>
      <c r="Q28" s="26"/>
      <c r="R28" s="26"/>
    </row>
    <row r="29" spans="1:24">
      <c r="G29" s="528" t="s">
        <v>1</v>
      </c>
      <c r="H29" s="1219">
        <f>H28*H27</f>
        <v>434.78260869565224</v>
      </c>
      <c r="I29" s="7" t="s">
        <v>293</v>
      </c>
      <c r="O29" s="133" t="s">
        <v>135</v>
      </c>
      <c r="P29" s="134" t="s">
        <v>130</v>
      </c>
      <c r="Q29" s="26"/>
      <c r="R29" s="26"/>
    </row>
    <row r="30" spans="1:24">
      <c r="A30" s="1" t="s">
        <v>296</v>
      </c>
      <c r="F30" s="1" t="s">
        <v>294</v>
      </c>
      <c r="G30" s="528" t="s">
        <v>1</v>
      </c>
      <c r="H30" s="4">
        <f>2*10^5</f>
        <v>200000</v>
      </c>
      <c r="I30" s="1" t="s">
        <v>293</v>
      </c>
      <c r="O30" s="64" t="s">
        <v>136</v>
      </c>
      <c r="P30" s="135">
        <v>0.1</v>
      </c>
      <c r="Q30" s="26"/>
      <c r="R30" s="26"/>
    </row>
    <row r="31" spans="1:24">
      <c r="G31" s="528"/>
      <c r="O31" s="64" t="s">
        <v>137</v>
      </c>
      <c r="P31" s="136">
        <v>0.16</v>
      </c>
      <c r="Q31" s="26"/>
      <c r="R31" s="26"/>
    </row>
    <row r="32" spans="1:24" ht="17.25">
      <c r="A32" s="1" t="s">
        <v>22</v>
      </c>
      <c r="G32" s="528" t="s">
        <v>1</v>
      </c>
      <c r="H32" s="4">
        <v>2.5</v>
      </c>
      <c r="I32" s="1" t="s">
        <v>21</v>
      </c>
      <c r="O32" s="64" t="s">
        <v>138</v>
      </c>
      <c r="P32" s="136">
        <v>0.24</v>
      </c>
    </row>
    <row r="33" spans="1:16" ht="17.25">
      <c r="A33" s="82" t="s">
        <v>66</v>
      </c>
      <c r="D33" s="82"/>
      <c r="E33" s="82"/>
      <c r="F33" s="82"/>
      <c r="G33" s="85" t="s">
        <v>1</v>
      </c>
      <c r="H33" s="4">
        <v>2</v>
      </c>
      <c r="I33" s="82" t="s">
        <v>63</v>
      </c>
      <c r="O33" s="121" t="s">
        <v>23</v>
      </c>
      <c r="P33" s="137">
        <v>0.36</v>
      </c>
    </row>
    <row r="34" spans="1:16">
      <c r="A34" s="86"/>
      <c r="B34" s="540"/>
      <c r="C34" s="82"/>
      <c r="D34" s="82"/>
      <c r="E34" s="82"/>
      <c r="F34" s="82"/>
      <c r="G34" s="567"/>
      <c r="H34" s="82"/>
      <c r="I34" s="82"/>
      <c r="J34" s="82"/>
    </row>
    <row r="35" spans="1:16">
      <c r="A35" s="353" t="s">
        <v>459</v>
      </c>
      <c r="G35" s="528"/>
    </row>
    <row r="36" spans="1:16">
      <c r="A36" s="353" t="s">
        <v>460</v>
      </c>
      <c r="G36" s="528"/>
    </row>
    <row r="37" spans="1:16">
      <c r="A37" s="1" t="s">
        <v>448</v>
      </c>
      <c r="G37" s="528" t="s">
        <v>1</v>
      </c>
      <c r="H37" s="354">
        <v>45</v>
      </c>
      <c r="I37" s="1" t="s">
        <v>360</v>
      </c>
    </row>
    <row r="38" spans="1:16">
      <c r="A38" s="1" t="s">
        <v>461</v>
      </c>
      <c r="G38" s="528" t="s">
        <v>1</v>
      </c>
      <c r="H38" s="4" t="s">
        <v>1778</v>
      </c>
    </row>
    <row r="39" spans="1:16">
      <c r="A39" s="353"/>
      <c r="G39" s="528"/>
    </row>
    <row r="40" spans="1:16">
      <c r="A40" s="1" t="s">
        <v>464</v>
      </c>
      <c r="G40" s="528"/>
    </row>
    <row r="41" spans="1:16">
      <c r="A41" s="1" t="s">
        <v>452</v>
      </c>
      <c r="F41" s="62" t="s">
        <v>451</v>
      </c>
      <c r="G41" s="591" t="s">
        <v>1</v>
      </c>
      <c r="H41" s="352">
        <f>H23</f>
        <v>32308.249722965833</v>
      </c>
      <c r="I41" s="62" t="s">
        <v>293</v>
      </c>
    </row>
    <row r="42" spans="1:16">
      <c r="A42" s="1" t="s">
        <v>453</v>
      </c>
      <c r="F42" s="1" t="s">
        <v>454</v>
      </c>
      <c r="G42" s="528" t="s">
        <v>1</v>
      </c>
      <c r="H42" s="1" t="s">
        <v>455</v>
      </c>
    </row>
    <row r="43" spans="1:16">
      <c r="A43" s="323" t="s">
        <v>60</v>
      </c>
      <c r="B43" s="1" t="s">
        <v>1</v>
      </c>
      <c r="C43" s="1" t="s">
        <v>456</v>
      </c>
    </row>
    <row r="44" spans="1:16">
      <c r="A44" s="323"/>
    </row>
    <row r="45" spans="1:16">
      <c r="A45" s="1" t="s">
        <v>462</v>
      </c>
      <c r="E45" s="323" t="s">
        <v>60</v>
      </c>
      <c r="F45" s="1" t="s">
        <v>1</v>
      </c>
      <c r="G45" s="39">
        <v>1</v>
      </c>
      <c r="H45" s="1" t="s">
        <v>463</v>
      </c>
    </row>
    <row r="46" spans="1:16">
      <c r="A46" s="323"/>
      <c r="E46" s="62" t="s">
        <v>454</v>
      </c>
      <c r="F46" s="62" t="s">
        <v>1</v>
      </c>
      <c r="G46" s="62">
        <f>H41/(1+G45)</f>
        <v>16154.124861482916</v>
      </c>
      <c r="H46" s="62" t="s">
        <v>293</v>
      </c>
    </row>
    <row r="47" spans="1:16">
      <c r="A47" s="7"/>
      <c r="B47" s="7"/>
      <c r="C47" s="7"/>
      <c r="D47" s="7"/>
      <c r="E47" s="7"/>
      <c r="F47" s="7"/>
      <c r="G47" s="7"/>
      <c r="H47" s="7"/>
      <c r="I47" s="7"/>
      <c r="J47" s="7"/>
      <c r="K47" s="7"/>
      <c r="L47" s="7"/>
      <c r="M47" s="7"/>
    </row>
    <row r="48" spans="1:16">
      <c r="A48" s="959" t="s">
        <v>1413</v>
      </c>
      <c r="B48" s="7"/>
      <c r="C48" s="7"/>
      <c r="D48" s="7"/>
      <c r="E48" s="7"/>
      <c r="F48" s="7"/>
      <c r="G48" s="7"/>
      <c r="H48" s="7"/>
      <c r="I48" s="7"/>
      <c r="J48" s="7"/>
      <c r="K48" s="7"/>
      <c r="L48" s="7"/>
      <c r="M48" s="7"/>
    </row>
    <row r="49" spans="1:13" ht="17.25">
      <c r="A49" s="7" t="s">
        <v>1405</v>
      </c>
      <c r="B49" s="7"/>
      <c r="C49" s="7"/>
      <c r="D49" s="7"/>
      <c r="E49" s="7" t="s">
        <v>457</v>
      </c>
      <c r="F49" s="7" t="s">
        <v>1</v>
      </c>
      <c r="G49" s="960">
        <f>F203*H196+PI()*(F203^2/4)</f>
        <v>7.730973355292325</v>
      </c>
      <c r="H49" s="7" t="s">
        <v>458</v>
      </c>
      <c r="I49" s="961"/>
      <c r="J49" s="961"/>
      <c r="K49" s="961"/>
      <c r="L49" s="7"/>
      <c r="M49" s="7"/>
    </row>
    <row r="50" spans="1:13">
      <c r="A50" s="7" t="s">
        <v>1406</v>
      </c>
      <c r="B50" s="7"/>
      <c r="C50" s="7"/>
      <c r="D50" s="7"/>
      <c r="E50" s="7"/>
      <c r="F50" s="7" t="s">
        <v>1</v>
      </c>
      <c r="G50" s="960">
        <f>PI()*F203+2*H196</f>
        <v>14.769911184307752</v>
      </c>
      <c r="H50" s="7" t="s">
        <v>2</v>
      </c>
      <c r="I50" s="961"/>
      <c r="J50" s="961"/>
      <c r="K50" s="961"/>
      <c r="L50" s="7"/>
      <c r="M50" s="7"/>
    </row>
    <row r="51" spans="1:13">
      <c r="A51" s="7" t="s">
        <v>1407</v>
      </c>
      <c r="B51" s="7"/>
      <c r="C51" s="7"/>
      <c r="D51" s="7"/>
      <c r="E51" s="7" t="s">
        <v>1408</v>
      </c>
      <c r="F51" s="7" t="s">
        <v>1</v>
      </c>
      <c r="G51" s="717">
        <f>2*G49/G50*1000</f>
        <v>1046.8544135195714</v>
      </c>
      <c r="H51" s="7" t="s">
        <v>5</v>
      </c>
      <c r="I51" s="7"/>
      <c r="J51" s="7"/>
      <c r="K51" s="7"/>
      <c r="L51" s="7"/>
      <c r="M51" s="7"/>
    </row>
    <row r="52" spans="1:13">
      <c r="A52" s="7" t="s">
        <v>1409</v>
      </c>
      <c r="B52" s="7"/>
      <c r="C52" s="7"/>
      <c r="D52" s="7"/>
      <c r="E52" s="7"/>
      <c r="F52" s="7" t="s">
        <v>1</v>
      </c>
      <c r="G52" s="39">
        <v>90</v>
      </c>
      <c r="H52" s="7" t="s">
        <v>1374</v>
      </c>
      <c r="I52" s="7"/>
      <c r="J52" s="7"/>
      <c r="K52" s="7"/>
      <c r="L52" s="7"/>
      <c r="M52" s="7"/>
    </row>
    <row r="53" spans="1:13" ht="16.5">
      <c r="A53" s="7" t="s">
        <v>1410</v>
      </c>
      <c r="B53" s="7"/>
      <c r="C53" s="7"/>
      <c r="D53" s="7"/>
      <c r="E53" s="7"/>
      <c r="F53" s="7" t="s">
        <v>1</v>
      </c>
      <c r="G53" s="4">
        <f>70*365</f>
        <v>25550</v>
      </c>
      <c r="H53" s="7" t="s">
        <v>1374</v>
      </c>
      <c r="I53" s="7"/>
      <c r="J53" s="7"/>
      <c r="K53" s="7"/>
      <c r="L53" s="7"/>
      <c r="M53" s="7"/>
    </row>
    <row r="54" spans="1:13">
      <c r="A54" s="962" t="str">
        <f>"f (¥,"&amp;G52&amp;")"</f>
        <v>f (¥,90)</v>
      </c>
      <c r="B54" s="7"/>
      <c r="C54" s="7"/>
      <c r="D54" s="7"/>
      <c r="E54" s="7"/>
      <c r="F54" s="7" t="s">
        <v>1</v>
      </c>
      <c r="G54" s="960">
        <f>Creep_2!C50</f>
        <v>1.6579319094741791</v>
      </c>
      <c r="H54" s="960" t="s">
        <v>1411</v>
      </c>
      <c r="I54" s="7"/>
      <c r="J54" s="7"/>
      <c r="K54" s="7"/>
      <c r="L54" s="7"/>
      <c r="M54" s="7"/>
    </row>
    <row r="55" spans="1:13">
      <c r="A55" s="962"/>
      <c r="B55" s="7"/>
      <c r="C55" s="7"/>
      <c r="D55" s="7"/>
      <c r="E55" s="7"/>
      <c r="F55" s="962" t="s">
        <v>378</v>
      </c>
      <c r="G55" s="960">
        <f>G54*1.1</f>
        <v>1.8237251004215971</v>
      </c>
      <c r="H55" s="960" t="s">
        <v>1414</v>
      </c>
      <c r="I55" s="7"/>
      <c r="J55" s="7"/>
      <c r="K55" s="7"/>
      <c r="L55" s="7"/>
      <c r="M55" s="7"/>
    </row>
    <row r="56" spans="1:13" ht="17.25">
      <c r="A56" s="7"/>
      <c r="B56" s="7"/>
      <c r="C56" s="7"/>
      <c r="D56" s="7"/>
      <c r="E56" s="963" t="s">
        <v>454</v>
      </c>
      <c r="F56" s="963" t="s">
        <v>1</v>
      </c>
      <c r="G56" s="964">
        <f>H41/(1+G55)</f>
        <v>11441.712126347584</v>
      </c>
      <c r="H56" s="963" t="s">
        <v>1412</v>
      </c>
      <c r="I56" s="7"/>
      <c r="J56" s="7"/>
      <c r="K56" s="7"/>
      <c r="L56" s="7"/>
      <c r="M56" s="7"/>
    </row>
    <row r="57" spans="1:13">
      <c r="A57" s="7"/>
      <c r="B57" s="7"/>
      <c r="C57" s="7"/>
      <c r="D57" s="7"/>
      <c r="E57" s="7"/>
      <c r="F57" s="7"/>
      <c r="G57" s="7"/>
      <c r="H57" s="7"/>
      <c r="I57" s="7"/>
      <c r="J57" s="7"/>
      <c r="K57" s="7"/>
      <c r="L57" s="7"/>
      <c r="M57" s="7"/>
    </row>
    <row r="58" spans="1:13">
      <c r="A58" s="959" t="s">
        <v>1415</v>
      </c>
      <c r="B58" s="7"/>
      <c r="C58" s="7"/>
      <c r="D58" s="7"/>
      <c r="E58" s="7"/>
      <c r="F58" s="7"/>
      <c r="G58" s="7"/>
      <c r="H58" s="7"/>
      <c r="I58" s="7"/>
      <c r="J58" s="7"/>
      <c r="K58" s="7"/>
      <c r="L58" s="7"/>
      <c r="M58" s="7"/>
    </row>
    <row r="59" spans="1:13" ht="17.25">
      <c r="A59" s="7" t="s">
        <v>1405</v>
      </c>
      <c r="B59" s="7"/>
      <c r="C59" s="7"/>
      <c r="D59" s="7"/>
      <c r="E59" s="7" t="s">
        <v>457</v>
      </c>
      <c r="F59" s="7" t="s">
        <v>1</v>
      </c>
      <c r="G59" s="960">
        <f>(K182+K180)*D135</f>
        <v>2.5</v>
      </c>
      <c r="H59" s="7" t="s">
        <v>458</v>
      </c>
      <c r="I59" s="961"/>
      <c r="J59" s="961"/>
      <c r="K59" s="961"/>
      <c r="L59" s="7"/>
      <c r="M59" s="7"/>
    </row>
    <row r="60" spans="1:13">
      <c r="A60" s="7" t="s">
        <v>1406</v>
      </c>
      <c r="B60" s="7"/>
      <c r="C60" s="7"/>
      <c r="D60" s="7"/>
      <c r="E60" s="7"/>
      <c r="F60" s="7" t="s">
        <v>1</v>
      </c>
      <c r="G60" s="960">
        <f>(K182+K180)*2+D135*2</f>
        <v>7</v>
      </c>
      <c r="H60" s="7" t="s">
        <v>2</v>
      </c>
      <c r="I60" s="961"/>
      <c r="J60" s="961"/>
      <c r="K60" s="961"/>
      <c r="L60" s="7"/>
      <c r="M60" s="7"/>
    </row>
    <row r="61" spans="1:13">
      <c r="A61" s="7" t="s">
        <v>1407</v>
      </c>
      <c r="B61" s="7"/>
      <c r="C61" s="7"/>
      <c r="D61" s="7"/>
      <c r="E61" s="7" t="s">
        <v>1408</v>
      </c>
      <c r="F61" s="7" t="s">
        <v>1</v>
      </c>
      <c r="G61" s="717">
        <f>2*G59/G60*1000</f>
        <v>714.28571428571433</v>
      </c>
      <c r="H61" s="7" t="s">
        <v>5</v>
      </c>
      <c r="I61" s="7"/>
      <c r="J61" s="7"/>
      <c r="K61" s="7"/>
      <c r="L61" s="7"/>
      <c r="M61" s="7"/>
    </row>
    <row r="62" spans="1:13">
      <c r="A62" s="7" t="s">
        <v>1409</v>
      </c>
      <c r="B62" s="7"/>
      <c r="C62" s="7"/>
      <c r="D62" s="7"/>
      <c r="E62" s="7"/>
      <c r="F62" s="7" t="s">
        <v>1</v>
      </c>
      <c r="G62" s="39">
        <v>90</v>
      </c>
      <c r="H62" s="7" t="s">
        <v>1374</v>
      </c>
      <c r="I62" s="7"/>
      <c r="J62" s="7"/>
      <c r="K62" s="7"/>
      <c r="L62" s="7"/>
      <c r="M62" s="7"/>
    </row>
    <row r="63" spans="1:13" ht="16.5">
      <c r="A63" s="7" t="s">
        <v>1410</v>
      </c>
      <c r="B63" s="7"/>
      <c r="C63" s="7"/>
      <c r="D63" s="7"/>
      <c r="E63" s="7"/>
      <c r="F63" s="7" t="s">
        <v>1</v>
      </c>
      <c r="G63" s="4">
        <f>70*365</f>
        <v>25550</v>
      </c>
      <c r="H63" s="7" t="s">
        <v>1374</v>
      </c>
      <c r="I63" s="7"/>
      <c r="J63" s="7"/>
      <c r="K63" s="7"/>
      <c r="L63" s="7"/>
      <c r="M63" s="7"/>
    </row>
    <row r="64" spans="1:13">
      <c r="A64" s="962" t="str">
        <f>"f (¥,"&amp;G62&amp;")"</f>
        <v>f (¥,90)</v>
      </c>
      <c r="B64" s="7"/>
      <c r="C64" s="7"/>
      <c r="D64" s="7"/>
      <c r="E64" s="7"/>
      <c r="F64" s="7" t="s">
        <v>1</v>
      </c>
      <c r="G64" s="960">
        <f>creep_3!C50</f>
        <v>1.7402211517160959</v>
      </c>
      <c r="H64" s="960" t="s">
        <v>1411</v>
      </c>
      <c r="I64" s="7"/>
      <c r="J64" s="7"/>
      <c r="K64" s="7"/>
      <c r="L64" s="7"/>
      <c r="M64" s="7"/>
    </row>
    <row r="65" spans="1:13">
      <c r="A65" s="962"/>
      <c r="B65" s="7"/>
      <c r="C65" s="7"/>
      <c r="D65" s="7"/>
      <c r="E65" s="7"/>
      <c r="F65" s="962" t="s">
        <v>378</v>
      </c>
      <c r="G65" s="960">
        <f>G64*1.1</f>
        <v>1.9142432668877056</v>
      </c>
      <c r="H65" s="960" t="s">
        <v>1414</v>
      </c>
      <c r="I65" s="7"/>
      <c r="J65" s="7"/>
      <c r="K65" s="7"/>
      <c r="L65" s="7"/>
      <c r="M65" s="7"/>
    </row>
    <row r="66" spans="1:13" ht="17.25">
      <c r="A66" s="7"/>
      <c r="B66" s="7"/>
      <c r="C66" s="7"/>
      <c r="D66" s="7"/>
      <c r="E66" s="963" t="s">
        <v>454</v>
      </c>
      <c r="F66" s="963" t="s">
        <v>1</v>
      </c>
      <c r="G66" s="964">
        <f>H41/(1+G65)</f>
        <v>11086.325596102257</v>
      </c>
      <c r="H66" s="963" t="s">
        <v>1412</v>
      </c>
      <c r="I66" s="7"/>
      <c r="J66" s="7"/>
      <c r="K66" s="7"/>
      <c r="L66" s="7"/>
      <c r="M66" s="7"/>
    </row>
    <row r="67" spans="1:13">
      <c r="A67" s="7"/>
      <c r="B67" s="7"/>
      <c r="C67" s="7"/>
      <c r="D67" s="7"/>
      <c r="E67" s="7"/>
      <c r="F67" s="7"/>
      <c r="G67" s="7"/>
      <c r="H67" s="7"/>
      <c r="I67" s="7"/>
      <c r="J67" s="7"/>
      <c r="K67" s="7"/>
      <c r="L67" s="7"/>
      <c r="M67" s="7"/>
    </row>
    <row r="68" spans="1:13">
      <c r="A68" s="7"/>
      <c r="B68" s="7"/>
      <c r="C68" s="7"/>
      <c r="D68" s="7"/>
      <c r="E68" s="7"/>
      <c r="F68" s="7"/>
      <c r="G68" s="7"/>
      <c r="H68" s="7"/>
      <c r="I68" s="7"/>
      <c r="J68" s="7"/>
      <c r="K68" s="7"/>
      <c r="L68" s="7"/>
      <c r="M68" s="7"/>
    </row>
    <row r="69" spans="1:13">
      <c r="A69" s="214" t="s">
        <v>544</v>
      </c>
    </row>
    <row r="70" spans="1:13">
      <c r="B70" s="1" t="s">
        <v>545</v>
      </c>
    </row>
    <row r="71" spans="1:13">
      <c r="B71" s="1" t="s">
        <v>444</v>
      </c>
      <c r="F71" s="1" t="s">
        <v>1</v>
      </c>
      <c r="G71" s="1" t="s">
        <v>546</v>
      </c>
      <c r="H71" s="1" t="s">
        <v>1</v>
      </c>
      <c r="I71" s="1">
        <f>0.48*H19</f>
        <v>16.8</v>
      </c>
      <c r="J71" s="1" t="s">
        <v>293</v>
      </c>
    </row>
    <row r="72" spans="1:13">
      <c r="B72" s="1" t="s">
        <v>547</v>
      </c>
      <c r="F72" s="1" t="s">
        <v>1</v>
      </c>
      <c r="G72" s="1" t="s">
        <v>548</v>
      </c>
      <c r="H72" s="1" t="s">
        <v>1</v>
      </c>
      <c r="I72" s="1">
        <f>0.36*H19</f>
        <v>12.6</v>
      </c>
      <c r="J72" s="1" t="s">
        <v>293</v>
      </c>
    </row>
    <row r="74" spans="1:13">
      <c r="B74" s="1" t="s">
        <v>1620</v>
      </c>
      <c r="F74" s="1" t="s">
        <v>1</v>
      </c>
      <c r="G74" s="4">
        <v>300</v>
      </c>
      <c r="H74" s="1" t="s">
        <v>293</v>
      </c>
    </row>
    <row r="75" spans="1:13" ht="18">
      <c r="B75" s="1" t="s">
        <v>549</v>
      </c>
      <c r="E75" s="1" t="s">
        <v>522</v>
      </c>
      <c r="F75" s="1" t="s">
        <v>1</v>
      </c>
      <c r="G75" s="4">
        <v>0.3</v>
      </c>
      <c r="H75" s="1" t="s">
        <v>5</v>
      </c>
    </row>
    <row r="76" spans="1:13">
      <c r="G76" s="423"/>
    </row>
    <row r="77" spans="1:13">
      <c r="A77" s="9" t="s">
        <v>172</v>
      </c>
    </row>
    <row r="78" spans="1:13">
      <c r="A78" s="8" t="s">
        <v>127</v>
      </c>
      <c r="B78" s="8"/>
      <c r="C78" s="8"/>
      <c r="D78" s="8"/>
      <c r="H78" s="151" t="s">
        <v>1</v>
      </c>
      <c r="I78" s="6" t="s">
        <v>138</v>
      </c>
      <c r="J78" s="8"/>
    </row>
    <row r="79" spans="1:13">
      <c r="A79" s="8" t="s">
        <v>128</v>
      </c>
      <c r="B79" s="8"/>
      <c r="C79" s="8"/>
      <c r="D79" s="151"/>
      <c r="H79" s="151" t="s">
        <v>1</v>
      </c>
      <c r="I79" s="123" t="s">
        <v>158</v>
      </c>
      <c r="J79" s="8"/>
    </row>
    <row r="80" spans="1:13">
      <c r="A80" s="8" t="s">
        <v>129</v>
      </c>
      <c r="B80" s="8"/>
      <c r="C80" s="8"/>
      <c r="D80" s="151" t="s">
        <v>130</v>
      </c>
      <c r="E80" s="8"/>
      <c r="H80" s="151" t="s">
        <v>1</v>
      </c>
      <c r="I80" s="151">
        <f>VLOOKUP(I78,O30:P33,2,FALSE)</f>
        <v>0.24</v>
      </c>
      <c r="J80" s="8"/>
    </row>
    <row r="81" spans="1:17">
      <c r="A81" s="8" t="s">
        <v>131</v>
      </c>
      <c r="B81" s="8"/>
      <c r="C81" s="8"/>
      <c r="D81" s="151" t="s">
        <v>132</v>
      </c>
      <c r="E81" s="8"/>
      <c r="H81" s="151" t="s">
        <v>1</v>
      </c>
      <c r="I81" s="6">
        <v>1.2</v>
      </c>
      <c r="J81" s="8"/>
    </row>
    <row r="82" spans="1:17" ht="18">
      <c r="A82" s="129" t="s">
        <v>154</v>
      </c>
      <c r="B82" s="129"/>
      <c r="C82" s="129"/>
      <c r="D82" s="129"/>
      <c r="E82" s="129"/>
      <c r="F82" s="8"/>
      <c r="G82" s="128"/>
      <c r="H82" s="130" t="s">
        <v>1</v>
      </c>
      <c r="I82" s="6">
        <v>3</v>
      </c>
      <c r="J82" s="8"/>
    </row>
    <row r="83" spans="1:17" ht="18">
      <c r="A83" s="129" t="s">
        <v>155</v>
      </c>
      <c r="B83" s="129"/>
      <c r="C83" s="129"/>
      <c r="D83" s="129"/>
      <c r="E83" s="129"/>
      <c r="F83" s="8"/>
      <c r="G83" s="128"/>
      <c r="H83" s="130" t="s">
        <v>1</v>
      </c>
      <c r="I83" s="6">
        <v>3</v>
      </c>
      <c r="J83" s="8"/>
    </row>
    <row r="84" spans="1:17" ht="18">
      <c r="A84" s="129" t="s">
        <v>156</v>
      </c>
      <c r="B84" s="129"/>
      <c r="C84" s="129"/>
      <c r="D84" s="129"/>
      <c r="E84" s="129"/>
      <c r="F84" s="8"/>
      <c r="G84" s="128"/>
      <c r="H84" s="130" t="s">
        <v>1</v>
      </c>
      <c r="I84" s="6">
        <v>3</v>
      </c>
      <c r="J84" s="8"/>
      <c r="N84" s="1196" t="s">
        <v>1577</v>
      </c>
      <c r="O84" s="1147" t="s">
        <v>1568</v>
      </c>
      <c r="P84" s="1147" t="s">
        <v>1569</v>
      </c>
      <c r="Q84" s="1147" t="s">
        <v>1570</v>
      </c>
    </row>
    <row r="85" spans="1:17">
      <c r="N85" s="1192"/>
      <c r="O85" s="1197" t="s">
        <v>1578</v>
      </c>
      <c r="P85" s="1193"/>
      <c r="Q85" s="1194"/>
    </row>
    <row r="86" spans="1:17">
      <c r="A86" s="1" t="s">
        <v>13</v>
      </c>
      <c r="N86" s="1189">
        <v>253.5</v>
      </c>
      <c r="O86" s="1189">
        <v>25</v>
      </c>
      <c r="P86" s="1195">
        <v>229</v>
      </c>
      <c r="Q86" s="1188"/>
    </row>
    <row r="87" spans="1:17">
      <c r="A87" s="11" t="s">
        <v>14</v>
      </c>
      <c r="B87" s="11"/>
      <c r="C87" s="11"/>
      <c r="E87" s="11" t="s">
        <v>1</v>
      </c>
      <c r="F87" s="13">
        <v>100.9</v>
      </c>
      <c r="G87" s="11" t="s">
        <v>2</v>
      </c>
      <c r="N87" s="1187">
        <v>248.5</v>
      </c>
      <c r="O87" s="1187">
        <v>30</v>
      </c>
      <c r="P87" s="1190">
        <v>301</v>
      </c>
      <c r="Q87" s="1188"/>
    </row>
    <row r="88" spans="1:17">
      <c r="A88" s="11" t="s">
        <v>624</v>
      </c>
      <c r="B88" s="11"/>
      <c r="C88" s="11"/>
      <c r="E88" s="11" t="s">
        <v>1</v>
      </c>
      <c r="F88" s="13">
        <v>93.435000000000002</v>
      </c>
      <c r="G88" s="11" t="s">
        <v>2</v>
      </c>
      <c r="H88" s="1" t="s">
        <v>1574</v>
      </c>
      <c r="J88" s="14"/>
      <c r="N88" s="1187">
        <v>246.5</v>
      </c>
      <c r="O88" s="1187">
        <v>32</v>
      </c>
      <c r="P88" s="1190">
        <v>327</v>
      </c>
      <c r="Q88" s="1188">
        <v>45</v>
      </c>
    </row>
    <row r="89" spans="1:17">
      <c r="A89" s="12" t="s">
        <v>625</v>
      </c>
      <c r="B89" s="11"/>
      <c r="C89" s="11"/>
      <c r="E89" s="11" t="s">
        <v>1</v>
      </c>
      <c r="F89" s="13">
        <f>F88-0.5</f>
        <v>92.935000000000002</v>
      </c>
      <c r="G89" s="11" t="s">
        <v>2</v>
      </c>
      <c r="H89" s="14"/>
      <c r="N89" s="1187">
        <v>243.5</v>
      </c>
      <c r="O89" s="1187">
        <v>35</v>
      </c>
      <c r="P89" s="1190">
        <v>368</v>
      </c>
      <c r="Q89" s="1188"/>
    </row>
    <row r="90" spans="1:17">
      <c r="A90" s="12" t="s">
        <v>623</v>
      </c>
      <c r="B90" s="11"/>
      <c r="C90" s="11"/>
      <c r="E90" s="11" t="s">
        <v>1</v>
      </c>
      <c r="F90" s="13">
        <f>F89-1.8</f>
        <v>91.135000000000005</v>
      </c>
      <c r="G90" s="11" t="s">
        <v>2</v>
      </c>
      <c r="N90" s="1187">
        <v>241.5</v>
      </c>
      <c r="O90" s="1187">
        <v>37</v>
      </c>
      <c r="P90" s="1190">
        <v>394</v>
      </c>
      <c r="Q90" s="1189"/>
    </row>
    <row r="91" spans="1:17">
      <c r="A91" s="12" t="s">
        <v>779</v>
      </c>
      <c r="B91" s="11"/>
      <c r="C91" s="11"/>
      <c r="E91" s="11" t="s">
        <v>1</v>
      </c>
      <c r="F91" s="1186">
        <f>F90-F92</f>
        <v>20</v>
      </c>
      <c r="G91" s="11" t="s">
        <v>2</v>
      </c>
    </row>
    <row r="92" spans="1:17">
      <c r="A92" s="12" t="s">
        <v>778</v>
      </c>
      <c r="B92" s="11"/>
      <c r="C92" s="11"/>
      <c r="E92" s="11" t="s">
        <v>1</v>
      </c>
      <c r="F92" s="13">
        <f>F90-20</f>
        <v>71.135000000000005</v>
      </c>
      <c r="G92" s="1" t="s">
        <v>2</v>
      </c>
    </row>
    <row r="93" spans="1:17">
      <c r="A93" s="12"/>
      <c r="B93" s="11"/>
      <c r="C93" s="11"/>
      <c r="E93" s="11"/>
    </row>
    <row r="94" spans="1:17">
      <c r="A94" s="12" t="s">
        <v>1034</v>
      </c>
      <c r="B94" s="11"/>
      <c r="C94" s="11"/>
      <c r="D94" s="7"/>
      <c r="E94" s="11" t="s">
        <v>1</v>
      </c>
      <c r="F94" s="1101">
        <v>96</v>
      </c>
      <c r="G94" s="7" t="s">
        <v>2</v>
      </c>
      <c r="H94" s="1" t="s">
        <v>1575</v>
      </c>
    </row>
    <row r="95" spans="1:17">
      <c r="A95" s="12" t="s">
        <v>1779</v>
      </c>
      <c r="B95" s="11"/>
      <c r="C95" s="11"/>
      <c r="E95" s="11" t="s">
        <v>1</v>
      </c>
      <c r="F95" s="1101">
        <f>F88-2*2.8</f>
        <v>87.835000000000008</v>
      </c>
      <c r="G95" s="1" t="s">
        <v>2</v>
      </c>
    </row>
    <row r="96" spans="1:17">
      <c r="A96" s="12"/>
      <c r="B96" s="11"/>
      <c r="C96" s="11"/>
      <c r="E96" s="11"/>
      <c r="M96" s="14"/>
    </row>
    <row r="97" spans="1:18">
      <c r="A97" s="12" t="s">
        <v>793</v>
      </c>
      <c r="B97" s="11"/>
      <c r="C97" s="11"/>
      <c r="E97" s="11" t="s">
        <v>1</v>
      </c>
      <c r="F97" s="366">
        <v>1.2</v>
      </c>
      <c r="G97" s="1" t="s">
        <v>2</v>
      </c>
    </row>
    <row r="98" spans="1:18">
      <c r="A98" s="12"/>
      <c r="B98" s="11"/>
      <c r="C98" s="11"/>
      <c r="E98" s="11"/>
      <c r="M98" s="14"/>
    </row>
    <row r="99" spans="1:18">
      <c r="A99" s="1" t="s">
        <v>745</v>
      </c>
      <c r="D99" s="11"/>
      <c r="E99" s="11" t="s">
        <v>1</v>
      </c>
      <c r="F99" s="611">
        <v>275</v>
      </c>
      <c r="G99" s="11" t="s">
        <v>34</v>
      </c>
      <c r="H99" s="1" t="s">
        <v>746</v>
      </c>
      <c r="K99" s="14"/>
    </row>
    <row r="100" spans="1:18">
      <c r="D100" s="11"/>
      <c r="E100" s="11" t="s">
        <v>1</v>
      </c>
      <c r="F100" s="611">
        <f>F99*1.25</f>
        <v>343.75</v>
      </c>
      <c r="G100" s="11" t="s">
        <v>34</v>
      </c>
      <c r="H100" s="1" t="s">
        <v>747</v>
      </c>
      <c r="L100" s="14"/>
    </row>
    <row r="101" spans="1:18">
      <c r="A101" s="12"/>
      <c r="B101" s="11"/>
      <c r="C101" s="11"/>
      <c r="E101" s="11"/>
    </row>
    <row r="102" spans="1:18">
      <c r="H102" s="254"/>
    </row>
    <row r="103" spans="1:18" hidden="1">
      <c r="E103" s="1">
        <f>G12</f>
        <v>11.85</v>
      </c>
    </row>
    <row r="104" spans="1:18" hidden="1"/>
    <row r="105" spans="1:18" hidden="1">
      <c r="A105" s="4">
        <v>0.2</v>
      </c>
      <c r="B105" s="528">
        <f>K105</f>
        <v>1.5</v>
      </c>
      <c r="C105" s="1293">
        <v>0.45</v>
      </c>
      <c r="D105" s="528"/>
      <c r="E105" s="528"/>
      <c r="F105" s="528"/>
      <c r="G105" s="611">
        <f>E103-A105*2-B105*2-C105*2</f>
        <v>7.5499999999999989</v>
      </c>
      <c r="H105" s="528"/>
      <c r="I105" s="528"/>
      <c r="J105" s="1">
        <f>C105</f>
        <v>0.45</v>
      </c>
      <c r="K105" s="4">
        <v>1.5</v>
      </c>
      <c r="L105" s="528">
        <f>A105</f>
        <v>0.2</v>
      </c>
    </row>
    <row r="106" spans="1:18" hidden="1">
      <c r="D106" s="10" t="s">
        <v>17</v>
      </c>
      <c r="E106" s="1">
        <f>G9/1000</f>
        <v>6.5000000000000002E-2</v>
      </c>
    </row>
    <row r="107" spans="1:18" hidden="1">
      <c r="G107" s="10" t="s">
        <v>1795</v>
      </c>
      <c r="H107" s="715">
        <f>F87</f>
        <v>100.9</v>
      </c>
      <c r="O107" s="23"/>
      <c r="P107" s="1294" t="s">
        <v>1794</v>
      </c>
      <c r="Q107" s="755">
        <f>H107</f>
        <v>100.9</v>
      </c>
    </row>
    <row r="108" spans="1:18" hidden="1">
      <c r="E108" s="435"/>
      <c r="I108" s="1292">
        <f>G14</f>
        <v>2.5000000000000001E-2</v>
      </c>
      <c r="O108" s="25"/>
      <c r="P108" s="206" t="s">
        <v>1796</v>
      </c>
      <c r="Q108" s="27">
        <f>-F121*2*I108</f>
        <v>-0.14750000000000002</v>
      </c>
    </row>
    <row r="109" spans="1:18" hidden="1">
      <c r="O109" s="25"/>
      <c r="P109" s="206" t="s">
        <v>1797</v>
      </c>
      <c r="Q109" s="27">
        <f>-E106</f>
        <v>-6.5000000000000002E-2</v>
      </c>
    </row>
    <row r="110" spans="1:18" hidden="1">
      <c r="O110" s="25"/>
      <c r="P110" s="206" t="s">
        <v>1798</v>
      </c>
      <c r="Q110" s="27">
        <f>-G8</f>
        <v>-1.42</v>
      </c>
    </row>
    <row r="111" spans="1:18" hidden="1">
      <c r="O111" s="25"/>
      <c r="P111" s="206" t="s">
        <v>1799</v>
      </c>
      <c r="Q111" s="27">
        <f>-0.65/2*I108</f>
        <v>-8.1250000000000003E-3</v>
      </c>
    </row>
    <row r="112" spans="1:18" hidden="1">
      <c r="F112" s="529">
        <f>G8</f>
        <v>1.42</v>
      </c>
      <c r="K112" s="150"/>
      <c r="O112" s="25"/>
      <c r="P112" s="206" t="s">
        <v>1800</v>
      </c>
      <c r="Q112" s="27">
        <f>-J116</f>
        <v>-0.5</v>
      </c>
      <c r="R112" s="150"/>
    </row>
    <row r="113" spans="1:17" hidden="1">
      <c r="L113" s="150"/>
      <c r="O113" s="28"/>
      <c r="P113" s="15"/>
      <c r="Q113" s="22"/>
    </row>
    <row r="114" spans="1:17" hidden="1">
      <c r="O114" s="30"/>
      <c r="P114" s="1295" t="s">
        <v>1801</v>
      </c>
      <c r="Q114" s="1296">
        <f>ROUND(SUM(Q107:Q112),3)</f>
        <v>98.759</v>
      </c>
    </row>
    <row r="115" spans="1:17" hidden="1"/>
    <row r="116" spans="1:17" hidden="1">
      <c r="J116" s="529">
        <f>G10/1000</f>
        <v>0.5</v>
      </c>
      <c r="L116" s="10" t="s">
        <v>18</v>
      </c>
      <c r="M116" s="1297">
        <f>Q114</f>
        <v>98.759</v>
      </c>
    </row>
    <row r="117" spans="1:17" hidden="1"/>
    <row r="118" spans="1:17" hidden="1">
      <c r="B118" s="2">
        <f>(E103-F121*(F120-1))/2</f>
        <v>2.4999999999999467E-2</v>
      </c>
      <c r="D118" s="6">
        <f>F121</f>
        <v>2.95</v>
      </c>
    </row>
    <row r="119" spans="1:17" hidden="1"/>
    <row r="120" spans="1:17" hidden="1">
      <c r="C120" s="15" t="s">
        <v>15</v>
      </c>
      <c r="D120" s="15"/>
      <c r="E120" s="16" t="s">
        <v>1</v>
      </c>
      <c r="F120" s="17">
        <v>5</v>
      </c>
      <c r="G120" s="15" t="s">
        <v>16</v>
      </c>
    </row>
    <row r="121" spans="1:17" hidden="1">
      <c r="C121" s="26" t="s">
        <v>1524</v>
      </c>
      <c r="D121" s="26"/>
      <c r="E121" s="924" t="s">
        <v>1</v>
      </c>
      <c r="F121" s="118">
        <v>2.95</v>
      </c>
      <c r="G121" s="26" t="s">
        <v>2</v>
      </c>
    </row>
    <row r="122" spans="1:17" hidden="1"/>
    <row r="123" spans="1:17">
      <c r="A123" s="9" t="s">
        <v>912</v>
      </c>
    </row>
    <row r="125" spans="1:17">
      <c r="C125" s="720">
        <f>F125</f>
        <v>0.75</v>
      </c>
      <c r="D125" s="786">
        <f>G4</f>
        <v>0.5</v>
      </c>
      <c r="E125" s="786">
        <f>I4</f>
        <v>0.5</v>
      </c>
      <c r="F125" s="1298">
        <v>0.75</v>
      </c>
      <c r="J125" s="593" t="s">
        <v>908</v>
      </c>
      <c r="K125" s="594">
        <f>F87</f>
        <v>100.9</v>
      </c>
    </row>
    <row r="127" spans="1:17">
      <c r="C127" s="10" t="s">
        <v>909</v>
      </c>
      <c r="F127" s="1" t="s">
        <v>910</v>
      </c>
      <c r="M127" s="14"/>
    </row>
    <row r="128" spans="1:17">
      <c r="J128" s="593" t="s">
        <v>911</v>
      </c>
      <c r="K128" s="20">
        <f>M116</f>
        <v>98.759</v>
      </c>
      <c r="O128" s="14"/>
    </row>
    <row r="129" spans="3:17">
      <c r="F129" s="48">
        <f>K180</f>
        <v>0.5</v>
      </c>
    </row>
    <row r="130" spans="3:17">
      <c r="G130" s="126">
        <f>F129+F131</f>
        <v>1</v>
      </c>
    </row>
    <row r="131" spans="3:17">
      <c r="F131" s="48">
        <f>K182</f>
        <v>0.5</v>
      </c>
      <c r="G131" s="8"/>
    </row>
    <row r="133" spans="3:17">
      <c r="C133" s="7">
        <f>(D135-D133)/2</f>
        <v>0.65</v>
      </c>
      <c r="D133" s="39">
        <v>1.2</v>
      </c>
      <c r="E133" s="7"/>
      <c r="F133" s="595">
        <f>(D135-D133)/2</f>
        <v>0.65</v>
      </c>
    </row>
    <row r="135" spans="3:17">
      <c r="D135" s="1074">
        <f>D125+E125+C125+F125</f>
        <v>2.5</v>
      </c>
      <c r="L135" s="14"/>
      <c r="Q135" s="14"/>
    </row>
    <row r="136" spans="3:17">
      <c r="H136" s="120">
        <f>K128-K147-G130-H146</f>
        <v>4.8239999999999954</v>
      </c>
    </row>
    <row r="138" spans="3:17">
      <c r="O138" s="14"/>
    </row>
    <row r="141" spans="3:17">
      <c r="J141" s="447" t="s">
        <v>621</v>
      </c>
      <c r="K141" s="432">
        <f>MAX(F88,K144)</f>
        <v>93.435000000000002</v>
      </c>
    </row>
    <row r="142" spans="3:17">
      <c r="O142" s="14"/>
    </row>
    <row r="143" spans="3:17">
      <c r="C143" s="4">
        <f>(D149-D133)/2</f>
        <v>1.9499999999999997</v>
      </c>
      <c r="E143" s="423"/>
      <c r="F143" s="8">
        <f>C143</f>
        <v>1.9499999999999997</v>
      </c>
    </row>
    <row r="144" spans="3:17">
      <c r="J144" s="447" t="s">
        <v>622</v>
      </c>
      <c r="K144" s="594">
        <f>F89</f>
        <v>92.935000000000002</v>
      </c>
    </row>
    <row r="146" spans="4:16">
      <c r="H146" s="6">
        <v>1.8</v>
      </c>
    </row>
    <row r="147" spans="4:16">
      <c r="H147" s="596"/>
      <c r="J147" s="447" t="s">
        <v>626</v>
      </c>
      <c r="K147" s="594">
        <f>K144-H146</f>
        <v>91.135000000000005</v>
      </c>
    </row>
    <row r="149" spans="4:16">
      <c r="D149" s="8">
        <f>F204</f>
        <v>5.0999999999999996</v>
      </c>
    </row>
    <row r="155" spans="4:16">
      <c r="P155" s="6">
        <v>0.9</v>
      </c>
    </row>
    <row r="156" spans="4:16">
      <c r="J156" s="7"/>
      <c r="K156" s="7"/>
    </row>
    <row r="158" spans="4:16">
      <c r="P158" s="444">
        <f>D118</f>
        <v>2.95</v>
      </c>
    </row>
    <row r="161" spans="5:16">
      <c r="P161" s="528">
        <f>P158</f>
        <v>2.95</v>
      </c>
    </row>
    <row r="162" spans="5:16">
      <c r="J162" s="1574">
        <v>10.5</v>
      </c>
    </row>
    <row r="164" spans="5:16">
      <c r="P164" s="444">
        <f>P158</f>
        <v>2.95</v>
      </c>
    </row>
    <row r="165" spans="5:16">
      <c r="P165" s="528"/>
    </row>
    <row r="166" spans="5:16">
      <c r="P166" s="528"/>
    </row>
    <row r="167" spans="5:16">
      <c r="P167" s="528">
        <f>P164</f>
        <v>2.95</v>
      </c>
    </row>
    <row r="170" spans="5:16">
      <c r="P170" s="444">
        <f>P155</f>
        <v>0.9</v>
      </c>
    </row>
    <row r="173" spans="5:16">
      <c r="E173" s="14">
        <f>D125</f>
        <v>0.5</v>
      </c>
      <c r="G173" s="609">
        <f>E125</f>
        <v>0.5</v>
      </c>
    </row>
    <row r="175" spans="5:16">
      <c r="F175" s="1">
        <f>D135</f>
        <v>2.5</v>
      </c>
    </row>
    <row r="177" spans="2:17">
      <c r="Q177" s="1" t="s">
        <v>1181</v>
      </c>
    </row>
    <row r="178" spans="2:17">
      <c r="F178" s="786">
        <f>J162</f>
        <v>10.5</v>
      </c>
    </row>
    <row r="180" spans="2:17">
      <c r="K180" s="6">
        <v>0.5</v>
      </c>
    </row>
    <row r="181" spans="2:17">
      <c r="K181" s="528"/>
    </row>
    <row r="182" spans="2:17">
      <c r="K182" s="6">
        <v>0.5</v>
      </c>
    </row>
    <row r="183" spans="2:17">
      <c r="H183" s="529"/>
    </row>
    <row r="184" spans="2:17">
      <c r="B184" s="786">
        <f>B186-C184</f>
        <v>1.75</v>
      </c>
      <c r="C184" s="39">
        <v>0.15</v>
      </c>
    </row>
    <row r="185" spans="2:17">
      <c r="B185" s="528"/>
    </row>
    <row r="186" spans="2:17">
      <c r="B186" s="722">
        <f>F178/2-E186/2</f>
        <v>1.9</v>
      </c>
      <c r="E186" s="597">
        <f>H194</f>
        <v>6.7</v>
      </c>
      <c r="J186" s="1">
        <f>2.95*2</f>
        <v>5.9</v>
      </c>
    </row>
    <row r="192" spans="2:17">
      <c r="I192" s="8">
        <f>'3.4_LC_sum'!G15</f>
        <v>8.6999999999999993</v>
      </c>
    </row>
    <row r="193" spans="1:15">
      <c r="N193" s="254"/>
      <c r="O193" s="254"/>
    </row>
    <row r="194" spans="1:15">
      <c r="H194" s="39">
        <f>H196+F203</f>
        <v>6.7</v>
      </c>
    </row>
    <row r="196" spans="1:15">
      <c r="H196" s="443">
        <v>5.5</v>
      </c>
    </row>
    <row r="203" spans="1:15">
      <c r="E203" s="444">
        <f>C143</f>
        <v>1.9499999999999997</v>
      </c>
      <c r="F203" s="445">
        <f>D133</f>
        <v>1.2</v>
      </c>
      <c r="G203" s="445">
        <f>F143</f>
        <v>1.9499999999999997</v>
      </c>
    </row>
    <row r="204" spans="1:15">
      <c r="F204" s="126">
        <f>'3.4_LC_sum'!D23</f>
        <v>5.0999999999999996</v>
      </c>
    </row>
    <row r="207" spans="1:15">
      <c r="A207" s="9" t="s">
        <v>601</v>
      </c>
      <c r="B207" s="7"/>
    </row>
    <row r="208" spans="1:15">
      <c r="A208" s="7" t="s">
        <v>904</v>
      </c>
      <c r="B208" s="7"/>
    </row>
    <row r="209" spans="1:14" ht="18">
      <c r="A209" s="7" t="s">
        <v>82</v>
      </c>
      <c r="B209" s="7" t="s">
        <v>1</v>
      </c>
      <c r="C209" s="1" t="s">
        <v>660</v>
      </c>
    </row>
    <row r="210" spans="1:14" ht="18">
      <c r="A210" s="7" t="s">
        <v>84</v>
      </c>
      <c r="B210" s="7" t="s">
        <v>1</v>
      </c>
      <c r="C210" s="1" t="s">
        <v>658</v>
      </c>
    </row>
    <row r="211" spans="1:14" ht="18">
      <c r="A211" s="7" t="s">
        <v>83</v>
      </c>
      <c r="B211" s="7" t="s">
        <v>1</v>
      </c>
      <c r="C211" s="1" t="s">
        <v>659</v>
      </c>
    </row>
    <row r="212" spans="1:14">
      <c r="A212" s="369"/>
      <c r="B212" s="7"/>
    </row>
    <row r="213" spans="1:14">
      <c r="A213" s="424" t="s">
        <v>38</v>
      </c>
      <c r="B213" s="227"/>
      <c r="C213" s="227"/>
      <c r="D213" s="227"/>
      <c r="E213" s="227"/>
      <c r="F213" s="227"/>
      <c r="G213" s="227"/>
      <c r="H213" s="227"/>
      <c r="I213" s="227"/>
      <c r="J213" s="227"/>
      <c r="K213" s="32"/>
    </row>
    <row r="214" spans="1:14" ht="18">
      <c r="A214" s="370" t="s">
        <v>31</v>
      </c>
      <c r="B214" s="371" t="s">
        <v>28</v>
      </c>
      <c r="C214" s="32"/>
      <c r="D214" s="31" t="s">
        <v>25</v>
      </c>
      <c r="E214" s="33" t="s">
        <v>27</v>
      </c>
      <c r="F214" s="31" t="s">
        <v>26</v>
      </c>
      <c r="G214" s="33" t="s">
        <v>23</v>
      </c>
      <c r="H214" s="31" t="s">
        <v>24</v>
      </c>
      <c r="I214" s="33" t="s">
        <v>83</v>
      </c>
      <c r="J214" s="153" t="s">
        <v>82</v>
      </c>
      <c r="K214" s="153" t="s">
        <v>84</v>
      </c>
    </row>
    <row r="215" spans="1:14" ht="17.25">
      <c r="A215" s="117"/>
      <c r="B215" s="227"/>
      <c r="C215" s="32"/>
      <c r="D215" s="31" t="s">
        <v>2</v>
      </c>
      <c r="E215" s="33" t="s">
        <v>2</v>
      </c>
      <c r="F215" s="31" t="s">
        <v>2</v>
      </c>
      <c r="G215" s="33" t="s">
        <v>33</v>
      </c>
      <c r="H215" s="31" t="s">
        <v>34</v>
      </c>
      <c r="I215" s="33" t="s">
        <v>2</v>
      </c>
      <c r="J215" s="33" t="s">
        <v>2</v>
      </c>
      <c r="K215" s="425" t="s">
        <v>2</v>
      </c>
    </row>
    <row r="216" spans="1:14">
      <c r="A216" s="89" t="s">
        <v>918</v>
      </c>
      <c r="B216" s="11"/>
      <c r="C216" s="27"/>
      <c r="D216" s="26"/>
      <c r="E216" s="34"/>
      <c r="F216" s="26"/>
      <c r="G216" s="34"/>
      <c r="H216" s="26"/>
      <c r="I216" s="34"/>
      <c r="J216" s="34"/>
      <c r="K216" s="34"/>
    </row>
    <row r="217" spans="1:14">
      <c r="A217" s="89">
        <v>1</v>
      </c>
      <c r="B217" s="11">
        <v>1</v>
      </c>
      <c r="C217" s="27"/>
      <c r="D217" s="26">
        <f>F175</f>
        <v>2.5</v>
      </c>
      <c r="E217" s="35">
        <f>K180</f>
        <v>0.5</v>
      </c>
      <c r="F217" s="172">
        <f>J162</f>
        <v>10.5</v>
      </c>
      <c r="G217" s="37">
        <f>B217*D217*E217*F217</f>
        <v>13.125</v>
      </c>
      <c r="H217" s="38">
        <f>G217*$H$32</f>
        <v>32.8125</v>
      </c>
      <c r="I217" s="37">
        <f>K128-K147-F129/2</f>
        <v>7.3739999999999952</v>
      </c>
      <c r="J217" s="600">
        <v>0</v>
      </c>
      <c r="K217" s="600">
        <v>0</v>
      </c>
      <c r="N217" s="150"/>
    </row>
    <row r="218" spans="1:14">
      <c r="A218" s="601" t="s">
        <v>913</v>
      </c>
      <c r="B218" s="11">
        <v>1</v>
      </c>
      <c r="C218" s="27"/>
      <c r="D218" s="26">
        <f>F175</f>
        <v>2.5</v>
      </c>
      <c r="E218" s="34">
        <f>K182</f>
        <v>0.5</v>
      </c>
      <c r="F218" s="172">
        <f>E186+C184*2</f>
        <v>7</v>
      </c>
      <c r="G218" s="37">
        <f>B218*D218*E218*F218</f>
        <v>8.75</v>
      </c>
      <c r="H218" s="38">
        <f>G218*$H$32</f>
        <v>21.875</v>
      </c>
      <c r="I218" s="37">
        <f>K128-K147-F129-F131/2</f>
        <v>6.8739999999999952</v>
      </c>
      <c r="J218" s="600">
        <v>0</v>
      </c>
      <c r="K218" s="600">
        <v>0</v>
      </c>
    </row>
    <row r="219" spans="1:14">
      <c r="A219" s="601" t="s">
        <v>914</v>
      </c>
      <c r="B219" s="11">
        <v>0.5</v>
      </c>
      <c r="C219" s="27"/>
      <c r="D219" s="26">
        <f>F175</f>
        <v>2.5</v>
      </c>
      <c r="E219" s="34">
        <f>K182</f>
        <v>0.5</v>
      </c>
      <c r="F219" s="172">
        <f>B184</f>
        <v>1.75</v>
      </c>
      <c r="G219" s="37">
        <f>B219*D219*E219*F219</f>
        <v>1.09375</v>
      </c>
      <c r="H219" s="38">
        <f>G219*$H$32</f>
        <v>2.734375</v>
      </c>
      <c r="I219" s="37">
        <f>K128-K147-F129-F131/3</f>
        <v>6.9573333333333283</v>
      </c>
      <c r="J219" s="600">
        <v>0</v>
      </c>
      <c r="K219" s="600">
        <f>-(E186/2+C184+B184*1/3)</f>
        <v>-4.083333333333333</v>
      </c>
    </row>
    <row r="220" spans="1:14">
      <c r="A220" s="601" t="s">
        <v>915</v>
      </c>
      <c r="B220" s="11">
        <v>0.5</v>
      </c>
      <c r="C220" s="27"/>
      <c r="D220" s="26">
        <f>F175</f>
        <v>2.5</v>
      </c>
      <c r="E220" s="34">
        <f>K182</f>
        <v>0.5</v>
      </c>
      <c r="F220" s="172">
        <f>B184</f>
        <v>1.75</v>
      </c>
      <c r="G220" s="37">
        <f>B220*D220*E220*F220</f>
        <v>1.09375</v>
      </c>
      <c r="H220" s="38">
        <f>G220*$H$32</f>
        <v>2.734375</v>
      </c>
      <c r="I220" s="37">
        <f>K128-K147-F129-F131/3</f>
        <v>6.9573333333333283</v>
      </c>
      <c r="J220" s="600">
        <v>0</v>
      </c>
      <c r="K220" s="600">
        <f>(E186/2+C184+B184*1/3)</f>
        <v>4.083333333333333</v>
      </c>
    </row>
    <row r="221" spans="1:14">
      <c r="A221" s="89"/>
      <c r="B221" s="11"/>
      <c r="C221" s="27"/>
      <c r="D221" s="26"/>
      <c r="E221" s="34"/>
      <c r="F221" s="26"/>
      <c r="G221" s="34"/>
      <c r="H221" s="26"/>
      <c r="I221" s="34"/>
      <c r="J221" s="34"/>
      <c r="K221" s="269"/>
    </row>
    <row r="222" spans="1:14">
      <c r="A222" s="371"/>
      <c r="B222" s="371" t="s">
        <v>32</v>
      </c>
      <c r="C222" s="32"/>
      <c r="D222" s="30"/>
      <c r="E222" s="33"/>
      <c r="F222" s="31"/>
      <c r="G222" s="56">
        <f>SUM(G217:G220)</f>
        <v>24.0625</v>
      </c>
      <c r="H222" s="56">
        <f>SUM(H217:H220)</f>
        <v>60.15625</v>
      </c>
      <c r="I222" s="56">
        <f>SUMPRODUCT(H217:H220,I217:I220)/H222</f>
        <v>7.1543030303030264</v>
      </c>
      <c r="J222" s="56">
        <f>SUMPRODUCT(H217:H220,J217:J220)/H222</f>
        <v>0</v>
      </c>
      <c r="K222" s="56">
        <f>SUMPRODUCT(H217:H220,K217:K220)/H222</f>
        <v>0</v>
      </c>
    </row>
    <row r="223" spans="1:14">
      <c r="A223" s="112" t="s">
        <v>36</v>
      </c>
      <c r="B223" s="372"/>
      <c r="C223" s="27"/>
      <c r="D223" s="46"/>
      <c r="E223" s="50">
        <v>0.2</v>
      </c>
      <c r="F223" s="26" t="s">
        <v>37</v>
      </c>
      <c r="G223" s="49"/>
      <c r="H223" s="47"/>
      <c r="I223" s="49"/>
      <c r="J223" s="49"/>
    </row>
    <row r="224" spans="1:14">
      <c r="A224" s="373" t="s">
        <v>1627</v>
      </c>
      <c r="B224" s="373"/>
      <c r="C224" s="52"/>
      <c r="D224" s="51"/>
      <c r="E224" s="53"/>
      <c r="F224" s="54"/>
      <c r="G224" s="55">
        <f>G222*(1+E223)</f>
        <v>28.875</v>
      </c>
      <c r="H224" s="55">
        <f>H222*(1+E223)</f>
        <v>72.1875</v>
      </c>
      <c r="I224" s="55">
        <f>I222</f>
        <v>7.1543030303030264</v>
      </c>
      <c r="J224" s="55">
        <f>J222</f>
        <v>0</v>
      </c>
      <c r="K224" s="55">
        <f>K222</f>
        <v>0</v>
      </c>
    </row>
    <row r="225" spans="1:11">
      <c r="A225" s="89" t="s">
        <v>35</v>
      </c>
      <c r="B225" s="11"/>
      <c r="C225" s="27"/>
      <c r="D225" s="26"/>
      <c r="E225" s="35"/>
      <c r="F225" s="26"/>
      <c r="G225" s="37"/>
      <c r="H225" s="38"/>
      <c r="I225" s="37"/>
      <c r="J225" s="34"/>
      <c r="K225" s="269"/>
    </row>
    <row r="226" spans="1:11">
      <c r="A226" s="601" t="s">
        <v>916</v>
      </c>
      <c r="B226" s="11">
        <v>1</v>
      </c>
      <c r="C226" s="27"/>
      <c r="D226" s="26">
        <f>F203</f>
        <v>1.2</v>
      </c>
      <c r="E226" s="37">
        <f>H136</f>
        <v>4.8239999999999954</v>
      </c>
      <c r="F226" s="26">
        <f>H196</f>
        <v>5.5</v>
      </c>
      <c r="G226" s="37">
        <f>B226*D226*E226*F226</f>
        <v>31.838399999999968</v>
      </c>
      <c r="H226" s="172">
        <f>G226*$H$32</f>
        <v>79.595999999999918</v>
      </c>
      <c r="I226" s="37">
        <f>H146+H136/2</f>
        <v>4.211999999999998</v>
      </c>
      <c r="J226" s="600">
        <v>0</v>
      </c>
      <c r="K226" s="600">
        <v>0</v>
      </c>
    </row>
    <row r="227" spans="1:11">
      <c r="A227" s="601" t="s">
        <v>917</v>
      </c>
      <c r="B227" s="11">
        <f>PI()/4</f>
        <v>0.78539816339744828</v>
      </c>
      <c r="C227" s="27"/>
      <c r="D227" s="26">
        <f>F203</f>
        <v>1.2</v>
      </c>
      <c r="E227" s="37">
        <f>H136</f>
        <v>4.8239999999999954</v>
      </c>
      <c r="F227" s="26">
        <f>H194-H196</f>
        <v>1.2000000000000002</v>
      </c>
      <c r="G227" s="37">
        <f>B227*D227*E227*F227</f>
        <v>5.4558154659301739</v>
      </c>
      <c r="H227" s="172">
        <f>G227*$H$32</f>
        <v>13.639538664825434</v>
      </c>
      <c r="I227" s="37">
        <f>H146+H136/2</f>
        <v>4.211999999999998</v>
      </c>
      <c r="J227" s="600">
        <v>0</v>
      </c>
      <c r="K227" s="600">
        <v>0</v>
      </c>
    </row>
    <row r="228" spans="1:11">
      <c r="A228" s="89"/>
      <c r="B228" s="11"/>
      <c r="C228" s="27"/>
      <c r="D228" s="26"/>
      <c r="E228" s="34"/>
      <c r="F228" s="26"/>
      <c r="G228" s="34"/>
      <c r="H228" s="26"/>
      <c r="I228" s="34"/>
      <c r="J228" s="598"/>
      <c r="K228" s="599"/>
    </row>
    <row r="229" spans="1:11">
      <c r="A229" s="373" t="s">
        <v>1628</v>
      </c>
      <c r="B229" s="373"/>
      <c r="C229" s="52"/>
      <c r="D229" s="51"/>
      <c r="E229" s="53"/>
      <c r="F229" s="54"/>
      <c r="G229" s="55">
        <f>SUM(G226:G227)</f>
        <v>37.294215465930144</v>
      </c>
      <c r="H229" s="55">
        <f>SUM(H226:H227)</f>
        <v>93.235538664825356</v>
      </c>
      <c r="I229" s="55">
        <f>SUMPRODUCT(H226:H227,I226:I227)/H229</f>
        <v>4.211999999999998</v>
      </c>
      <c r="J229" s="55">
        <f>SUMPRODUCT(H226:H227,J226:J227)/H229</f>
        <v>0</v>
      </c>
      <c r="K229" s="55">
        <f>SUMPRODUCT(H226:H227,K226:K227)/H229</f>
        <v>0</v>
      </c>
    </row>
    <row r="230" spans="1:11">
      <c r="A230" s="374" t="s">
        <v>1122</v>
      </c>
      <c r="B230" s="374"/>
      <c r="C230" s="32"/>
      <c r="D230" s="42"/>
      <c r="E230" s="43"/>
      <c r="F230" s="44"/>
      <c r="G230" s="45">
        <f>G224+G229</f>
        <v>66.169215465930137</v>
      </c>
      <c r="H230" s="45">
        <f>H224+H229</f>
        <v>165.42303866482536</v>
      </c>
      <c r="I230" s="45">
        <f>(H224*I224+H229*I229)/H230</f>
        <v>5.4959656538431281</v>
      </c>
      <c r="J230" s="45">
        <f>(H224*J224+H229*J229)/H230</f>
        <v>0</v>
      </c>
      <c r="K230" s="300">
        <f>(H224*K224+H229*K229)/H230</f>
        <v>0</v>
      </c>
    </row>
    <row r="231" spans="1:11">
      <c r="A231" s="9"/>
    </row>
    <row r="232" spans="1:11">
      <c r="A232" s="214" t="s">
        <v>627</v>
      </c>
    </row>
    <row r="233" spans="1:11" ht="18">
      <c r="A233" s="36" t="s">
        <v>31</v>
      </c>
      <c r="B233" s="33" t="s">
        <v>28</v>
      </c>
      <c r="C233" s="59" t="s">
        <v>41</v>
      </c>
      <c r="D233" s="31" t="s">
        <v>25</v>
      </c>
      <c r="E233" s="33" t="s">
        <v>27</v>
      </c>
      <c r="F233" s="31" t="s">
        <v>26</v>
      </c>
      <c r="G233" s="33" t="s">
        <v>23</v>
      </c>
      <c r="H233" s="31" t="s">
        <v>24</v>
      </c>
      <c r="I233" s="153" t="s">
        <v>83</v>
      </c>
      <c r="J233" s="153" t="s">
        <v>82</v>
      </c>
      <c r="K233" s="153" t="s">
        <v>84</v>
      </c>
    </row>
    <row r="234" spans="1:11" ht="17.25">
      <c r="A234" s="33"/>
      <c r="B234" s="33"/>
      <c r="C234" s="59"/>
      <c r="D234" s="31" t="s">
        <v>2</v>
      </c>
      <c r="E234" s="33" t="s">
        <v>2</v>
      </c>
      <c r="F234" s="31" t="s">
        <v>2</v>
      </c>
      <c r="G234" s="33" t="s">
        <v>33</v>
      </c>
      <c r="H234" s="31" t="s">
        <v>34</v>
      </c>
      <c r="I234" s="33" t="s">
        <v>2</v>
      </c>
      <c r="J234" s="33" t="s">
        <v>2</v>
      </c>
      <c r="K234" s="33" t="s">
        <v>2</v>
      </c>
    </row>
    <row r="235" spans="1:11">
      <c r="A235" s="34" t="s">
        <v>628</v>
      </c>
      <c r="B235" s="34"/>
      <c r="C235" s="60"/>
      <c r="D235" s="26"/>
      <c r="E235" s="34"/>
      <c r="F235" s="26"/>
      <c r="G235" s="37"/>
      <c r="H235" s="38"/>
      <c r="I235" s="37"/>
      <c r="J235" s="34"/>
      <c r="K235" s="34"/>
    </row>
    <row r="236" spans="1:11">
      <c r="A236" s="34">
        <v>7</v>
      </c>
      <c r="B236" s="34">
        <v>1</v>
      </c>
      <c r="C236" s="60">
        <v>1</v>
      </c>
      <c r="D236" s="26">
        <f>F204</f>
        <v>5.0999999999999996</v>
      </c>
      <c r="E236" s="34">
        <f>H146</f>
        <v>1.8</v>
      </c>
      <c r="F236" s="26">
        <f>I192</f>
        <v>8.6999999999999993</v>
      </c>
      <c r="G236" s="37">
        <f>B236*C236*D236*E236*F236</f>
        <v>79.865999999999985</v>
      </c>
      <c r="H236" s="38">
        <f>G236*$H$32</f>
        <v>199.66499999999996</v>
      </c>
      <c r="I236" s="37">
        <f>H146/2</f>
        <v>0.9</v>
      </c>
      <c r="J236" s="102">
        <v>0</v>
      </c>
      <c r="K236" s="462">
        <v>0</v>
      </c>
    </row>
    <row r="237" spans="1:11">
      <c r="A237" s="34"/>
      <c r="B237" s="34"/>
      <c r="C237" s="60"/>
      <c r="D237" s="26"/>
      <c r="E237" s="34"/>
      <c r="F237" s="26"/>
      <c r="G237" s="37"/>
      <c r="H237" s="38"/>
      <c r="I237" s="37"/>
      <c r="J237" s="34"/>
      <c r="K237" s="34"/>
    </row>
    <row r="238" spans="1:11">
      <c r="A238" s="51" t="s">
        <v>40</v>
      </c>
      <c r="B238" s="53"/>
      <c r="C238" s="61"/>
      <c r="D238" s="51"/>
      <c r="E238" s="53"/>
      <c r="F238" s="54"/>
      <c r="G238" s="55">
        <f>SUM(G236:G236)</f>
        <v>79.865999999999985</v>
      </c>
      <c r="H238" s="55">
        <f>SUM(H236:H236)</f>
        <v>199.66499999999996</v>
      </c>
      <c r="I238" s="55">
        <f>SUMPRODUCT(H236:H236,I236:I236)/H238</f>
        <v>0.9</v>
      </c>
      <c r="J238" s="55">
        <f>SUMPRODUCT(H236:H236,J236:J236)/H238</f>
        <v>0</v>
      </c>
      <c r="K238" s="55">
        <f>SUMPRODUCT(H236:H236,K236:K236)/H238</f>
        <v>0</v>
      </c>
    </row>
    <row r="240" spans="1:11">
      <c r="A240" s="42" t="s">
        <v>629</v>
      </c>
      <c r="B240" s="30"/>
      <c r="C240" s="32"/>
      <c r="D240" s="30"/>
      <c r="E240" s="33"/>
      <c r="F240" s="31"/>
      <c r="G240" s="45">
        <f>G230+G238</f>
        <v>146.03521546593012</v>
      </c>
      <c r="H240" s="45">
        <f>H230+H238</f>
        <v>365.08803866482532</v>
      </c>
      <c r="I240" s="45">
        <f>(H230*I230+H238*I238)/H240</f>
        <v>2.9824527882051117</v>
      </c>
      <c r="J240" s="45">
        <f>(H230*J230+H238*J238)/H240</f>
        <v>0</v>
      </c>
      <c r="K240" s="45">
        <f>(H230*K230+H238*K238)/H240</f>
        <v>0</v>
      </c>
    </row>
    <row r="242" spans="1:11">
      <c r="A242" s="67" t="s">
        <v>76</v>
      </c>
      <c r="B242" s="68"/>
      <c r="C242" s="68"/>
      <c r="D242" s="68"/>
      <c r="E242" s="68"/>
      <c r="F242" s="68"/>
      <c r="G242" s="68" t="s">
        <v>1</v>
      </c>
      <c r="H242" s="88">
        <f>H240</f>
        <v>365.08803866482532</v>
      </c>
      <c r="I242" s="94" t="s">
        <v>51</v>
      </c>
    </row>
    <row r="243" spans="1:11">
      <c r="A243" s="69" t="s">
        <v>656</v>
      </c>
      <c r="B243" s="46"/>
      <c r="C243" s="46"/>
      <c r="D243" s="46"/>
      <c r="E243" s="46"/>
      <c r="F243" s="46"/>
      <c r="G243" s="46" t="s">
        <v>1</v>
      </c>
      <c r="H243" s="47">
        <f>J240</f>
        <v>0</v>
      </c>
      <c r="I243" s="95" t="s">
        <v>2</v>
      </c>
    </row>
    <row r="244" spans="1:11" ht="18">
      <c r="A244" s="69" t="s">
        <v>85</v>
      </c>
      <c r="B244" s="46"/>
      <c r="C244" s="46"/>
      <c r="D244" s="46"/>
      <c r="E244" s="46"/>
      <c r="F244" s="46"/>
      <c r="G244" s="46" t="s">
        <v>1</v>
      </c>
      <c r="H244" s="47">
        <f>H242*H243</f>
        <v>0</v>
      </c>
      <c r="I244" s="95" t="s">
        <v>77</v>
      </c>
    </row>
    <row r="245" spans="1:11">
      <c r="A245" s="69"/>
      <c r="B245" s="46"/>
      <c r="C245" s="46"/>
      <c r="D245" s="46"/>
      <c r="E245" s="46"/>
      <c r="F245" s="46"/>
      <c r="G245" s="46"/>
      <c r="H245" s="46"/>
      <c r="I245" s="95"/>
    </row>
    <row r="246" spans="1:11">
      <c r="A246" s="69" t="s">
        <v>657</v>
      </c>
      <c r="B246" s="46"/>
      <c r="C246" s="46"/>
      <c r="D246" s="46"/>
      <c r="E246" s="46"/>
      <c r="F246" s="46"/>
      <c r="G246" s="46" t="s">
        <v>1</v>
      </c>
      <c r="H246" s="47">
        <f>K240</f>
        <v>0</v>
      </c>
      <c r="I246" s="95" t="s">
        <v>2</v>
      </c>
    </row>
    <row r="247" spans="1:11" ht="18">
      <c r="A247" s="69" t="s">
        <v>86</v>
      </c>
      <c r="B247" s="46"/>
      <c r="C247" s="46"/>
      <c r="D247" s="46"/>
      <c r="E247" s="46"/>
      <c r="F247" s="46"/>
      <c r="G247" s="46" t="s">
        <v>1</v>
      </c>
      <c r="H247" s="103">
        <f>H242*H246</f>
        <v>0</v>
      </c>
      <c r="I247" s="95" t="s">
        <v>77</v>
      </c>
    </row>
    <row r="248" spans="1:11">
      <c r="A248" s="70"/>
      <c r="B248" s="71"/>
      <c r="C248" s="71"/>
      <c r="D248" s="71"/>
      <c r="E248" s="71"/>
      <c r="F248" s="71"/>
      <c r="G248" s="71"/>
      <c r="H248" s="71"/>
      <c r="I248" s="96"/>
    </row>
    <row r="250" spans="1:11">
      <c r="A250" s="369" t="s">
        <v>630</v>
      </c>
      <c r="B250" s="7"/>
      <c r="C250" s="7"/>
      <c r="D250" s="7"/>
      <c r="E250" s="7"/>
      <c r="F250" s="7"/>
      <c r="G250" s="7"/>
      <c r="H250" s="7"/>
    </row>
    <row r="251" spans="1:11" ht="18">
      <c r="A251" s="36" t="s">
        <v>31</v>
      </c>
      <c r="B251" s="33" t="s">
        <v>28</v>
      </c>
      <c r="C251" s="90" t="s">
        <v>41</v>
      </c>
      <c r="D251" s="31" t="s">
        <v>25</v>
      </c>
      <c r="E251" s="33" t="s">
        <v>27</v>
      </c>
      <c r="F251" s="31" t="s">
        <v>26</v>
      </c>
      <c r="G251" s="33" t="s">
        <v>23</v>
      </c>
      <c r="H251" s="31" t="s">
        <v>24</v>
      </c>
      <c r="I251" s="399" t="s">
        <v>83</v>
      </c>
      <c r="J251" s="153" t="s">
        <v>82</v>
      </c>
      <c r="K251" s="153" t="s">
        <v>84</v>
      </c>
    </row>
    <row r="252" spans="1:11" ht="17.25">
      <c r="A252" s="33"/>
      <c r="B252" s="33"/>
      <c r="C252" s="90"/>
      <c r="D252" s="31" t="s">
        <v>2</v>
      </c>
      <c r="E252" s="33" t="s">
        <v>2</v>
      </c>
      <c r="F252" s="31" t="s">
        <v>2</v>
      </c>
      <c r="G252" s="33" t="s">
        <v>33</v>
      </c>
      <c r="H252" s="31" t="s">
        <v>34</v>
      </c>
      <c r="I252" s="33" t="s">
        <v>2</v>
      </c>
      <c r="J252" s="33" t="s">
        <v>2</v>
      </c>
      <c r="K252" s="33" t="s">
        <v>2</v>
      </c>
    </row>
    <row r="253" spans="1:11">
      <c r="A253" s="34"/>
      <c r="B253" s="34"/>
      <c r="C253" s="60"/>
      <c r="D253" s="26"/>
      <c r="E253" s="34"/>
      <c r="F253" s="26"/>
      <c r="G253" s="37"/>
      <c r="H253" s="38"/>
      <c r="I253" s="37"/>
      <c r="J253" s="34"/>
      <c r="K253" s="34"/>
    </row>
    <row r="254" spans="1:11">
      <c r="A254" s="34" t="s">
        <v>78</v>
      </c>
      <c r="B254" s="34"/>
      <c r="C254" s="60"/>
      <c r="D254" s="26"/>
      <c r="E254" s="34"/>
      <c r="F254" s="26"/>
      <c r="G254" s="37"/>
      <c r="H254" s="38"/>
      <c r="I254" s="37"/>
      <c r="J254" s="34"/>
      <c r="K254" s="34"/>
    </row>
    <row r="255" spans="1:11">
      <c r="A255" s="34">
        <v>8</v>
      </c>
      <c r="B255" s="34">
        <v>1</v>
      </c>
      <c r="C255" s="60">
        <v>1</v>
      </c>
      <c r="D255" s="26">
        <f>F204</f>
        <v>5.0999999999999996</v>
      </c>
      <c r="E255" s="35">
        <f>K141-K144</f>
        <v>0.5</v>
      </c>
      <c r="F255" s="26">
        <f>I192</f>
        <v>8.6999999999999993</v>
      </c>
      <c r="G255" s="37">
        <f>B255*C255*D255*E255*F255</f>
        <v>22.184999999999995</v>
      </c>
      <c r="H255" s="38">
        <f>G255*$H$33</f>
        <v>44.36999999999999</v>
      </c>
      <c r="I255" s="37">
        <f>H146+(K141-K144)/2</f>
        <v>2.0499999999999998</v>
      </c>
      <c r="J255" s="102">
        <v>0</v>
      </c>
      <c r="K255" s="462">
        <v>0</v>
      </c>
    </row>
    <row r="256" spans="1:11">
      <c r="A256" s="34">
        <v>9</v>
      </c>
      <c r="B256" s="34">
        <v>1</v>
      </c>
      <c r="C256" s="60">
        <v>-1</v>
      </c>
      <c r="D256" s="26">
        <f>F203</f>
        <v>1.2</v>
      </c>
      <c r="E256" s="35">
        <f>K141-K144</f>
        <v>0.5</v>
      </c>
      <c r="F256" s="26">
        <f>H196</f>
        <v>5.5</v>
      </c>
      <c r="G256" s="37">
        <f>B256*C256*D256*E256*F256</f>
        <v>-3.3</v>
      </c>
      <c r="H256" s="38">
        <f>G256*$H$33</f>
        <v>-6.6</v>
      </c>
      <c r="I256" s="37">
        <f>H146+(K141-K144)/2</f>
        <v>2.0499999999999998</v>
      </c>
      <c r="J256" s="102">
        <v>0</v>
      </c>
      <c r="K256" s="462">
        <v>0</v>
      </c>
    </row>
    <row r="257" spans="1:11">
      <c r="A257" s="34">
        <v>18</v>
      </c>
      <c r="B257" s="34">
        <f>PI()/4</f>
        <v>0.78539816339744828</v>
      </c>
      <c r="C257" s="60">
        <v>-1</v>
      </c>
      <c r="D257" s="26">
        <f>F203</f>
        <v>1.2</v>
      </c>
      <c r="E257" s="35">
        <f>K141-K144</f>
        <v>0.5</v>
      </c>
      <c r="F257" s="26">
        <f>H194-H196</f>
        <v>1.2000000000000002</v>
      </c>
      <c r="G257" s="37">
        <f>B257*C257*D257*E257*F257</f>
        <v>-0.56548667764616289</v>
      </c>
      <c r="H257" s="38">
        <f>G257*$H$33</f>
        <v>-1.1309733552923258</v>
      </c>
      <c r="I257" s="37">
        <f>H146+(K141-K144)/2</f>
        <v>2.0499999999999998</v>
      </c>
      <c r="J257" s="102">
        <v>0</v>
      </c>
      <c r="K257" s="462">
        <v>0</v>
      </c>
    </row>
    <row r="258" spans="1:11">
      <c r="A258" s="58"/>
      <c r="B258" s="58"/>
      <c r="C258" s="98"/>
      <c r="D258" s="15"/>
      <c r="E258" s="58"/>
      <c r="F258" s="15"/>
      <c r="G258" s="99"/>
      <c r="H258" s="100"/>
      <c r="I258" s="99"/>
      <c r="J258" s="99"/>
      <c r="K258" s="99"/>
    </row>
    <row r="259" spans="1:11">
      <c r="A259" s="30" t="s">
        <v>79</v>
      </c>
      <c r="B259" s="30"/>
      <c r="C259" s="32"/>
      <c r="D259" s="30"/>
      <c r="E259" s="33"/>
      <c r="F259" s="31"/>
      <c r="G259" s="56">
        <f>SUM(G255:G257)</f>
        <v>18.319513322353831</v>
      </c>
      <c r="H259" s="56">
        <f>SUM(H255:H257)</f>
        <v>36.639026644707663</v>
      </c>
      <c r="I259" s="55">
        <f>SUMPRODUCT(H255:H257,I255:I257)/H259</f>
        <v>2.0499999999999998</v>
      </c>
      <c r="J259" s="55">
        <f>SUMPRODUCT(H255:H257,J255:J257)/H259</f>
        <v>0</v>
      </c>
      <c r="K259" s="55">
        <f>SUMPRODUCT(I255:I257,K255:K257)/I259</f>
        <v>0</v>
      </c>
    </row>
    <row r="260" spans="1:11">
      <c r="A260" s="26"/>
      <c r="B260" s="26"/>
      <c r="C260" s="97"/>
      <c r="D260" s="26"/>
      <c r="E260" s="26"/>
      <c r="F260" s="26"/>
      <c r="G260" s="38"/>
      <c r="H260" s="38"/>
      <c r="I260" s="38"/>
      <c r="J260" s="38"/>
    </row>
    <row r="261" spans="1:11">
      <c r="A261" s="67" t="s">
        <v>631</v>
      </c>
      <c r="B261" s="68"/>
      <c r="C261" s="68"/>
      <c r="D261" s="68"/>
      <c r="E261" s="68"/>
      <c r="F261" s="68"/>
      <c r="G261" s="68" t="s">
        <v>1</v>
      </c>
      <c r="H261" s="88">
        <f>H259</f>
        <v>36.639026644707663</v>
      </c>
      <c r="I261" s="94" t="s">
        <v>51</v>
      </c>
      <c r="J261" s="38"/>
    </row>
    <row r="262" spans="1:11">
      <c r="A262" s="69" t="s">
        <v>654</v>
      </c>
      <c r="B262" s="46"/>
      <c r="C262" s="46"/>
      <c r="D262" s="46"/>
      <c r="E262" s="46"/>
      <c r="F262" s="46"/>
      <c r="G262" s="46" t="s">
        <v>1</v>
      </c>
      <c r="H262" s="47">
        <f>J259</f>
        <v>0</v>
      </c>
      <c r="I262" s="95" t="s">
        <v>2</v>
      </c>
      <c r="J262" s="38"/>
    </row>
    <row r="263" spans="1:11" ht="18">
      <c r="A263" s="69" t="s">
        <v>642</v>
      </c>
      <c r="B263" s="46"/>
      <c r="C263" s="46"/>
      <c r="D263" s="46"/>
      <c r="E263" s="46"/>
      <c r="F263" s="46"/>
      <c r="G263" s="46" t="s">
        <v>1</v>
      </c>
      <c r="H263" s="47">
        <f>H261*H262</f>
        <v>0</v>
      </c>
      <c r="I263" s="95" t="s">
        <v>77</v>
      </c>
      <c r="J263" s="38"/>
    </row>
    <row r="264" spans="1:11">
      <c r="A264" s="69"/>
      <c r="B264" s="46"/>
      <c r="C264" s="46"/>
      <c r="D264" s="46"/>
      <c r="E264" s="46"/>
      <c r="F264" s="46"/>
      <c r="G264" s="46"/>
      <c r="H264" s="46"/>
      <c r="I264" s="95"/>
    </row>
    <row r="265" spans="1:11">
      <c r="A265" s="69" t="s">
        <v>655</v>
      </c>
      <c r="B265" s="46"/>
      <c r="C265" s="46"/>
      <c r="D265" s="46"/>
      <c r="E265" s="46"/>
      <c r="F265" s="46"/>
      <c r="G265" s="46" t="s">
        <v>1</v>
      </c>
      <c r="H265" s="47">
        <f>K259</f>
        <v>0</v>
      </c>
      <c r="I265" s="95" t="s">
        <v>2</v>
      </c>
    </row>
    <row r="266" spans="1:11" ht="18">
      <c r="A266" s="69" t="s">
        <v>641</v>
      </c>
      <c r="B266" s="46"/>
      <c r="C266" s="46"/>
      <c r="D266" s="46"/>
      <c r="E266" s="46"/>
      <c r="F266" s="46"/>
      <c r="G266" s="46" t="s">
        <v>1</v>
      </c>
      <c r="H266" s="47">
        <f>H261*H265</f>
        <v>0</v>
      </c>
      <c r="I266" s="95" t="s">
        <v>77</v>
      </c>
    </row>
    <row r="267" spans="1:11">
      <c r="A267" s="70"/>
      <c r="B267" s="71"/>
      <c r="C267" s="71"/>
      <c r="D267" s="71"/>
      <c r="E267" s="71"/>
      <c r="F267" s="71"/>
      <c r="G267" s="71"/>
      <c r="H267" s="71"/>
      <c r="I267" s="96"/>
    </row>
    <row r="269" spans="1:11">
      <c r="A269" s="1" t="s">
        <v>1124</v>
      </c>
    </row>
    <row r="270" spans="1:11" ht="17.25">
      <c r="A270" s="1" t="s">
        <v>1125</v>
      </c>
      <c r="G270" s="1" t="s">
        <v>1</v>
      </c>
      <c r="H270" s="150">
        <f>G238</f>
        <v>79.865999999999985</v>
      </c>
      <c r="I270" s="1" t="s">
        <v>33</v>
      </c>
    </row>
    <row r="271" spans="1:11" ht="17.25">
      <c r="A271" s="1" t="s">
        <v>1126</v>
      </c>
      <c r="G271" s="1" t="s">
        <v>1</v>
      </c>
      <c r="H271" s="14">
        <f>G229/E227*(F94-K144)</f>
        <v>23.695433333970961</v>
      </c>
      <c r="I271" s="1" t="s">
        <v>33</v>
      </c>
      <c r="J271" s="14"/>
    </row>
    <row r="273" spans="1:9">
      <c r="G273" s="1" t="s">
        <v>1127</v>
      </c>
      <c r="H273" s="150">
        <f>SUM(H270:H271)</f>
        <v>103.56143333397094</v>
      </c>
      <c r="I273" s="1" t="s">
        <v>1097</v>
      </c>
    </row>
    <row r="275" spans="1:9">
      <c r="A275" s="1" t="s">
        <v>1466</v>
      </c>
      <c r="G275" s="1" t="s">
        <v>1</v>
      </c>
      <c r="H275" s="1">
        <f>-H273*1</f>
        <v>-103.56143333397094</v>
      </c>
      <c r="I275" s="1" t="s">
        <v>34</v>
      </c>
    </row>
    <row r="277" spans="1:9">
      <c r="A277" s="1" t="s">
        <v>1467</v>
      </c>
      <c r="G277" s="1" t="s">
        <v>1</v>
      </c>
      <c r="H277" s="1">
        <f>-H271*1</f>
        <v>-23.695433333970961</v>
      </c>
      <c r="I277" s="1" t="s">
        <v>34</v>
      </c>
    </row>
  </sheetData>
  <dataValidations disablePrompts="1" count="2">
    <dataValidation type="list" errorStyle="information" allowBlank="1" showInputMessage="1" showErrorMessage="1" error="Please enter valid soil type (rocky,medium,soft)" sqref="I79">
      <formula1>"rocky,medium,soft"</formula1>
    </dataValidation>
    <dataValidation type="list" allowBlank="1" showInputMessage="1" showErrorMessage="1" sqref="I78">
      <formula1>$O$30:$O$33</formula1>
    </dataValidation>
  </dataValidations>
  <pageMargins left="0.59055118110236204" right="0.15748031496063" top="0.59055118110236204" bottom="0.15748031496063" header="0.31496062992126" footer="0.31496062992126"/>
  <pageSetup paperSize="9" orientation="portrait" blackAndWhite="1" r:id="rId1"/>
  <rowBreaks count="5" manualBreakCount="5">
    <brk id="53" max="11" man="1"/>
    <brk id="101" max="11" man="1"/>
    <brk id="152" max="11" man="1"/>
    <brk id="206" max="11" man="1"/>
    <brk id="249" max="11" man="1"/>
  </rowBreaks>
  <drawing r:id="rId2"/>
</worksheet>
</file>

<file path=xl/worksheets/sheet30.xml><?xml version="1.0" encoding="utf-8"?>
<worksheet xmlns="http://schemas.openxmlformats.org/spreadsheetml/2006/main" xmlns:r="http://schemas.openxmlformats.org/officeDocument/2006/relationships">
  <sheetPr codeName="Sheet61">
    <tabColor theme="5" tint="0.59999389629810485"/>
  </sheetPr>
  <dimension ref="A1:P73"/>
  <sheetViews>
    <sheetView view="pageBreakPreview" topLeftCell="A34" zoomScaleSheetLayoutView="100" workbookViewId="0">
      <selection activeCell="M33" sqref="M33"/>
    </sheetView>
  </sheetViews>
  <sheetFormatPr defaultRowHeight="15"/>
  <cols>
    <col min="6" max="6" width="8.5703125" customWidth="1"/>
  </cols>
  <sheetData>
    <row r="1" spans="1:16">
      <c r="A1" s="9" t="s">
        <v>1539</v>
      </c>
      <c r="B1" s="1"/>
      <c r="C1" s="1"/>
      <c r="D1" s="1"/>
      <c r="E1" s="1"/>
      <c r="F1" s="1"/>
      <c r="G1" s="1"/>
      <c r="H1" s="1"/>
      <c r="I1" s="1"/>
      <c r="J1" s="1"/>
      <c r="K1" s="1"/>
      <c r="L1" s="1"/>
      <c r="M1" s="1"/>
      <c r="N1" s="1"/>
      <c r="O1" s="1"/>
      <c r="P1" s="1"/>
    </row>
    <row r="2" spans="1:16">
      <c r="A2" s="1" t="s">
        <v>1540</v>
      </c>
      <c r="B2" s="1"/>
      <c r="C2" s="1" t="s">
        <v>1</v>
      </c>
      <c r="D2" s="1">
        <f>U_PILE!C5</f>
        <v>1.2</v>
      </c>
      <c r="E2" s="1" t="s">
        <v>2</v>
      </c>
      <c r="F2" s="1"/>
      <c r="G2" s="1"/>
      <c r="H2" s="1"/>
      <c r="I2" s="1"/>
      <c r="J2" s="1"/>
      <c r="K2" s="1"/>
      <c r="L2" s="1"/>
      <c r="M2" s="1"/>
      <c r="N2" s="1"/>
      <c r="O2" s="1"/>
      <c r="P2" s="1"/>
    </row>
    <row r="3" spans="1:16">
      <c r="A3" s="1" t="s">
        <v>606</v>
      </c>
      <c r="B3" s="1"/>
      <c r="C3" s="1" t="s">
        <v>1</v>
      </c>
      <c r="D3" s="4">
        <v>75</v>
      </c>
      <c r="E3" s="1" t="s">
        <v>5</v>
      </c>
      <c r="F3" s="1"/>
      <c r="G3" s="1"/>
      <c r="H3" s="1"/>
      <c r="I3" s="1"/>
      <c r="J3" s="1"/>
      <c r="K3" s="1"/>
      <c r="L3" s="1"/>
      <c r="M3" s="1"/>
      <c r="N3" s="1"/>
      <c r="O3" s="1"/>
      <c r="P3" s="1"/>
    </row>
    <row r="4" spans="1:16">
      <c r="A4" s="9"/>
      <c r="B4" s="1"/>
      <c r="C4" s="1"/>
      <c r="D4" s="1"/>
      <c r="E4" s="1"/>
      <c r="F4" s="1"/>
      <c r="G4" s="1"/>
      <c r="H4" s="1"/>
      <c r="I4" s="1"/>
      <c r="J4" s="1"/>
      <c r="K4" s="1"/>
      <c r="L4" s="1"/>
      <c r="M4" s="1"/>
      <c r="N4" s="1"/>
      <c r="O4" s="1"/>
      <c r="P4" s="1"/>
    </row>
    <row r="5" spans="1:16" ht="18">
      <c r="A5" s="1" t="s">
        <v>1484</v>
      </c>
      <c r="B5" s="1"/>
      <c r="C5" s="1" t="s">
        <v>1</v>
      </c>
      <c r="D5" s="254">
        <f>MAX(U_PILE!B46:B105)</f>
        <v>414.03021879539438</v>
      </c>
      <c r="E5" s="1" t="s">
        <v>34</v>
      </c>
      <c r="F5" s="1"/>
      <c r="G5" s="1"/>
      <c r="H5" s="1"/>
      <c r="I5" s="1"/>
      <c r="J5" s="1"/>
      <c r="K5" s="1"/>
      <c r="L5" s="1"/>
      <c r="M5" s="1"/>
      <c r="N5" s="1"/>
      <c r="O5" s="1"/>
      <c r="P5" s="1"/>
    </row>
    <row r="6" spans="1:16" ht="17.25">
      <c r="A6" s="1" t="s">
        <v>457</v>
      </c>
      <c r="B6" s="1"/>
      <c r="C6" s="1" t="s">
        <v>1</v>
      </c>
      <c r="D6" s="1">
        <f>PI()*D2^2/4*10^6</f>
        <v>1130973.3552923256</v>
      </c>
      <c r="E6" s="1" t="s">
        <v>570</v>
      </c>
      <c r="F6" s="1"/>
      <c r="G6" s="1"/>
      <c r="H6" s="1"/>
      <c r="I6" s="1"/>
      <c r="J6" s="1"/>
      <c r="K6" s="1"/>
      <c r="L6" s="1"/>
      <c r="M6" s="1"/>
      <c r="N6" s="1"/>
      <c r="O6" s="1"/>
      <c r="P6" s="1"/>
    </row>
    <row r="7" spans="1:16">
      <c r="A7" s="1" t="s">
        <v>329</v>
      </c>
      <c r="B7" s="1"/>
      <c r="C7" s="1" t="s">
        <v>1</v>
      </c>
      <c r="D7" s="1">
        <f>GEN!H19</f>
        <v>35</v>
      </c>
      <c r="E7" s="1" t="s">
        <v>293</v>
      </c>
      <c r="F7" s="1"/>
      <c r="G7" s="1"/>
      <c r="H7" s="1"/>
      <c r="I7" s="1"/>
      <c r="J7" s="1"/>
      <c r="K7" s="1"/>
      <c r="L7" s="1"/>
      <c r="M7" s="1"/>
      <c r="N7" s="1"/>
      <c r="O7" s="1"/>
      <c r="P7" s="1"/>
    </row>
    <row r="8" spans="1:16">
      <c r="A8" s="1" t="s">
        <v>331</v>
      </c>
      <c r="B8" s="1"/>
      <c r="C8" s="1" t="s">
        <v>1</v>
      </c>
      <c r="D8" s="150">
        <f>GEN!H22</f>
        <v>15.633333333333335</v>
      </c>
      <c r="E8" s="1" t="s">
        <v>293</v>
      </c>
      <c r="F8" s="1"/>
      <c r="G8" s="1"/>
      <c r="H8" s="1"/>
      <c r="I8" s="1"/>
      <c r="J8" s="1"/>
      <c r="K8" s="1"/>
      <c r="L8" s="1"/>
      <c r="M8" s="1"/>
      <c r="N8" s="1"/>
      <c r="O8" s="1"/>
      <c r="P8" s="1"/>
    </row>
    <row r="9" spans="1:16">
      <c r="A9" s="1" t="s">
        <v>304</v>
      </c>
      <c r="B9" s="1"/>
      <c r="C9" s="1" t="s">
        <v>1</v>
      </c>
      <c r="D9" s="254">
        <f>GEN!H29</f>
        <v>434.78260869565224</v>
      </c>
      <c r="E9" s="1" t="s">
        <v>293</v>
      </c>
      <c r="F9" s="1"/>
      <c r="G9" s="1"/>
      <c r="H9" s="1"/>
      <c r="I9" s="1"/>
      <c r="J9" s="1"/>
      <c r="K9" s="1"/>
      <c r="L9" s="1"/>
      <c r="M9" s="1"/>
      <c r="N9" s="1"/>
      <c r="O9" s="1"/>
      <c r="P9" s="1"/>
    </row>
    <row r="10" spans="1:16">
      <c r="A10" s="1"/>
      <c r="B10" s="1"/>
      <c r="C10" s="1"/>
      <c r="D10" s="1"/>
      <c r="E10" s="1"/>
      <c r="F10" s="1"/>
      <c r="G10" s="1"/>
      <c r="H10" s="1"/>
      <c r="I10" s="1"/>
      <c r="J10" s="1"/>
      <c r="K10" s="1"/>
      <c r="L10" s="1"/>
      <c r="M10" s="1"/>
      <c r="N10" s="1"/>
      <c r="O10" s="1"/>
      <c r="P10" s="1"/>
    </row>
    <row r="11" spans="1:16">
      <c r="A11" s="1" t="s">
        <v>1487</v>
      </c>
      <c r="B11" s="1"/>
      <c r="C11" s="1"/>
      <c r="D11" s="1"/>
      <c r="E11" s="1"/>
      <c r="F11" s="1"/>
      <c r="G11" s="1"/>
      <c r="H11" s="1"/>
      <c r="I11" s="1"/>
      <c r="J11" s="1"/>
      <c r="K11" s="1"/>
      <c r="L11" s="1"/>
      <c r="M11" s="1"/>
      <c r="N11" s="1"/>
      <c r="O11" s="1"/>
      <c r="P11" s="1"/>
    </row>
    <row r="12" spans="1:16" ht="18">
      <c r="A12" s="1" t="s">
        <v>1482</v>
      </c>
      <c r="B12" s="1"/>
      <c r="C12" s="1" t="s">
        <v>1</v>
      </c>
      <c r="D12" s="1" t="s">
        <v>420</v>
      </c>
      <c r="E12" s="1" t="s">
        <v>1483</v>
      </c>
      <c r="F12" s="1"/>
      <c r="G12" s="1"/>
      <c r="H12" s="1"/>
      <c r="I12" s="1"/>
      <c r="J12" s="1"/>
      <c r="K12" s="1"/>
      <c r="L12" s="1"/>
      <c r="M12" s="1"/>
      <c r="N12" s="1"/>
      <c r="O12" s="1"/>
      <c r="P12" s="1"/>
    </row>
    <row r="13" spans="1:16">
      <c r="A13" s="1"/>
      <c r="B13" s="1"/>
      <c r="C13" s="1"/>
      <c r="D13" s="1"/>
      <c r="E13" s="1"/>
      <c r="F13" s="1"/>
      <c r="G13" s="1"/>
      <c r="H13" s="1"/>
      <c r="I13" s="1"/>
      <c r="J13" s="1"/>
      <c r="K13" s="1"/>
      <c r="L13" s="1"/>
      <c r="M13" s="1"/>
      <c r="N13" s="1"/>
      <c r="O13" s="1"/>
      <c r="P13" s="1"/>
    </row>
    <row r="14" spans="1:16" ht="18">
      <c r="A14" s="1" t="s">
        <v>1482</v>
      </c>
      <c r="B14" s="1"/>
      <c r="C14" s="1" t="s">
        <v>1</v>
      </c>
      <c r="D14" s="14">
        <f>D5*10^4/D6/D7</f>
        <v>0.10459516811223168</v>
      </c>
      <c r="E14" s="528" t="str">
        <f>IF(D14&gt;F14,"&gt;","&lt;")</f>
        <v>&gt;</v>
      </c>
      <c r="F14" s="4">
        <v>0.08</v>
      </c>
      <c r="G14" s="63"/>
      <c r="H14" s="1"/>
      <c r="I14" s="1"/>
      <c r="J14" s="1"/>
      <c r="K14" s="1"/>
      <c r="L14" s="1"/>
      <c r="M14" s="1"/>
      <c r="N14" s="1"/>
      <c r="O14" s="1"/>
      <c r="P14" s="1"/>
    </row>
    <row r="15" spans="1:16">
      <c r="A15" s="1"/>
      <c r="B15" s="1"/>
      <c r="C15" s="1"/>
      <c r="D15" s="1"/>
      <c r="E15" s="528" t="str">
        <f>IF(D14&gt;F15,"&gt;","&lt;")</f>
        <v>&lt;</v>
      </c>
      <c r="F15" s="4">
        <v>0.3</v>
      </c>
      <c r="G15" s="63"/>
      <c r="H15" s="1"/>
      <c r="I15" s="1"/>
      <c r="J15" s="1"/>
      <c r="K15" s="1"/>
      <c r="L15" s="1"/>
      <c r="M15" s="1"/>
      <c r="N15" s="1"/>
      <c r="O15" s="1"/>
      <c r="P15" s="1"/>
    </row>
    <row r="16" spans="1:16">
      <c r="A16" s="1" t="s">
        <v>1488</v>
      </c>
      <c r="B16" s="1"/>
      <c r="C16" s="1"/>
      <c r="D16" s="1"/>
      <c r="E16" s="1"/>
      <c r="F16" s="1"/>
      <c r="G16" s="1"/>
      <c r="H16" s="1"/>
      <c r="I16" s="1"/>
      <c r="J16" s="1"/>
      <c r="K16" s="1"/>
      <c r="L16" s="1"/>
      <c r="M16" s="1"/>
      <c r="N16" s="1"/>
      <c r="O16" s="1"/>
      <c r="P16" s="1"/>
    </row>
    <row r="17" spans="1:16">
      <c r="A17" s="1"/>
      <c r="B17" s="1" t="s">
        <v>420</v>
      </c>
      <c r="C17" s="1" t="s">
        <v>1</v>
      </c>
      <c r="D17" s="1" t="s">
        <v>1489</v>
      </c>
      <c r="E17" s="1"/>
      <c r="F17" s="1"/>
      <c r="G17" s="1"/>
      <c r="H17" s="1"/>
      <c r="I17" s="1"/>
      <c r="J17" s="1"/>
      <c r="K17" s="1"/>
      <c r="L17" s="1"/>
      <c r="M17" s="1"/>
      <c r="N17" s="1"/>
      <c r="O17" s="1"/>
      <c r="P17" s="1"/>
    </row>
    <row r="18" spans="1:16">
      <c r="A18" s="1"/>
      <c r="B18" s="1"/>
      <c r="C18" s="1"/>
      <c r="D18" s="1" t="s">
        <v>1</v>
      </c>
      <c r="E18" s="528">
        <f>D2</f>
        <v>1.2</v>
      </c>
      <c r="F18" s="1" t="s">
        <v>2</v>
      </c>
      <c r="G18" s="1"/>
      <c r="H18" s="1"/>
      <c r="I18" s="1"/>
      <c r="J18" s="1"/>
      <c r="K18" s="1"/>
      <c r="L18" s="1"/>
      <c r="M18" s="1"/>
      <c r="N18" s="1"/>
      <c r="O18" s="1"/>
      <c r="P18" s="1"/>
    </row>
    <row r="19" spans="1:16">
      <c r="A19" s="1"/>
      <c r="B19" s="1"/>
      <c r="C19" s="1"/>
      <c r="D19" s="1"/>
      <c r="E19" s="528"/>
      <c r="F19" s="1"/>
      <c r="G19" s="1"/>
      <c r="H19" s="1"/>
      <c r="I19" s="1"/>
      <c r="J19" s="1"/>
      <c r="K19" s="1"/>
      <c r="L19" s="1"/>
      <c r="M19" s="1"/>
      <c r="N19" s="1"/>
      <c r="O19" s="1"/>
      <c r="P19" s="1"/>
    </row>
    <row r="20" spans="1:16">
      <c r="A20" s="1"/>
      <c r="B20" s="1"/>
      <c r="C20" s="1"/>
      <c r="D20" s="1712" t="s">
        <v>1490</v>
      </c>
      <c r="E20" s="1712"/>
      <c r="F20" s="1712"/>
      <c r="G20" s="1712"/>
      <c r="H20" s="1712"/>
      <c r="I20" s="1712"/>
      <c r="J20" s="1"/>
      <c r="K20" s="1"/>
      <c r="L20" s="1"/>
      <c r="M20" s="1"/>
      <c r="N20" s="1"/>
      <c r="O20" s="1"/>
      <c r="P20" s="1"/>
    </row>
    <row r="21" spans="1:16">
      <c r="A21" s="1"/>
      <c r="B21" s="1"/>
      <c r="C21" s="1"/>
      <c r="D21" s="1712"/>
      <c r="E21" s="1712"/>
      <c r="F21" s="1712"/>
      <c r="G21" s="1712"/>
      <c r="H21" s="1712"/>
      <c r="I21" s="1712"/>
      <c r="J21" s="1"/>
      <c r="K21" s="1"/>
      <c r="L21" s="1"/>
      <c r="M21" s="1"/>
      <c r="N21" s="1"/>
      <c r="O21" s="1"/>
      <c r="P21" s="1"/>
    </row>
    <row r="22" spans="1:16">
      <c r="A22" s="1"/>
      <c r="B22" s="1"/>
      <c r="C22" s="1"/>
      <c r="D22" s="1712"/>
      <c r="E22" s="1712"/>
      <c r="F22" s="1712"/>
      <c r="G22" s="1712"/>
      <c r="H22" s="1712"/>
      <c r="I22" s="1712"/>
      <c r="J22" s="1"/>
      <c r="K22" s="1"/>
      <c r="L22" s="1"/>
      <c r="M22" s="1"/>
      <c r="N22" s="1"/>
      <c r="O22" s="1"/>
      <c r="P22" s="1"/>
    </row>
    <row r="23" spans="1:16">
      <c r="A23" s="1"/>
      <c r="B23" s="1"/>
      <c r="C23" s="1"/>
      <c r="D23" s="1000" t="s">
        <v>1</v>
      </c>
      <c r="E23" s="1102">
        <v>2</v>
      </c>
      <c r="F23" s="1000" t="s">
        <v>2</v>
      </c>
      <c r="G23" s="1002" t="s">
        <v>1541</v>
      </c>
      <c r="H23" s="1103"/>
      <c r="I23" s="1103"/>
      <c r="J23" s="1"/>
      <c r="K23" s="1"/>
      <c r="L23" s="1"/>
      <c r="M23" s="1"/>
      <c r="N23" s="1"/>
      <c r="O23" s="1"/>
      <c r="P23" s="1"/>
    </row>
    <row r="24" spans="1:16">
      <c r="A24" s="1"/>
      <c r="B24" s="1"/>
      <c r="C24" s="1"/>
      <c r="D24" s="1100"/>
      <c r="E24" s="1100"/>
      <c r="F24" s="1100"/>
      <c r="G24" s="1100"/>
      <c r="H24" s="1100"/>
      <c r="I24" s="1100"/>
      <c r="J24" s="1"/>
      <c r="K24" s="1"/>
      <c r="L24" s="1"/>
      <c r="M24" s="1"/>
      <c r="N24" s="1"/>
      <c r="O24" s="1"/>
      <c r="P24" s="1"/>
    </row>
    <row r="25" spans="1:16">
      <c r="A25" s="1"/>
      <c r="B25" s="1"/>
      <c r="C25" s="1"/>
      <c r="D25" s="529" t="s">
        <v>1542</v>
      </c>
      <c r="E25" s="1100"/>
      <c r="F25" s="1100"/>
      <c r="G25" s="1100"/>
      <c r="H25" s="1100"/>
      <c r="I25" s="1100"/>
      <c r="J25" s="1"/>
      <c r="K25" s="1"/>
      <c r="L25" s="1"/>
      <c r="M25" s="1"/>
      <c r="N25" s="1"/>
      <c r="O25" s="1"/>
      <c r="P25" s="1"/>
    </row>
    <row r="26" spans="1:16">
      <c r="A26" s="1"/>
      <c r="B26" s="1"/>
      <c r="C26" s="1"/>
      <c r="D26" s="1100" t="s">
        <v>1</v>
      </c>
      <c r="E26" s="1100">
        <f>E18*3</f>
        <v>3.5999999999999996</v>
      </c>
      <c r="F26" s="1100" t="s">
        <v>2</v>
      </c>
      <c r="G26" s="1100"/>
      <c r="H26" s="1100"/>
      <c r="I26" s="1100"/>
      <c r="J26" s="1"/>
      <c r="K26" s="1"/>
      <c r="L26" s="1"/>
      <c r="M26" s="1"/>
      <c r="N26" s="1"/>
      <c r="O26" s="1"/>
      <c r="P26" s="1"/>
    </row>
    <row r="27" spans="1:16">
      <c r="A27" s="1"/>
      <c r="B27" s="1"/>
      <c r="C27" s="1"/>
      <c r="G27" s="1"/>
      <c r="H27" s="1"/>
      <c r="I27" s="1"/>
      <c r="J27" s="1"/>
      <c r="K27" s="1"/>
      <c r="L27" s="1"/>
      <c r="M27" s="1"/>
      <c r="N27" s="1"/>
      <c r="O27" s="1"/>
      <c r="P27" s="1"/>
    </row>
    <row r="28" spans="1:16">
      <c r="A28" s="1"/>
      <c r="B28" s="1"/>
      <c r="C28" s="1" t="s">
        <v>1</v>
      </c>
      <c r="D28" s="1">
        <f>MAX(E18,E23,E26)</f>
        <v>3.5999999999999996</v>
      </c>
      <c r="E28" s="1" t="s">
        <v>2</v>
      </c>
      <c r="F28" s="1"/>
      <c r="G28" s="1"/>
      <c r="H28" s="1"/>
      <c r="I28" s="1"/>
      <c r="J28" s="1"/>
      <c r="K28" s="1"/>
      <c r="L28" s="1"/>
      <c r="M28" s="1"/>
      <c r="N28" s="1"/>
      <c r="O28" s="1"/>
      <c r="P28" s="1"/>
    </row>
    <row r="29" spans="1:16">
      <c r="A29" s="1"/>
      <c r="B29" s="1"/>
      <c r="C29" s="1"/>
      <c r="D29" s="1"/>
      <c r="E29" s="1"/>
      <c r="F29" s="1"/>
      <c r="G29" s="1"/>
      <c r="H29" s="1"/>
      <c r="I29" s="1"/>
      <c r="J29" s="1"/>
      <c r="K29" s="1"/>
      <c r="L29" s="1"/>
      <c r="M29" s="1"/>
      <c r="N29" s="1"/>
      <c r="O29" s="1"/>
      <c r="P29" s="1"/>
    </row>
    <row r="30" spans="1:16">
      <c r="A30" s="1"/>
      <c r="B30" s="1"/>
      <c r="C30" s="1"/>
      <c r="D30" s="1"/>
      <c r="E30" s="1"/>
      <c r="F30" s="1"/>
      <c r="G30" s="1"/>
      <c r="H30" s="1"/>
      <c r="I30" s="1"/>
      <c r="J30" s="1"/>
      <c r="K30" s="1"/>
      <c r="L30" s="1"/>
      <c r="M30" s="1"/>
      <c r="N30" s="1"/>
      <c r="O30" s="1"/>
      <c r="P30" s="1"/>
    </row>
    <row r="31" spans="1:16">
      <c r="A31" s="1" t="s">
        <v>1515</v>
      </c>
      <c r="B31" s="1"/>
      <c r="C31" s="1"/>
      <c r="D31" s="1"/>
      <c r="E31" s="1"/>
      <c r="F31" s="1"/>
      <c r="G31" s="1"/>
      <c r="H31" s="1"/>
      <c r="I31" s="1"/>
      <c r="J31" s="1"/>
      <c r="K31" s="1"/>
      <c r="L31" s="1"/>
      <c r="M31" s="1"/>
      <c r="N31" s="1"/>
      <c r="O31" s="1"/>
      <c r="P31" s="1"/>
    </row>
    <row r="32" spans="1:16" ht="18">
      <c r="A32" s="1" t="s">
        <v>1499</v>
      </c>
      <c r="B32" s="1"/>
      <c r="C32" s="1"/>
      <c r="D32" s="1"/>
      <c r="E32" s="1" t="s">
        <v>1</v>
      </c>
      <c r="F32" s="1" t="s">
        <v>1500</v>
      </c>
      <c r="G32" s="1"/>
      <c r="H32" s="1"/>
      <c r="I32" s="1"/>
      <c r="J32" s="1"/>
      <c r="K32" s="1"/>
      <c r="L32" s="1"/>
      <c r="M32" s="1"/>
      <c r="N32" s="1"/>
      <c r="O32" s="1"/>
      <c r="P32" s="1"/>
    </row>
    <row r="33" spans="1:16">
      <c r="A33" s="1" t="s">
        <v>457</v>
      </c>
      <c r="B33" s="1"/>
      <c r="C33" s="1"/>
      <c r="D33" s="1"/>
      <c r="E33" s="1" t="s">
        <v>1</v>
      </c>
      <c r="F33" s="1" t="s">
        <v>1501</v>
      </c>
      <c r="G33" s="1"/>
      <c r="H33" s="1"/>
      <c r="I33" s="1"/>
      <c r="J33" s="1"/>
      <c r="K33" s="1"/>
      <c r="L33" s="1"/>
      <c r="M33" s="1"/>
      <c r="N33" s="1"/>
      <c r="O33" s="1"/>
      <c r="P33" s="1"/>
    </row>
    <row r="34" spans="1:16" ht="17.25">
      <c r="A34" s="1"/>
      <c r="B34" s="1"/>
      <c r="C34" s="1"/>
      <c r="D34" s="1"/>
      <c r="E34" s="1" t="s">
        <v>1</v>
      </c>
      <c r="F34" s="14">
        <f>PI()*D2^2/4</f>
        <v>1.1309733552923256</v>
      </c>
      <c r="G34" s="1" t="s">
        <v>458</v>
      </c>
      <c r="H34" s="1"/>
      <c r="I34" s="1"/>
      <c r="J34" s="1"/>
      <c r="K34" s="1"/>
      <c r="L34" s="1"/>
      <c r="M34" s="1"/>
      <c r="N34" s="1"/>
      <c r="O34" s="1"/>
      <c r="P34" s="1"/>
    </row>
    <row r="35" spans="1:16">
      <c r="A35" s="1"/>
      <c r="B35" s="1"/>
      <c r="C35" s="1"/>
      <c r="D35" s="1"/>
      <c r="E35" s="1"/>
      <c r="F35" s="1"/>
      <c r="G35" s="1"/>
      <c r="H35" s="1"/>
      <c r="I35" s="1"/>
      <c r="J35" s="1"/>
      <c r="K35" s="1"/>
      <c r="L35" s="1"/>
      <c r="M35" s="1"/>
      <c r="N35" s="1"/>
      <c r="O35" s="1"/>
      <c r="P35" s="1"/>
    </row>
    <row r="36" spans="1:16">
      <c r="A36" s="1" t="s">
        <v>1502</v>
      </c>
      <c r="B36" s="1"/>
      <c r="C36" s="1"/>
      <c r="D36" s="1"/>
      <c r="E36" s="1" t="s">
        <v>1</v>
      </c>
      <c r="F36" s="1672" t="s">
        <v>1522</v>
      </c>
      <c r="G36" s="1672"/>
      <c r="H36" s="1672"/>
      <c r="I36" s="1672"/>
      <c r="J36" s="1672"/>
      <c r="K36" s="1"/>
      <c r="L36" s="1"/>
      <c r="M36" s="1"/>
      <c r="N36" s="1"/>
      <c r="O36" s="1"/>
      <c r="P36" s="1"/>
    </row>
    <row r="37" spans="1:16">
      <c r="A37" s="1"/>
      <c r="B37" s="1"/>
      <c r="C37" s="1"/>
      <c r="D37" s="1"/>
      <c r="E37" s="1"/>
      <c r="F37" s="1672"/>
      <c r="G37" s="1672"/>
      <c r="H37" s="1672"/>
      <c r="I37" s="1672"/>
      <c r="J37" s="1672"/>
      <c r="K37" s="1"/>
      <c r="L37" s="1"/>
      <c r="M37" s="1"/>
      <c r="N37" s="1"/>
      <c r="O37" s="1"/>
      <c r="P37" s="1"/>
    </row>
    <row r="38" spans="1:16" ht="17.25">
      <c r="A38" s="1"/>
      <c r="B38" s="1"/>
      <c r="C38" s="1"/>
      <c r="D38" s="1"/>
      <c r="E38" s="1" t="s">
        <v>1</v>
      </c>
      <c r="F38" s="14">
        <f>PI()*F40^2/4</f>
        <v>0.86590147514568672</v>
      </c>
      <c r="G38" s="1" t="s">
        <v>458</v>
      </c>
      <c r="H38" s="1"/>
      <c r="I38" s="1"/>
      <c r="J38" s="1"/>
      <c r="K38" s="1"/>
      <c r="L38" s="1"/>
      <c r="M38" s="1"/>
      <c r="N38" s="1"/>
      <c r="O38" s="1"/>
      <c r="P38" s="1"/>
    </row>
    <row r="39" spans="1:16">
      <c r="A39" s="1"/>
      <c r="B39" s="1"/>
      <c r="C39" s="1"/>
      <c r="D39" s="1"/>
      <c r="E39" s="1"/>
      <c r="F39" s="1"/>
      <c r="G39" s="1"/>
      <c r="H39" s="1"/>
      <c r="I39" s="1"/>
      <c r="J39" s="1"/>
      <c r="K39" s="1"/>
      <c r="L39" s="1"/>
      <c r="M39" s="1"/>
      <c r="N39" s="1"/>
      <c r="O39" s="1"/>
      <c r="P39" s="1"/>
    </row>
    <row r="40" spans="1:16">
      <c r="A40" s="1" t="s">
        <v>1503</v>
      </c>
      <c r="B40" s="1"/>
      <c r="C40" s="1"/>
      <c r="D40" s="1"/>
      <c r="E40" s="1" t="s">
        <v>1</v>
      </c>
      <c r="F40" s="1">
        <f>D2-D3*2/1000</f>
        <v>1.05</v>
      </c>
      <c r="G40" s="1" t="s">
        <v>2</v>
      </c>
      <c r="H40" s="1"/>
      <c r="I40" s="1"/>
      <c r="J40" s="1"/>
      <c r="K40" s="1"/>
      <c r="L40" s="1"/>
      <c r="M40" s="1"/>
      <c r="N40" s="1"/>
      <c r="O40" s="1"/>
      <c r="P40" s="1"/>
    </row>
    <row r="41" spans="1:16" ht="18">
      <c r="A41" s="1" t="s">
        <v>1504</v>
      </c>
      <c r="B41" s="1"/>
      <c r="C41" s="1"/>
      <c r="D41" s="1"/>
      <c r="E41" s="1" t="s">
        <v>1</v>
      </c>
      <c r="F41" s="1" t="s">
        <v>1505</v>
      </c>
      <c r="G41" s="1"/>
      <c r="H41" s="1"/>
      <c r="I41" s="1"/>
      <c r="J41" s="1"/>
      <c r="K41" s="1"/>
      <c r="L41" s="1"/>
      <c r="M41" s="1"/>
      <c r="N41" s="1"/>
      <c r="O41" s="1"/>
      <c r="P41" s="1"/>
    </row>
    <row r="42" spans="1:16">
      <c r="A42" s="1"/>
      <c r="B42" s="1"/>
      <c r="C42" s="1"/>
      <c r="D42" s="1"/>
      <c r="E42" s="1" t="s">
        <v>1</v>
      </c>
      <c r="F42" s="1" t="s">
        <v>1506</v>
      </c>
      <c r="G42" s="1"/>
      <c r="H42" s="1"/>
      <c r="I42" s="1"/>
      <c r="J42" s="1"/>
      <c r="K42" s="1"/>
      <c r="L42" s="1"/>
      <c r="M42" s="1"/>
      <c r="N42" s="1"/>
      <c r="O42" s="1"/>
      <c r="P42" s="1"/>
    </row>
    <row r="43" spans="1:16">
      <c r="A43" s="1"/>
      <c r="B43" s="1"/>
      <c r="C43" s="1"/>
      <c r="D43" s="1"/>
      <c r="E43" s="1"/>
      <c r="F43" s="1"/>
      <c r="G43" s="1"/>
      <c r="H43" s="1"/>
      <c r="I43" s="1"/>
      <c r="J43" s="1"/>
      <c r="K43" s="1"/>
      <c r="L43" s="1"/>
      <c r="M43" s="1"/>
      <c r="N43" s="1"/>
      <c r="O43" s="1"/>
      <c r="P43" s="1"/>
    </row>
    <row r="44" spans="1:16" ht="17.25">
      <c r="A44" s="1" t="s">
        <v>777</v>
      </c>
      <c r="B44" s="1"/>
      <c r="C44" s="1"/>
      <c r="D44" s="1" t="s">
        <v>1179</v>
      </c>
      <c r="E44" s="1" t="s">
        <v>1</v>
      </c>
      <c r="F44" s="254">
        <f>U_PILE!K11</f>
        <v>12271.846303085129</v>
      </c>
      <c r="G44" s="1" t="s">
        <v>570</v>
      </c>
      <c r="H44" s="1"/>
      <c r="I44" s="1"/>
      <c r="J44" s="1"/>
      <c r="K44" s="1"/>
      <c r="L44" s="1"/>
      <c r="M44" s="1"/>
      <c r="N44" s="1"/>
      <c r="O44" s="1"/>
      <c r="P44" s="1"/>
    </row>
    <row r="45" spans="1:16" ht="17.25" customHeight="1">
      <c r="A45" s="1" t="s">
        <v>1504</v>
      </c>
      <c r="B45" s="1"/>
      <c r="C45" s="1"/>
      <c r="D45" s="1"/>
      <c r="E45" s="1" t="s">
        <v>1</v>
      </c>
      <c r="F45" s="397">
        <f>F44/(F38*10^6)</f>
        <v>1.4172335600907028E-2</v>
      </c>
      <c r="G45" s="1" t="s">
        <v>1950</v>
      </c>
      <c r="H45" s="1"/>
      <c r="I45" s="1"/>
      <c r="J45" s="1"/>
      <c r="K45" s="1"/>
      <c r="L45" s="1"/>
      <c r="M45" s="1"/>
      <c r="N45" s="1"/>
      <c r="O45" s="1"/>
      <c r="P45" s="1"/>
    </row>
    <row r="46" spans="1:16" ht="17.25" customHeight="1">
      <c r="A46" s="1"/>
      <c r="B46" s="1"/>
      <c r="C46" s="1"/>
      <c r="D46" s="1"/>
      <c r="E46" s="1"/>
      <c r="F46" s="1"/>
      <c r="G46" s="1"/>
      <c r="H46" s="1"/>
      <c r="I46" s="1"/>
      <c r="J46" s="1"/>
      <c r="K46" s="1"/>
      <c r="L46" s="1"/>
      <c r="M46" s="1"/>
      <c r="N46" s="1"/>
      <c r="O46" s="1"/>
      <c r="P46" s="1"/>
    </row>
    <row r="47" spans="1:16" ht="18">
      <c r="A47" s="1" t="s">
        <v>1499</v>
      </c>
      <c r="B47" s="1"/>
      <c r="C47" s="1"/>
      <c r="D47" s="1"/>
      <c r="E47" s="1" t="s">
        <v>1</v>
      </c>
      <c r="F47" s="397">
        <f>0.37*F34/F38*D14+MAX(0,0.13*D9/D8*(F45-0.01))</f>
        <v>6.563214116477363E-2</v>
      </c>
      <c r="G47" s="1"/>
      <c r="H47" s="1"/>
      <c r="I47" s="1"/>
      <c r="J47" s="1"/>
      <c r="K47" s="1"/>
      <c r="L47" s="1"/>
      <c r="M47" s="1"/>
      <c r="N47" s="1"/>
      <c r="O47" s="1"/>
      <c r="P47" s="1"/>
    </row>
    <row r="48" spans="1:16">
      <c r="A48" s="1"/>
      <c r="B48" s="1"/>
      <c r="C48" s="1"/>
      <c r="D48" s="1"/>
      <c r="E48" s="1"/>
      <c r="F48" s="1"/>
      <c r="G48" s="1"/>
      <c r="H48" s="1"/>
      <c r="I48" s="1"/>
      <c r="J48" s="1"/>
      <c r="K48" s="1"/>
      <c r="L48" s="1"/>
      <c r="M48" s="1"/>
      <c r="N48" s="1"/>
      <c r="O48" s="1"/>
      <c r="P48" s="1"/>
    </row>
    <row r="49" spans="1:16">
      <c r="A49" s="1" t="s">
        <v>1507</v>
      </c>
      <c r="B49" s="1"/>
      <c r="C49" s="1"/>
      <c r="D49" s="1"/>
      <c r="E49" s="1"/>
      <c r="F49" s="1"/>
      <c r="G49" s="1"/>
      <c r="H49" s="1"/>
      <c r="I49" s="1"/>
      <c r="J49" s="1"/>
      <c r="K49" s="1"/>
      <c r="L49" s="1"/>
      <c r="M49" s="1"/>
      <c r="N49" s="1"/>
      <c r="O49" s="1"/>
      <c r="P49" s="1"/>
    </row>
    <row r="50" spans="1:16" ht="18">
      <c r="A50" s="1" t="s">
        <v>1508</v>
      </c>
      <c r="B50" s="1"/>
      <c r="C50" s="1"/>
      <c r="D50" s="1"/>
      <c r="E50" s="1" t="s">
        <v>1</v>
      </c>
      <c r="F50" s="1" t="s">
        <v>1509</v>
      </c>
      <c r="G50" s="1"/>
      <c r="H50" s="1"/>
      <c r="I50" s="1"/>
      <c r="J50" s="1"/>
      <c r="K50" s="1"/>
      <c r="L50" s="1"/>
      <c r="M50" s="1"/>
      <c r="N50" s="1"/>
      <c r="O50" s="1"/>
      <c r="P50" s="1"/>
    </row>
    <row r="51" spans="1:16">
      <c r="A51" s="1"/>
      <c r="B51" s="1"/>
      <c r="C51" s="1"/>
      <c r="D51" s="1"/>
      <c r="E51" s="1" t="s">
        <v>1</v>
      </c>
      <c r="F51" s="1">
        <f>MAX(1.4*F47,0.18)</f>
        <v>0.18</v>
      </c>
      <c r="G51" s="1"/>
      <c r="H51" s="1"/>
      <c r="I51" s="1"/>
      <c r="J51" s="1"/>
      <c r="K51" s="1"/>
      <c r="L51" s="1"/>
      <c r="M51" s="1"/>
      <c r="N51" s="1"/>
      <c r="O51" s="1"/>
      <c r="P51" s="1"/>
    </row>
    <row r="52" spans="1:16">
      <c r="A52" s="1"/>
      <c r="B52" s="1"/>
      <c r="C52" s="1"/>
      <c r="D52" s="1"/>
      <c r="E52" s="1"/>
      <c r="F52" s="1"/>
      <c r="G52" s="1"/>
      <c r="H52" s="1"/>
      <c r="I52" s="1"/>
      <c r="J52" s="1"/>
      <c r="K52" s="1"/>
      <c r="L52" s="1"/>
      <c r="M52" s="1"/>
      <c r="N52" s="1"/>
      <c r="O52" s="1"/>
      <c r="P52" s="1"/>
    </row>
    <row r="53" spans="1:16">
      <c r="A53" s="1" t="s">
        <v>1491</v>
      </c>
      <c r="B53" s="1"/>
      <c r="C53" s="1"/>
      <c r="D53" s="1"/>
      <c r="E53" s="1"/>
      <c r="F53" s="1"/>
      <c r="G53" s="1"/>
      <c r="H53" s="1"/>
      <c r="I53" s="1"/>
      <c r="J53" s="1"/>
      <c r="K53" s="1"/>
      <c r="L53" s="1"/>
      <c r="M53" s="1"/>
      <c r="N53" s="1"/>
      <c r="O53" s="1"/>
      <c r="P53" s="1"/>
    </row>
    <row r="54" spans="1:16" ht="18">
      <c r="A54" s="1" t="s">
        <v>1486</v>
      </c>
      <c r="B54" s="1"/>
      <c r="C54" s="1"/>
      <c r="D54" s="1"/>
      <c r="E54" s="1" t="s">
        <v>1</v>
      </c>
      <c r="F54" s="1" t="s">
        <v>1510</v>
      </c>
      <c r="G54" s="1"/>
      <c r="H54" s="1"/>
      <c r="I54" s="1"/>
      <c r="J54" s="1"/>
      <c r="K54" s="1"/>
      <c r="L54" s="1"/>
      <c r="M54" s="1"/>
      <c r="N54" s="1"/>
      <c r="O54" s="1"/>
      <c r="P54" s="1"/>
    </row>
    <row r="55" spans="1:16">
      <c r="A55" s="1"/>
      <c r="B55" s="1"/>
      <c r="C55" s="1"/>
      <c r="D55" s="1"/>
      <c r="E55" s="1" t="s">
        <v>1</v>
      </c>
      <c r="F55" s="1">
        <f>F51*D8/D9</f>
        <v>6.4721999999999991E-3</v>
      </c>
      <c r="G55" s="1"/>
      <c r="H55" s="1"/>
      <c r="I55" s="1"/>
      <c r="J55" s="1"/>
      <c r="K55" s="1"/>
      <c r="L55" s="1"/>
      <c r="M55" s="1"/>
      <c r="N55" s="1"/>
      <c r="O55" s="1"/>
      <c r="P55" s="1"/>
    </row>
    <row r="56" spans="1:16">
      <c r="A56" s="1"/>
      <c r="B56" s="1"/>
      <c r="C56" s="1"/>
      <c r="D56" s="1"/>
      <c r="E56" s="1"/>
      <c r="F56" s="1"/>
      <c r="G56" s="1"/>
      <c r="H56" s="1"/>
      <c r="I56" s="1"/>
      <c r="J56" s="1"/>
      <c r="K56" s="1"/>
      <c r="L56" s="1"/>
      <c r="M56" s="1"/>
      <c r="N56" s="1"/>
      <c r="O56" s="1"/>
      <c r="P56" s="1"/>
    </row>
    <row r="57" spans="1:16">
      <c r="A57" s="1" t="s">
        <v>1491</v>
      </c>
      <c r="B57" s="1"/>
      <c r="C57" s="1"/>
      <c r="D57" s="1"/>
      <c r="E57" s="1"/>
      <c r="F57" s="1"/>
      <c r="G57" s="1"/>
      <c r="H57" s="1"/>
      <c r="I57" s="1"/>
      <c r="J57" s="1"/>
      <c r="K57" s="1"/>
      <c r="L57" s="1"/>
      <c r="M57" s="1"/>
      <c r="N57" s="1"/>
      <c r="O57" s="1"/>
      <c r="P57" s="1"/>
    </row>
    <row r="58" spans="1:16" ht="18">
      <c r="A58" s="1" t="s">
        <v>1486</v>
      </c>
      <c r="B58" s="1"/>
      <c r="C58" s="1"/>
      <c r="D58" s="1"/>
      <c r="E58" s="1" t="s">
        <v>1</v>
      </c>
      <c r="F58" s="1" t="s">
        <v>1492</v>
      </c>
      <c r="G58" s="1"/>
      <c r="H58" s="1"/>
      <c r="I58" s="1"/>
      <c r="J58" s="1"/>
      <c r="K58" s="1"/>
      <c r="L58" s="1"/>
      <c r="M58" s="1"/>
      <c r="N58" s="1"/>
      <c r="O58" s="1"/>
      <c r="P58" s="1"/>
    </row>
    <row r="59" spans="1:16">
      <c r="A59" s="1" t="s">
        <v>1494</v>
      </c>
      <c r="B59" s="1"/>
      <c r="C59" s="1"/>
      <c r="D59" s="1"/>
      <c r="E59" s="1"/>
      <c r="F59" s="1"/>
      <c r="G59" s="1"/>
      <c r="H59" s="1"/>
      <c r="I59" s="1"/>
      <c r="J59" s="1"/>
      <c r="K59" s="1"/>
      <c r="L59" s="1"/>
      <c r="M59" s="1"/>
      <c r="N59" s="1"/>
      <c r="O59" s="1"/>
      <c r="P59" s="1"/>
    </row>
    <row r="60" spans="1:16" ht="18">
      <c r="A60" s="1" t="s">
        <v>1493</v>
      </c>
      <c r="B60" s="1"/>
      <c r="C60" s="1"/>
      <c r="D60" s="1"/>
      <c r="E60" s="1" t="s">
        <v>1</v>
      </c>
      <c r="F60" s="1" t="s">
        <v>1511</v>
      </c>
      <c r="G60" s="1"/>
      <c r="H60" s="1"/>
      <c r="I60" s="1"/>
      <c r="J60" s="1"/>
      <c r="K60" s="1"/>
      <c r="L60" s="1"/>
      <c r="M60" s="1"/>
      <c r="N60" s="1"/>
      <c r="O60" s="1"/>
      <c r="P60" s="1"/>
    </row>
    <row r="61" spans="1:16">
      <c r="A61" s="1"/>
      <c r="B61" s="1"/>
      <c r="C61" s="1"/>
      <c r="D61" s="1"/>
      <c r="E61" s="1"/>
      <c r="F61" s="1"/>
      <c r="G61" s="1"/>
      <c r="H61" s="1"/>
      <c r="I61" s="1"/>
      <c r="J61" s="1"/>
      <c r="K61" s="1"/>
      <c r="L61" s="1"/>
      <c r="M61" s="1"/>
      <c r="N61" s="1"/>
      <c r="O61" s="1"/>
      <c r="P61" s="1"/>
    </row>
    <row r="62" spans="1:16">
      <c r="A62" s="1" t="s">
        <v>1495</v>
      </c>
      <c r="B62" s="1"/>
      <c r="C62" s="1"/>
      <c r="D62" s="1"/>
      <c r="E62" s="1" t="s">
        <v>1</v>
      </c>
      <c r="F62" s="1" t="s">
        <v>1496</v>
      </c>
      <c r="G62" s="1"/>
      <c r="H62" s="1"/>
      <c r="I62" s="1"/>
      <c r="J62" s="1"/>
      <c r="K62" s="1"/>
      <c r="L62" s="1"/>
      <c r="M62" s="1"/>
      <c r="N62" s="1"/>
      <c r="O62" s="1"/>
      <c r="P62" s="1"/>
    </row>
    <row r="63" spans="1:16">
      <c r="A63" s="1"/>
      <c r="B63" s="1"/>
      <c r="C63" s="1"/>
      <c r="D63" s="1"/>
      <c r="E63" s="1" t="s">
        <v>1</v>
      </c>
      <c r="F63" s="254">
        <f>D2*1000-D3*2-B72</f>
        <v>1034</v>
      </c>
      <c r="G63" s="1" t="s">
        <v>5</v>
      </c>
      <c r="H63" s="1"/>
      <c r="I63" s="1"/>
      <c r="J63" s="1"/>
      <c r="K63" s="1"/>
      <c r="L63" s="1"/>
      <c r="M63" s="1"/>
      <c r="N63" s="1"/>
      <c r="O63" s="1"/>
      <c r="P63" s="1"/>
    </row>
    <row r="64" spans="1:16">
      <c r="A64" s="1"/>
      <c r="B64" s="1"/>
      <c r="C64" s="1"/>
      <c r="D64" s="1"/>
      <c r="E64" s="1"/>
      <c r="F64" s="1"/>
      <c r="G64" s="1"/>
      <c r="H64" s="1"/>
      <c r="I64" s="1"/>
      <c r="J64" s="1"/>
      <c r="K64" s="1"/>
      <c r="L64" s="1"/>
      <c r="M64" s="1"/>
      <c r="N64" s="1"/>
      <c r="O64" s="1"/>
      <c r="P64" s="1"/>
    </row>
    <row r="65" spans="1:16" ht="18">
      <c r="A65" s="1" t="s">
        <v>1497</v>
      </c>
      <c r="B65" s="1"/>
      <c r="C65" s="1"/>
      <c r="D65" s="1"/>
      <c r="E65" s="1" t="s">
        <v>1</v>
      </c>
      <c r="F65" s="1" t="s">
        <v>1498</v>
      </c>
      <c r="G65" s="1"/>
      <c r="H65" s="1"/>
      <c r="I65" s="1"/>
      <c r="J65" s="1"/>
      <c r="K65" s="1"/>
      <c r="L65" s="1"/>
      <c r="M65" s="1"/>
      <c r="N65" s="1"/>
      <c r="O65" s="1"/>
      <c r="P65" s="1"/>
    </row>
    <row r="66" spans="1:16">
      <c r="A66" s="1"/>
      <c r="B66" s="1"/>
      <c r="C66" s="1"/>
      <c r="D66" s="1"/>
      <c r="E66" s="1" t="s">
        <v>1</v>
      </c>
      <c r="F66" s="4">
        <f>E72</f>
        <v>120</v>
      </c>
      <c r="G66" s="1" t="s">
        <v>5</v>
      </c>
      <c r="H66" s="1"/>
      <c r="I66" s="1"/>
      <c r="J66" s="1"/>
      <c r="K66" s="1"/>
      <c r="L66" s="1"/>
      <c r="M66" s="1"/>
      <c r="N66" s="1"/>
      <c r="O66" s="1"/>
      <c r="P66" s="1"/>
    </row>
    <row r="67" spans="1:16">
      <c r="A67" s="1"/>
      <c r="B67" s="1"/>
      <c r="C67" s="1"/>
      <c r="D67" s="1"/>
      <c r="E67" s="1"/>
      <c r="F67" s="1"/>
      <c r="G67" s="1"/>
      <c r="H67" s="1"/>
      <c r="I67" s="1"/>
      <c r="J67" s="1"/>
      <c r="K67" s="1"/>
      <c r="L67" s="1"/>
      <c r="M67" s="1"/>
      <c r="N67" s="1"/>
      <c r="O67" s="1"/>
      <c r="P67" s="1"/>
    </row>
    <row r="68" spans="1:16">
      <c r="A68" s="1" t="s">
        <v>1493</v>
      </c>
      <c r="B68" s="1"/>
      <c r="C68" s="1"/>
      <c r="D68" s="1"/>
      <c r="E68" s="1" t="s">
        <v>1</v>
      </c>
      <c r="F68" s="150">
        <f>F55*F63*F66/4</f>
        <v>200.76764399999996</v>
      </c>
      <c r="G68" s="1" t="s">
        <v>1485</v>
      </c>
      <c r="H68" s="1"/>
      <c r="I68" s="1"/>
      <c r="J68" s="1"/>
      <c r="K68" s="1"/>
      <c r="L68" s="1"/>
      <c r="M68" s="1"/>
      <c r="N68" s="1"/>
      <c r="O68" s="1"/>
      <c r="P68" s="1"/>
    </row>
    <row r="69" spans="1:16">
      <c r="A69" s="1"/>
      <c r="B69" s="1"/>
      <c r="C69" s="1"/>
      <c r="D69" s="1"/>
      <c r="E69" s="1"/>
      <c r="F69" s="1"/>
      <c r="G69" s="1"/>
      <c r="H69" s="1"/>
      <c r="I69" s="1"/>
      <c r="J69" s="1"/>
      <c r="K69" s="1"/>
      <c r="L69" s="1"/>
      <c r="M69" s="1"/>
      <c r="N69" s="1"/>
      <c r="O69" s="1"/>
      <c r="P69" s="1"/>
    </row>
    <row r="70" spans="1:16">
      <c r="A70" s="1" t="s">
        <v>1512</v>
      </c>
      <c r="B70" s="1"/>
      <c r="C70" s="1"/>
      <c r="D70" s="1"/>
      <c r="E70" s="1" t="s">
        <v>1</v>
      </c>
      <c r="F70" s="150">
        <f>SQRT(F68*4/PI())</f>
        <v>15.988286451152643</v>
      </c>
      <c r="G70" s="1" t="s">
        <v>5</v>
      </c>
      <c r="H70" s="1"/>
      <c r="I70" s="1"/>
      <c r="J70" s="1"/>
      <c r="K70" s="1"/>
      <c r="L70" s="1"/>
      <c r="M70" s="1"/>
      <c r="N70" s="1"/>
      <c r="O70" s="1"/>
      <c r="P70" s="1"/>
    </row>
    <row r="71" spans="1:16">
      <c r="A71" s="1"/>
      <c r="B71" s="1"/>
      <c r="C71" s="1"/>
      <c r="D71" s="1"/>
      <c r="E71" s="1"/>
      <c r="F71" s="1"/>
      <c r="G71" s="1"/>
      <c r="H71" s="1"/>
      <c r="I71" s="1"/>
      <c r="J71" s="1"/>
      <c r="K71" s="1"/>
      <c r="L71" s="1"/>
      <c r="M71" s="1"/>
      <c r="N71" s="1"/>
      <c r="O71" s="1"/>
      <c r="P71" s="1"/>
    </row>
    <row r="72" spans="1:16">
      <c r="A72" s="1" t="s">
        <v>603</v>
      </c>
      <c r="B72" s="4">
        <v>16</v>
      </c>
      <c r="C72" s="1" t="s">
        <v>1513</v>
      </c>
      <c r="D72" s="1"/>
      <c r="E72" s="4">
        <v>120</v>
      </c>
      <c r="F72" s="1" t="s">
        <v>1514</v>
      </c>
      <c r="G72" s="1"/>
      <c r="H72" s="334" t="str">
        <f>IF(B72&gt;F70,"OK","REVISE")</f>
        <v>OK</v>
      </c>
      <c r="I72" s="1"/>
      <c r="J72" s="1"/>
      <c r="K72" s="1"/>
      <c r="L72" s="1"/>
      <c r="M72" s="1"/>
      <c r="N72" s="1"/>
      <c r="O72" s="1"/>
      <c r="P72" s="1"/>
    </row>
    <row r="73" spans="1:16">
      <c r="A73" s="1"/>
      <c r="B73" s="1"/>
      <c r="C73" s="1"/>
      <c r="D73" s="1"/>
      <c r="E73" s="1"/>
      <c r="F73" s="1"/>
      <c r="G73" s="1"/>
      <c r="H73" s="1"/>
      <c r="I73" s="1"/>
      <c r="J73" s="1"/>
      <c r="K73" s="1"/>
      <c r="L73" s="1"/>
      <c r="M73" s="1"/>
      <c r="N73" s="1"/>
      <c r="O73" s="1"/>
      <c r="P73" s="1"/>
    </row>
  </sheetData>
  <mergeCells count="2">
    <mergeCell ref="D20:I22"/>
    <mergeCell ref="F36:J37"/>
  </mergeCells>
  <pageMargins left="0.59055118110236227" right="0.15748031496062992" top="0.59055118110236227" bottom="0.15748031496062992" header="0.31496062992125984" footer="0.31496062992125984"/>
  <pageSetup paperSize="9" orientation="portrait" blackAndWhite="1" r:id="rId1"/>
  <rowBreaks count="1" manualBreakCount="1">
    <brk id="48" max="16383" man="1"/>
  </rowBreaks>
  <drawing r:id="rId2"/>
</worksheet>
</file>

<file path=xl/worksheets/sheet31.xml><?xml version="1.0" encoding="utf-8"?>
<worksheet xmlns="http://schemas.openxmlformats.org/spreadsheetml/2006/main" xmlns:r="http://schemas.openxmlformats.org/officeDocument/2006/relationships">
  <sheetPr codeName="Sheet29">
    <tabColor theme="6" tint="0.39997558519241921"/>
  </sheetPr>
  <dimension ref="A1:Y115"/>
  <sheetViews>
    <sheetView view="pageBreakPreview" topLeftCell="A19" zoomScaleSheetLayoutView="100" workbookViewId="0">
      <selection activeCell="M33" sqref="M33"/>
    </sheetView>
  </sheetViews>
  <sheetFormatPr defaultColWidth="7.7109375" defaultRowHeight="15"/>
  <cols>
    <col min="1" max="2" width="7.7109375" style="1"/>
    <col min="3" max="3" width="7.7109375" style="1" customWidth="1"/>
    <col min="4" max="4" width="9.5703125" style="1" bestFit="1" customWidth="1"/>
    <col min="5" max="6" width="7.7109375" style="1"/>
    <col min="7" max="7" width="7.85546875" style="1" bestFit="1" customWidth="1"/>
    <col min="8" max="8" width="7.85546875" style="1" customWidth="1"/>
    <col min="9" max="9" width="7.7109375" style="1" customWidth="1"/>
    <col min="10" max="10" width="7.7109375" style="1"/>
    <col min="11" max="11" width="7.7109375" style="116"/>
    <col min="12" max="12" width="7.7109375" style="270"/>
    <col min="13" max="16384" width="7.7109375" style="1"/>
  </cols>
  <sheetData>
    <row r="1" spans="1:25">
      <c r="A1" s="9" t="s">
        <v>213</v>
      </c>
    </row>
    <row r="2" spans="1:25">
      <c r="A2" s="9" t="s">
        <v>905</v>
      </c>
    </row>
    <row r="3" spans="1:25">
      <c r="A3" s="9" t="s">
        <v>218</v>
      </c>
    </row>
    <row r="4" spans="1:25">
      <c r="A4" s="84"/>
      <c r="C4" s="84"/>
      <c r="E4" s="84"/>
      <c r="G4" s="84"/>
      <c r="I4" s="84"/>
    </row>
    <row r="5" spans="1:25">
      <c r="A5" s="225" t="s">
        <v>232</v>
      </c>
      <c r="B5" s="31"/>
      <c r="C5" s="215">
        <f>ROW(A10)</f>
        <v>10</v>
      </c>
      <c r="K5" s="1"/>
    </row>
    <row r="6" spans="1:25">
      <c r="A6" s="225" t="s">
        <v>231</v>
      </c>
      <c r="B6" s="15"/>
      <c r="C6" s="216">
        <f>ROW(A102)</f>
        <v>102</v>
      </c>
      <c r="K6" s="1"/>
      <c r="X6" s="1" t="s">
        <v>122</v>
      </c>
      <c r="Y6" s="1" t="s">
        <v>1446</v>
      </c>
    </row>
    <row r="7" spans="1:25">
      <c r="A7" s="225" t="s">
        <v>220</v>
      </c>
      <c r="B7" s="311" t="s">
        <v>1</v>
      </c>
      <c r="C7" s="216">
        <f>COUNTA(M10:S10)+COUNTBLANK(M10:S10)</f>
        <v>7</v>
      </c>
      <c r="K7" s="1"/>
      <c r="X7" s="1" t="s">
        <v>123</v>
      </c>
      <c r="Y7" s="1" t="s">
        <v>1447</v>
      </c>
    </row>
    <row r="8" spans="1:25">
      <c r="A8" s="225" t="s">
        <v>592</v>
      </c>
      <c r="B8" s="410"/>
      <c r="C8" s="216">
        <f>ROW('3.3S_LC_SUM'!A27)+1</f>
        <v>28</v>
      </c>
      <c r="K8" s="1"/>
      <c r="M8" s="214"/>
      <c r="O8" s="252"/>
      <c r="X8" s="1" t="s">
        <v>126</v>
      </c>
      <c r="Y8" s="1" t="s">
        <v>1450</v>
      </c>
    </row>
    <row r="9" spans="1:25">
      <c r="A9" s="84"/>
      <c r="K9" s="1"/>
      <c r="M9" s="91" t="s">
        <v>443</v>
      </c>
      <c r="N9" s="92"/>
      <c r="O9" s="350"/>
      <c r="P9" s="91" t="s">
        <v>444</v>
      </c>
      <c r="Q9" s="292"/>
      <c r="R9" s="91"/>
      <c r="S9" s="292"/>
      <c r="X9" s="1" t="s">
        <v>214</v>
      </c>
      <c r="Y9" s="1" t="s">
        <v>1451</v>
      </c>
    </row>
    <row r="10" spans="1:25">
      <c r="A10" s="225" t="str">
        <f>M10</f>
        <v>LC-1</v>
      </c>
      <c r="B10" s="24" t="str">
        <f>VLOOKUP(A10,LC_DEF_2!A95:B100,2,FALSE)</f>
        <v>LWL QP, NS LWL DL, SIDL</v>
      </c>
      <c r="C10" s="24"/>
      <c r="D10" s="24"/>
      <c r="E10" s="21"/>
      <c r="F10" s="1599" t="s">
        <v>72</v>
      </c>
      <c r="G10" s="1635"/>
      <c r="H10" s="1635"/>
      <c r="I10" s="1635"/>
      <c r="J10" s="1635"/>
      <c r="K10" s="73"/>
      <c r="L10" s="272"/>
      <c r="M10" s="93" t="s">
        <v>122</v>
      </c>
      <c r="N10" s="93" t="s">
        <v>123</v>
      </c>
      <c r="O10" s="93"/>
      <c r="P10" s="292" t="s">
        <v>126</v>
      </c>
      <c r="Q10" s="292" t="s">
        <v>214</v>
      </c>
      <c r="R10" s="292" t="s">
        <v>215</v>
      </c>
      <c r="S10" s="292" t="s">
        <v>216</v>
      </c>
      <c r="X10" s="1" t="s">
        <v>215</v>
      </c>
      <c r="Y10" s="1" t="s">
        <v>1448</v>
      </c>
    </row>
    <row r="11" spans="1:25" ht="18">
      <c r="A11" s="25" t="s">
        <v>73</v>
      </c>
      <c r="B11" s="26" t="s">
        <v>74</v>
      </c>
      <c r="C11" s="26"/>
      <c r="D11" s="26"/>
      <c r="E11" s="27"/>
      <c r="F11" s="33" t="s">
        <v>23</v>
      </c>
      <c r="G11" s="33" t="s">
        <v>87</v>
      </c>
      <c r="H11" s="33" t="s">
        <v>212</v>
      </c>
      <c r="I11" s="33" t="s">
        <v>80</v>
      </c>
      <c r="J11" s="30" t="s">
        <v>81</v>
      </c>
      <c r="K11" s="433"/>
      <c r="L11" s="385"/>
      <c r="M11" s="376"/>
      <c r="N11" s="376"/>
      <c r="O11" s="385"/>
      <c r="P11" s="385"/>
      <c r="Q11" s="385"/>
      <c r="R11" s="385"/>
      <c r="S11" s="385"/>
      <c r="X11" s="1" t="s">
        <v>216</v>
      </c>
      <c r="Y11" s="1" t="s">
        <v>1449</v>
      </c>
    </row>
    <row r="12" spans="1:25">
      <c r="A12" s="25"/>
      <c r="B12" s="26"/>
      <c r="C12" s="26"/>
      <c r="D12" s="26"/>
      <c r="E12" s="27"/>
      <c r="F12" s="36" t="s">
        <v>34</v>
      </c>
      <c r="G12" s="36" t="s">
        <v>34</v>
      </c>
      <c r="H12" s="36" t="s">
        <v>34</v>
      </c>
      <c r="I12" s="36" t="s">
        <v>77</v>
      </c>
      <c r="J12" s="23" t="s">
        <v>77</v>
      </c>
      <c r="K12" s="433"/>
      <c r="L12" s="385"/>
      <c r="M12" s="376"/>
      <c r="N12" s="376"/>
      <c r="O12" s="385"/>
      <c r="P12" s="385"/>
      <c r="Q12" s="385"/>
      <c r="R12" s="385"/>
      <c r="S12" s="385"/>
    </row>
    <row r="13" spans="1:25">
      <c r="A13" s="261"/>
      <c r="B13" s="262"/>
      <c r="C13" s="262"/>
      <c r="D13" s="262"/>
      <c r="E13" s="263"/>
      <c r="F13" s="264"/>
      <c r="G13" s="263"/>
      <c r="H13" s="264"/>
      <c r="I13" s="264"/>
      <c r="J13" s="264"/>
      <c r="K13" s="510"/>
      <c r="L13" s="503"/>
      <c r="M13" s="377"/>
      <c r="N13" s="377"/>
      <c r="O13" s="503"/>
      <c r="P13" s="377"/>
      <c r="Q13" s="377"/>
      <c r="R13" s="377"/>
      <c r="S13" s="377"/>
    </row>
    <row r="14" spans="1:25">
      <c r="A14" s="25" t="s">
        <v>88</v>
      </c>
      <c r="B14" s="26" t="s">
        <v>75</v>
      </c>
      <c r="C14" s="26"/>
      <c r="D14" s="26"/>
      <c r="E14" s="27"/>
      <c r="F14" s="195">
        <f>SF!F14</f>
        <v>365.08803866482532</v>
      </c>
      <c r="G14" s="210"/>
      <c r="H14" s="34"/>
      <c r="I14" s="195">
        <f>SF!I14</f>
        <v>0</v>
      </c>
      <c r="J14" s="195">
        <f>SF!J14</f>
        <v>0</v>
      </c>
      <c r="K14" s="511"/>
      <c r="L14" s="504"/>
      <c r="M14" s="268">
        <v>1</v>
      </c>
      <c r="N14" s="268">
        <v>1</v>
      </c>
      <c r="O14" s="504"/>
      <c r="P14" s="268">
        <v>1</v>
      </c>
      <c r="Q14" s="268">
        <v>1</v>
      </c>
      <c r="R14" s="268">
        <v>1</v>
      </c>
      <c r="S14" s="268">
        <v>1</v>
      </c>
    </row>
    <row r="15" spans="1:25">
      <c r="A15" s="25"/>
      <c r="B15" s="26"/>
      <c r="C15" s="26"/>
      <c r="D15" s="26"/>
      <c r="E15" s="27"/>
      <c r="F15" s="196"/>
      <c r="G15" s="210"/>
      <c r="H15" s="34"/>
      <c r="I15" s="196"/>
      <c r="J15" s="34"/>
      <c r="K15" s="511"/>
      <c r="L15" s="504"/>
      <c r="M15" s="268"/>
      <c r="N15" s="268"/>
      <c r="O15" s="504"/>
      <c r="P15" s="268"/>
      <c r="Q15" s="268"/>
      <c r="R15" s="268"/>
      <c r="S15" s="268"/>
    </row>
    <row r="16" spans="1:25">
      <c r="A16" s="25" t="s">
        <v>90</v>
      </c>
      <c r="B16" s="26" t="s">
        <v>249</v>
      </c>
      <c r="C16" s="26"/>
      <c r="D16" s="26"/>
      <c r="E16" s="27"/>
      <c r="F16" s="195">
        <f>SF!F16</f>
        <v>36.639026644707663</v>
      </c>
      <c r="G16" s="210"/>
      <c r="H16" s="34"/>
      <c r="I16" s="195">
        <f>SF!I16</f>
        <v>0</v>
      </c>
      <c r="J16" s="195">
        <f>SF!J16</f>
        <v>0</v>
      </c>
      <c r="K16" s="511"/>
      <c r="L16" s="504"/>
      <c r="M16" s="268">
        <v>1</v>
      </c>
      <c r="N16" s="268">
        <v>0</v>
      </c>
      <c r="O16" s="504"/>
      <c r="P16" s="268">
        <v>1</v>
      </c>
      <c r="Q16" s="268">
        <v>1</v>
      </c>
      <c r="R16" s="268">
        <v>0</v>
      </c>
      <c r="S16" s="268">
        <v>0</v>
      </c>
    </row>
    <row r="17" spans="1:19">
      <c r="A17" s="25"/>
      <c r="B17" s="26"/>
      <c r="C17" s="26"/>
      <c r="D17" s="26"/>
      <c r="E17" s="27"/>
      <c r="F17" s="34"/>
      <c r="G17" s="27"/>
      <c r="H17" s="34"/>
      <c r="I17" s="34"/>
      <c r="J17" s="34"/>
      <c r="K17" s="511"/>
      <c r="L17" s="504"/>
      <c r="M17" s="268"/>
      <c r="N17" s="268"/>
      <c r="O17" s="504"/>
      <c r="P17" s="268"/>
      <c r="Q17" s="268"/>
      <c r="R17" s="268"/>
      <c r="S17" s="268"/>
    </row>
    <row r="18" spans="1:19">
      <c r="A18" s="25" t="s">
        <v>966</v>
      </c>
      <c r="B18" s="26"/>
      <c r="C18" s="26"/>
      <c r="D18" s="26"/>
      <c r="E18" s="27"/>
      <c r="F18" s="34"/>
      <c r="G18" s="27"/>
      <c r="H18" s="34"/>
      <c r="I18" s="34"/>
      <c r="J18" s="34"/>
      <c r="K18" s="433"/>
      <c r="L18" s="385"/>
      <c r="M18" s="376"/>
      <c r="N18" s="376"/>
      <c r="O18" s="385"/>
      <c r="P18" s="376"/>
      <c r="Q18" s="376"/>
      <c r="R18" s="376"/>
      <c r="S18" s="376"/>
    </row>
    <row r="19" spans="1:19">
      <c r="A19" s="25" t="s">
        <v>250</v>
      </c>
      <c r="B19" s="26" t="s">
        <v>967</v>
      </c>
      <c r="C19" s="26"/>
      <c r="D19" s="26"/>
      <c r="E19" s="27"/>
      <c r="F19" s="195">
        <f>SF!F19</f>
        <v>230</v>
      </c>
      <c r="G19" s="27"/>
      <c r="H19" s="34"/>
      <c r="I19" s="195">
        <f>SF!I19</f>
        <v>-115</v>
      </c>
      <c r="J19" s="195">
        <f>SF!J19</f>
        <v>0</v>
      </c>
      <c r="K19" s="433"/>
      <c r="L19" s="385"/>
      <c r="M19" s="376">
        <v>1</v>
      </c>
      <c r="N19" s="376">
        <v>1</v>
      </c>
      <c r="O19" s="385"/>
      <c r="P19" s="376">
        <v>1</v>
      </c>
      <c r="Q19" s="376">
        <v>1</v>
      </c>
      <c r="R19" s="376">
        <v>1</v>
      </c>
      <c r="S19" s="376">
        <v>1</v>
      </c>
    </row>
    <row r="20" spans="1:19">
      <c r="A20" s="25" t="s">
        <v>251</v>
      </c>
      <c r="B20" s="26" t="s">
        <v>968</v>
      </c>
      <c r="C20" s="26"/>
      <c r="D20" s="26"/>
      <c r="E20" s="27"/>
      <c r="F20" s="195">
        <f>SF!F20</f>
        <v>20.660000000000004</v>
      </c>
      <c r="G20" s="27"/>
      <c r="H20" s="34"/>
      <c r="I20" s="195">
        <f>SF!I20</f>
        <v>-10.330000000000002</v>
      </c>
      <c r="J20" s="195">
        <f>SF!J20</f>
        <v>0</v>
      </c>
      <c r="K20" s="433"/>
      <c r="L20" s="385"/>
      <c r="M20" s="376">
        <v>1</v>
      </c>
      <c r="N20" s="376">
        <v>1</v>
      </c>
      <c r="O20" s="385"/>
      <c r="P20" s="376">
        <v>1</v>
      </c>
      <c r="Q20" s="376">
        <v>1</v>
      </c>
      <c r="R20" s="376">
        <v>1</v>
      </c>
      <c r="S20" s="376">
        <v>1</v>
      </c>
    </row>
    <row r="21" spans="1:19">
      <c r="A21" s="25" t="s">
        <v>97</v>
      </c>
      <c r="B21" s="26" t="s">
        <v>969</v>
      </c>
      <c r="C21" s="26"/>
      <c r="D21" s="26"/>
      <c r="E21" s="27"/>
      <c r="F21" s="195">
        <f>SF!F21</f>
        <v>42</v>
      </c>
      <c r="G21" s="27"/>
      <c r="H21" s="34"/>
      <c r="I21" s="195">
        <f>SF!I21</f>
        <v>-14.858499999999999</v>
      </c>
      <c r="J21" s="195">
        <f>SF!J21</f>
        <v>0</v>
      </c>
      <c r="K21" s="433"/>
      <c r="L21" s="385"/>
      <c r="M21" s="376">
        <v>1</v>
      </c>
      <c r="N21" s="376">
        <v>1</v>
      </c>
      <c r="O21" s="385"/>
      <c r="P21" s="376">
        <v>1</v>
      </c>
      <c r="Q21" s="376">
        <v>1</v>
      </c>
      <c r="R21" s="376">
        <v>1</v>
      </c>
      <c r="S21" s="376">
        <v>1</v>
      </c>
    </row>
    <row r="22" spans="1:19">
      <c r="A22" s="25" t="s">
        <v>973</v>
      </c>
      <c r="B22" s="26"/>
      <c r="C22" s="26"/>
      <c r="D22" s="26"/>
      <c r="E22" s="27"/>
      <c r="F22" s="34"/>
      <c r="G22" s="27"/>
      <c r="H22" s="34"/>
      <c r="I22" s="34"/>
      <c r="J22" s="34"/>
      <c r="K22" s="433"/>
      <c r="L22" s="385"/>
      <c r="M22" s="376"/>
      <c r="N22" s="376"/>
      <c r="O22" s="385"/>
      <c r="P22" s="376"/>
      <c r="Q22" s="376"/>
      <c r="R22" s="376"/>
      <c r="S22" s="376"/>
    </row>
    <row r="23" spans="1:19">
      <c r="A23" s="25" t="s">
        <v>250</v>
      </c>
      <c r="B23" s="26" t="s">
        <v>970</v>
      </c>
      <c r="C23" s="26"/>
      <c r="D23" s="26"/>
      <c r="E23" s="27"/>
      <c r="F23" s="195">
        <f>SF!F23</f>
        <v>230</v>
      </c>
      <c r="G23" s="27"/>
      <c r="H23" s="34"/>
      <c r="I23" s="195">
        <f>SF!I23</f>
        <v>115</v>
      </c>
      <c r="J23" s="195">
        <f>SF!J23</f>
        <v>0</v>
      </c>
      <c r="K23" s="433"/>
      <c r="L23" s="385"/>
      <c r="M23" s="376">
        <v>1</v>
      </c>
      <c r="N23" s="376">
        <v>1</v>
      </c>
      <c r="O23" s="385"/>
      <c r="P23" s="376">
        <v>1</v>
      </c>
      <c r="Q23" s="376">
        <v>1</v>
      </c>
      <c r="R23" s="376">
        <v>1</v>
      </c>
      <c r="S23" s="376">
        <v>1</v>
      </c>
    </row>
    <row r="24" spans="1:19">
      <c r="A24" s="25" t="s">
        <v>251</v>
      </c>
      <c r="B24" s="26" t="s">
        <v>971</v>
      </c>
      <c r="C24" s="26"/>
      <c r="D24" s="26"/>
      <c r="E24" s="27"/>
      <c r="F24" s="195">
        <f>SF!F24</f>
        <v>20.660000000000004</v>
      </c>
      <c r="G24" s="27"/>
      <c r="H24" s="34"/>
      <c r="I24" s="195">
        <f>SF!I24</f>
        <v>10.330000000000002</v>
      </c>
      <c r="J24" s="195">
        <f>SF!J24</f>
        <v>0</v>
      </c>
      <c r="K24" s="511"/>
      <c r="L24" s="504"/>
      <c r="M24" s="268">
        <v>1</v>
      </c>
      <c r="N24" s="268">
        <v>1</v>
      </c>
      <c r="O24" s="504"/>
      <c r="P24" s="268">
        <v>1</v>
      </c>
      <c r="Q24" s="268">
        <v>1</v>
      </c>
      <c r="R24" s="268">
        <v>1</v>
      </c>
      <c r="S24" s="268">
        <v>1</v>
      </c>
    </row>
    <row r="25" spans="1:19">
      <c r="A25" s="25" t="s">
        <v>97</v>
      </c>
      <c r="B25" s="26" t="s">
        <v>972</v>
      </c>
      <c r="C25" s="26"/>
      <c r="D25" s="26"/>
      <c r="E25" s="27"/>
      <c r="F25" s="195">
        <f>SF!F25</f>
        <v>42</v>
      </c>
      <c r="G25" s="27"/>
      <c r="H25" s="34"/>
      <c r="I25" s="195">
        <f>SF!I25</f>
        <v>14.858499999999999</v>
      </c>
      <c r="J25" s="195">
        <f>SF!J25</f>
        <v>0</v>
      </c>
      <c r="K25" s="433"/>
      <c r="L25" s="385"/>
      <c r="M25" s="376">
        <v>1</v>
      </c>
      <c r="N25" s="376">
        <v>1</v>
      </c>
      <c r="O25" s="385"/>
      <c r="P25" s="376">
        <v>1</v>
      </c>
      <c r="Q25" s="376">
        <v>1</v>
      </c>
      <c r="R25" s="376">
        <v>1</v>
      </c>
      <c r="S25" s="376">
        <v>1</v>
      </c>
    </row>
    <row r="26" spans="1:19">
      <c r="A26" s="25"/>
      <c r="B26" s="26"/>
      <c r="C26" s="26"/>
      <c r="D26" s="26"/>
      <c r="E26" s="27"/>
      <c r="F26" s="34"/>
      <c r="G26" s="27"/>
      <c r="H26" s="34"/>
      <c r="I26" s="34"/>
      <c r="J26" s="34"/>
      <c r="K26" s="511"/>
      <c r="L26" s="504"/>
      <c r="M26" s="268"/>
      <c r="N26" s="268"/>
      <c r="O26" s="504"/>
      <c r="P26" s="268"/>
      <c r="Q26" s="268"/>
      <c r="R26" s="268"/>
      <c r="S26" s="268"/>
    </row>
    <row r="27" spans="1:19">
      <c r="A27" s="25" t="s">
        <v>974</v>
      </c>
      <c r="B27" s="26"/>
      <c r="C27" s="26"/>
      <c r="D27" s="26"/>
      <c r="E27" s="27"/>
      <c r="F27" s="34"/>
      <c r="G27" s="27"/>
      <c r="H27" s="34"/>
      <c r="I27" s="34"/>
      <c r="J27" s="34"/>
      <c r="K27" s="511"/>
      <c r="L27" s="504"/>
      <c r="M27" s="268"/>
      <c r="N27" s="268"/>
      <c r="O27" s="504"/>
      <c r="P27" s="268"/>
      <c r="Q27" s="268"/>
      <c r="R27" s="268"/>
      <c r="S27" s="268"/>
    </row>
    <row r="28" spans="1:19">
      <c r="A28" s="25" t="s">
        <v>975</v>
      </c>
      <c r="B28" s="26"/>
      <c r="C28" s="26"/>
      <c r="D28" s="26"/>
      <c r="E28" s="27"/>
      <c r="F28" s="34"/>
      <c r="G28" s="27"/>
      <c r="H28" s="34"/>
      <c r="I28" s="34"/>
      <c r="J28" s="34"/>
      <c r="K28" s="511"/>
      <c r="L28" s="504"/>
      <c r="M28" s="268"/>
      <c r="N28" s="268"/>
      <c r="O28" s="504"/>
      <c r="P28" s="268"/>
      <c r="Q28" s="268"/>
      <c r="R28" s="268"/>
      <c r="S28" s="268"/>
    </row>
    <row r="29" spans="1:19">
      <c r="A29" s="25" t="s">
        <v>976</v>
      </c>
      <c r="B29" s="26" t="s">
        <v>978</v>
      </c>
      <c r="C29" s="26"/>
      <c r="D29" s="26"/>
      <c r="E29" s="27"/>
      <c r="F29" s="195">
        <f>SF!F29</f>
        <v>65.160399999999996</v>
      </c>
      <c r="G29" s="27"/>
      <c r="H29" s="34"/>
      <c r="I29" s="195">
        <f>SF!I29</f>
        <v>-32.580199999999998</v>
      </c>
      <c r="J29" s="195">
        <f>SF!J29</f>
        <v>-10.105732306306301</v>
      </c>
      <c r="K29" s="433"/>
      <c r="L29" s="385"/>
      <c r="M29" s="823">
        <v>0</v>
      </c>
      <c r="N29" s="823">
        <v>0</v>
      </c>
      <c r="O29" s="746"/>
      <c r="P29" s="823">
        <v>1</v>
      </c>
      <c r="Q29" s="823">
        <v>0</v>
      </c>
      <c r="R29" s="823">
        <v>1</v>
      </c>
      <c r="S29" s="823">
        <v>0</v>
      </c>
    </row>
    <row r="30" spans="1:19">
      <c r="A30" s="25" t="s">
        <v>977</v>
      </c>
      <c r="B30" s="26" t="s">
        <v>979</v>
      </c>
      <c r="C30" s="26"/>
      <c r="D30" s="26"/>
      <c r="E30" s="27"/>
      <c r="F30" s="195">
        <f>SF!F30</f>
        <v>75.185314285714313</v>
      </c>
      <c r="G30" s="27"/>
      <c r="H30" s="34"/>
      <c r="I30" s="195">
        <f>SF!I30</f>
        <v>37.592657142857156</v>
      </c>
      <c r="J30" s="195">
        <f>SF!J30</f>
        <v>-11.660497166023164</v>
      </c>
      <c r="K30" s="512"/>
      <c r="L30" s="505"/>
      <c r="M30" s="823">
        <v>0</v>
      </c>
      <c r="N30" s="823">
        <v>0</v>
      </c>
      <c r="O30" s="746"/>
      <c r="P30" s="823">
        <v>1</v>
      </c>
      <c r="Q30" s="823">
        <v>0</v>
      </c>
      <c r="R30" s="823">
        <v>1</v>
      </c>
      <c r="S30" s="823">
        <v>0</v>
      </c>
    </row>
    <row r="31" spans="1:19">
      <c r="A31" s="25"/>
      <c r="B31" s="26"/>
      <c r="C31" s="26"/>
      <c r="D31" s="26"/>
      <c r="E31" s="27"/>
      <c r="F31" s="34"/>
      <c r="G31" s="27"/>
      <c r="H31" s="34"/>
      <c r="I31" s="34"/>
      <c r="J31" s="34"/>
      <c r="K31" s="513"/>
      <c r="L31" s="506"/>
      <c r="M31" s="823"/>
      <c r="N31" s="823"/>
      <c r="O31" s="746"/>
      <c r="P31" s="823"/>
      <c r="Q31" s="823"/>
      <c r="R31" s="823"/>
      <c r="S31" s="823"/>
    </row>
    <row r="32" spans="1:19">
      <c r="A32" s="25" t="s">
        <v>980</v>
      </c>
      <c r="B32" s="26"/>
      <c r="C32" s="26"/>
      <c r="D32" s="26"/>
      <c r="E32" s="27"/>
      <c r="F32" s="34"/>
      <c r="G32" s="27"/>
      <c r="H32" s="34"/>
      <c r="I32" s="34"/>
      <c r="J32" s="34"/>
      <c r="K32" s="513"/>
      <c r="L32" s="506"/>
      <c r="M32" s="823"/>
      <c r="N32" s="823"/>
      <c r="O32" s="746"/>
      <c r="P32" s="823"/>
      <c r="Q32" s="823"/>
      <c r="R32" s="823"/>
      <c r="S32" s="823"/>
    </row>
    <row r="33" spans="1:19">
      <c r="A33" s="25" t="s">
        <v>976</v>
      </c>
      <c r="B33" s="26" t="s">
        <v>981</v>
      </c>
      <c r="C33" s="26"/>
      <c r="D33" s="26"/>
      <c r="E33" s="27"/>
      <c r="F33" s="195">
        <f>SF!F33</f>
        <v>0</v>
      </c>
      <c r="G33" s="27"/>
      <c r="H33" s="34"/>
      <c r="I33" s="195">
        <f>SF!I33</f>
        <v>0</v>
      </c>
      <c r="J33" s="195">
        <f>SF!J33</f>
        <v>0</v>
      </c>
      <c r="K33" s="511"/>
      <c r="L33" s="504"/>
      <c r="M33" s="823">
        <v>0</v>
      </c>
      <c r="N33" s="823">
        <v>0</v>
      </c>
      <c r="O33" s="746"/>
      <c r="P33" s="823">
        <v>0</v>
      </c>
      <c r="Q33" s="823">
        <v>1</v>
      </c>
      <c r="R33" s="823">
        <v>0</v>
      </c>
      <c r="S33" s="823">
        <v>1</v>
      </c>
    </row>
    <row r="34" spans="1:19">
      <c r="A34" s="25" t="s">
        <v>977</v>
      </c>
      <c r="B34" s="26" t="s">
        <v>982</v>
      </c>
      <c r="C34" s="26"/>
      <c r="D34" s="26"/>
      <c r="E34" s="27"/>
      <c r="F34" s="195">
        <f>SF!F34</f>
        <v>127.89948571428575</v>
      </c>
      <c r="G34" s="27"/>
      <c r="H34" s="34"/>
      <c r="I34" s="195">
        <f>SF!I34</f>
        <v>63.949742857142873</v>
      </c>
      <c r="J34" s="195">
        <f>SF!J34</f>
        <v>-19.835942761904757</v>
      </c>
      <c r="K34" s="511"/>
      <c r="L34" s="504"/>
      <c r="M34" s="268">
        <v>0</v>
      </c>
      <c r="N34" s="268">
        <v>0</v>
      </c>
      <c r="O34" s="504"/>
      <c r="P34" s="268">
        <v>0</v>
      </c>
      <c r="Q34" s="268">
        <v>1</v>
      </c>
      <c r="R34" s="268">
        <v>0</v>
      </c>
      <c r="S34" s="268">
        <v>1</v>
      </c>
    </row>
    <row r="35" spans="1:19">
      <c r="A35" s="25"/>
      <c r="B35" s="26"/>
      <c r="C35" s="26"/>
      <c r="D35" s="26"/>
      <c r="E35" s="27"/>
      <c r="F35" s="34"/>
      <c r="G35" s="27"/>
      <c r="H35" s="34"/>
      <c r="I35" s="34"/>
      <c r="J35" s="34"/>
      <c r="K35" s="433"/>
      <c r="L35" s="385"/>
      <c r="M35" s="376"/>
      <c r="N35" s="376"/>
      <c r="O35" s="385"/>
      <c r="P35" s="376"/>
      <c r="Q35" s="376"/>
      <c r="R35" s="376"/>
      <c r="S35" s="376"/>
    </row>
    <row r="36" spans="1:19">
      <c r="A36" s="25" t="s">
        <v>983</v>
      </c>
      <c r="B36" s="26"/>
      <c r="C36" s="26"/>
      <c r="D36" s="26"/>
      <c r="E36" s="27"/>
      <c r="F36" s="34"/>
      <c r="G36" s="27"/>
      <c r="H36" s="34"/>
      <c r="I36" s="34"/>
      <c r="J36" s="34"/>
      <c r="K36" s="514"/>
      <c r="L36" s="515"/>
      <c r="M36" s="376"/>
      <c r="N36" s="376"/>
      <c r="O36" s="385"/>
      <c r="P36" s="376"/>
      <c r="Q36" s="376"/>
      <c r="R36" s="376"/>
      <c r="S36" s="376"/>
    </row>
    <row r="37" spans="1:19">
      <c r="A37" s="25" t="s">
        <v>984</v>
      </c>
      <c r="B37" s="163" t="s">
        <v>951</v>
      </c>
      <c r="C37" s="26"/>
      <c r="D37" s="26"/>
      <c r="E37" s="27"/>
      <c r="F37" s="34"/>
      <c r="G37" s="195">
        <f>SF!G38</f>
        <v>32.051277714285717</v>
      </c>
      <c r="H37" s="34"/>
      <c r="I37" s="195">
        <f>SF!I38</f>
        <v>265.38457947428577</v>
      </c>
      <c r="J37" s="34"/>
      <c r="K37" s="511"/>
      <c r="L37" s="504"/>
      <c r="M37" s="376">
        <v>0</v>
      </c>
      <c r="N37" s="376">
        <v>0</v>
      </c>
      <c r="O37" s="385"/>
      <c r="P37" s="376">
        <v>1</v>
      </c>
      <c r="Q37" s="376">
        <v>0</v>
      </c>
      <c r="R37" s="376">
        <v>1</v>
      </c>
      <c r="S37" s="376">
        <v>0</v>
      </c>
    </row>
    <row r="38" spans="1:19">
      <c r="A38" s="25" t="s">
        <v>985</v>
      </c>
      <c r="B38" s="163" t="s">
        <v>953</v>
      </c>
      <c r="C38" s="26"/>
      <c r="D38" s="26"/>
      <c r="E38" s="27"/>
      <c r="F38" s="34"/>
      <c r="G38" s="195">
        <f>SF!G39</f>
        <v>29.998225714285713</v>
      </c>
      <c r="H38" s="34"/>
      <c r="I38" s="195">
        <f>SF!I39</f>
        <v>248.38530891428573</v>
      </c>
      <c r="J38" s="34"/>
      <c r="K38" s="511"/>
      <c r="L38" s="504"/>
      <c r="M38" s="376">
        <v>0</v>
      </c>
      <c r="N38" s="376">
        <v>0</v>
      </c>
      <c r="O38" s="385"/>
      <c r="P38" s="376">
        <v>0</v>
      </c>
      <c r="Q38" s="376">
        <v>1</v>
      </c>
      <c r="R38" s="376">
        <v>0</v>
      </c>
      <c r="S38" s="376">
        <v>1</v>
      </c>
    </row>
    <row r="39" spans="1:19">
      <c r="A39" s="25" t="s">
        <v>986</v>
      </c>
      <c r="B39" s="163" t="s">
        <v>955</v>
      </c>
      <c r="C39" s="26"/>
      <c r="D39" s="26"/>
      <c r="E39" s="27"/>
      <c r="F39" s="34"/>
      <c r="G39" s="195">
        <f>SF!G40</f>
        <v>5.8532000000000011</v>
      </c>
      <c r="H39" s="34"/>
      <c r="I39" s="195">
        <f>SF!I40</f>
        <v>48.464496000000018</v>
      </c>
      <c r="J39" s="34"/>
      <c r="K39" s="433"/>
      <c r="L39" s="385"/>
      <c r="M39" s="376">
        <v>1</v>
      </c>
      <c r="N39" s="376">
        <v>1</v>
      </c>
      <c r="O39" s="385"/>
      <c r="P39" s="376">
        <v>0</v>
      </c>
      <c r="Q39" s="376">
        <v>0</v>
      </c>
      <c r="R39" s="376">
        <v>0</v>
      </c>
      <c r="S39" s="376">
        <v>0</v>
      </c>
    </row>
    <row r="40" spans="1:19">
      <c r="A40" s="25" t="s">
        <v>987</v>
      </c>
      <c r="B40" s="163" t="s">
        <v>957</v>
      </c>
      <c r="C40" s="26"/>
      <c r="D40" s="26"/>
      <c r="E40" s="27"/>
      <c r="F40" s="34"/>
      <c r="G40" s="195">
        <f>SF!G41</f>
        <v>14.632999999999999</v>
      </c>
      <c r="H40" s="34"/>
      <c r="I40" s="195">
        <f>SF!I41</f>
        <v>121.16124000000001</v>
      </c>
      <c r="J40" s="34"/>
      <c r="K40" s="433"/>
      <c r="L40" s="385"/>
      <c r="M40" s="376">
        <v>0</v>
      </c>
      <c r="N40" s="376">
        <v>0</v>
      </c>
      <c r="O40" s="385"/>
      <c r="P40" s="376">
        <v>0</v>
      </c>
      <c r="Q40" s="376">
        <v>0</v>
      </c>
      <c r="R40" s="376">
        <v>0</v>
      </c>
      <c r="S40" s="376">
        <v>0</v>
      </c>
    </row>
    <row r="41" spans="1:19">
      <c r="A41" s="25"/>
      <c r="B41" s="163"/>
      <c r="C41" s="26"/>
      <c r="D41" s="26"/>
      <c r="E41" s="27"/>
      <c r="F41" s="34"/>
      <c r="G41" s="27"/>
      <c r="H41" s="34"/>
      <c r="I41" s="34"/>
      <c r="J41" s="34"/>
      <c r="K41" s="511"/>
      <c r="L41" s="504"/>
      <c r="M41" s="376"/>
      <c r="N41" s="376"/>
      <c r="O41" s="385"/>
      <c r="P41" s="376"/>
      <c r="Q41" s="376"/>
      <c r="R41" s="376"/>
      <c r="S41" s="376"/>
    </row>
    <row r="42" spans="1:19">
      <c r="A42" s="686" t="s">
        <v>1128</v>
      </c>
      <c r="B42" s="687"/>
      <c r="C42" s="688"/>
      <c r="D42" s="688"/>
      <c r="E42" s="689"/>
      <c r="F42" s="696">
        <f>SF!F43</f>
        <v>-103.56143333397094</v>
      </c>
      <c r="G42" s="689"/>
      <c r="H42" s="690"/>
      <c r="I42" s="690"/>
      <c r="J42" s="690"/>
      <c r="K42" s="511"/>
      <c r="L42" s="504"/>
      <c r="M42" s="376">
        <v>0</v>
      </c>
      <c r="N42" s="376">
        <v>0.15</v>
      </c>
      <c r="O42" s="385"/>
      <c r="P42" s="376">
        <v>0</v>
      </c>
      <c r="Q42" s="376">
        <v>0</v>
      </c>
      <c r="R42" s="376">
        <v>0.15</v>
      </c>
      <c r="S42" s="376">
        <v>0.15</v>
      </c>
    </row>
    <row r="43" spans="1:19">
      <c r="A43" s="686"/>
      <c r="B43" s="687"/>
      <c r="C43" s="688"/>
      <c r="D43" s="688"/>
      <c r="E43" s="689"/>
      <c r="F43" s="690"/>
      <c r="G43" s="689"/>
      <c r="H43" s="690"/>
      <c r="I43" s="690"/>
      <c r="J43" s="690"/>
      <c r="K43" s="516"/>
      <c r="L43" s="508"/>
      <c r="M43" s="376"/>
      <c r="N43" s="376"/>
      <c r="O43" s="385"/>
      <c r="P43" s="376"/>
      <c r="Q43" s="376"/>
      <c r="R43" s="376"/>
      <c r="S43" s="376"/>
    </row>
    <row r="44" spans="1:19">
      <c r="A44" s="686" t="s">
        <v>1129</v>
      </c>
      <c r="B44" s="687"/>
      <c r="C44" s="688"/>
      <c r="D44" s="688"/>
      <c r="E44" s="689"/>
      <c r="F44" s="690"/>
      <c r="G44" s="689"/>
      <c r="H44" s="690"/>
      <c r="I44" s="690"/>
      <c r="J44" s="690"/>
      <c r="K44" s="433"/>
      <c r="L44" s="385"/>
      <c r="M44" s="376"/>
      <c r="N44" s="376"/>
      <c r="O44" s="385"/>
      <c r="P44" s="376"/>
      <c r="Q44" s="376"/>
      <c r="R44" s="376"/>
      <c r="S44" s="376"/>
    </row>
    <row r="45" spans="1:19">
      <c r="A45" s="686" t="s">
        <v>1130</v>
      </c>
      <c r="B45" s="687"/>
      <c r="C45" s="688"/>
      <c r="D45" s="688"/>
      <c r="E45" s="689"/>
      <c r="F45" s="690"/>
      <c r="G45" s="691"/>
      <c r="H45" s="696">
        <f>SF!H46</f>
        <v>3.7668894816411469</v>
      </c>
      <c r="I45" s="692"/>
      <c r="J45" s="696">
        <f>SF!J46</f>
        <v>5.6718136929156024</v>
      </c>
      <c r="K45" s="433"/>
      <c r="L45" s="385"/>
      <c r="M45" s="376">
        <v>0</v>
      </c>
      <c r="N45" s="376">
        <v>0</v>
      </c>
      <c r="O45" s="385"/>
      <c r="P45" s="376">
        <v>0</v>
      </c>
      <c r="Q45" s="376">
        <v>0</v>
      </c>
      <c r="R45" s="376">
        <v>0</v>
      </c>
      <c r="S45" s="376">
        <v>0</v>
      </c>
    </row>
    <row r="46" spans="1:19">
      <c r="A46" s="686" t="s">
        <v>1131</v>
      </c>
      <c r="B46" s="687"/>
      <c r="C46" s="688"/>
      <c r="D46" s="688"/>
      <c r="E46" s="689"/>
      <c r="F46" s="690"/>
      <c r="G46" s="696">
        <f>SF!G47</f>
        <v>3.2856246869242693</v>
      </c>
      <c r="H46" s="696">
        <f>SF!H47</f>
        <v>3.5397182492142409</v>
      </c>
      <c r="I46" s="696">
        <f>SF!I47</f>
        <v>7.0628515103002814</v>
      </c>
      <c r="J46" s="696">
        <f>SF!J47</f>
        <v>5.3297614737052639</v>
      </c>
      <c r="K46" s="511"/>
      <c r="L46" s="504"/>
      <c r="M46" s="376">
        <v>0</v>
      </c>
      <c r="N46" s="376">
        <v>0</v>
      </c>
      <c r="O46" s="385"/>
      <c r="P46" s="376">
        <v>0</v>
      </c>
      <c r="Q46" s="376">
        <v>0</v>
      </c>
      <c r="R46" s="376">
        <v>1</v>
      </c>
      <c r="S46" s="376">
        <v>1</v>
      </c>
    </row>
    <row r="47" spans="1:19">
      <c r="A47" s="113"/>
      <c r="B47" s="651"/>
      <c r="C47" s="651"/>
      <c r="D47" s="651"/>
      <c r="E47" s="652"/>
      <c r="F47" s="599"/>
      <c r="G47" s="652"/>
      <c r="H47" s="599"/>
      <c r="I47" s="599"/>
      <c r="J47" s="599"/>
      <c r="K47" s="511"/>
      <c r="L47" s="504"/>
      <c r="M47" s="378"/>
      <c r="N47" s="378"/>
      <c r="O47" s="507"/>
      <c r="P47" s="378"/>
      <c r="Q47" s="378"/>
      <c r="R47" s="378"/>
      <c r="S47" s="378"/>
    </row>
    <row r="48" spans="1:19">
      <c r="A48" s="278" t="s">
        <v>1132</v>
      </c>
      <c r="B48" s="262"/>
      <c r="C48" s="262"/>
      <c r="D48" s="262"/>
      <c r="E48" s="263"/>
      <c r="F48" s="279"/>
      <c r="G48" s="280"/>
      <c r="H48" s="264"/>
      <c r="I48" s="279"/>
      <c r="J48" s="264"/>
      <c r="K48" s="511"/>
      <c r="L48" s="504"/>
      <c r="M48" s="377"/>
      <c r="N48" s="377"/>
      <c r="O48" s="503"/>
      <c r="P48" s="377"/>
      <c r="Q48" s="377"/>
      <c r="R48" s="377"/>
      <c r="S48" s="377"/>
    </row>
    <row r="49" spans="1:19">
      <c r="A49" s="25" t="s">
        <v>992</v>
      </c>
      <c r="B49" s="26"/>
      <c r="C49" s="26"/>
      <c r="D49" s="26"/>
      <c r="E49" s="27"/>
      <c r="F49" s="197"/>
      <c r="G49" s="211"/>
      <c r="H49" s="34"/>
      <c r="I49" s="211"/>
      <c r="J49" s="89"/>
      <c r="K49" s="511"/>
      <c r="L49" s="504"/>
      <c r="M49" s="268"/>
      <c r="N49" s="268"/>
      <c r="O49" s="504"/>
      <c r="P49" s="268"/>
      <c r="Q49" s="268"/>
      <c r="R49" s="268"/>
      <c r="S49" s="268"/>
    </row>
    <row r="50" spans="1:19">
      <c r="A50" s="25" t="s">
        <v>990</v>
      </c>
      <c r="B50" s="26" t="s">
        <v>988</v>
      </c>
      <c r="C50" s="26"/>
      <c r="D50" s="26"/>
      <c r="E50" s="27"/>
      <c r="F50" s="197"/>
      <c r="G50" s="172">
        <f>SF!G51</f>
        <v>0</v>
      </c>
      <c r="H50" s="34"/>
      <c r="I50" s="172">
        <f>SF!I51</f>
        <v>0</v>
      </c>
      <c r="J50" s="89"/>
      <c r="K50" s="511"/>
      <c r="L50" s="504"/>
      <c r="M50" s="268"/>
      <c r="N50" s="268"/>
      <c r="O50" s="504"/>
      <c r="P50" s="268"/>
      <c r="Q50" s="268"/>
      <c r="R50" s="268"/>
      <c r="S50" s="268"/>
    </row>
    <row r="51" spans="1:19">
      <c r="A51" s="25" t="s">
        <v>991</v>
      </c>
      <c r="B51" s="26" t="s">
        <v>989</v>
      </c>
      <c r="C51" s="26"/>
      <c r="D51" s="26"/>
      <c r="E51" s="27"/>
      <c r="F51" s="197"/>
      <c r="G51" s="172">
        <f>SF!G52</f>
        <v>94.821839999999995</v>
      </c>
      <c r="H51" s="34"/>
      <c r="I51" s="172">
        <f>SF!I52</f>
        <v>785.12483520000001</v>
      </c>
      <c r="J51" s="89"/>
      <c r="K51" s="511"/>
      <c r="L51" s="504"/>
      <c r="M51" s="268"/>
      <c r="N51" s="268"/>
      <c r="O51" s="504"/>
      <c r="P51" s="268"/>
      <c r="Q51" s="268"/>
      <c r="R51" s="268"/>
      <c r="S51" s="268"/>
    </row>
    <row r="52" spans="1:19">
      <c r="A52" s="25"/>
      <c r="B52" s="26"/>
      <c r="C52" s="26"/>
      <c r="D52" s="26"/>
      <c r="E52" s="27"/>
      <c r="F52" s="197"/>
      <c r="G52" s="211"/>
      <c r="H52" s="34"/>
      <c r="I52" s="211"/>
      <c r="J52" s="89"/>
      <c r="K52" s="511"/>
      <c r="L52" s="504"/>
      <c r="M52" s="268"/>
      <c r="N52" s="268"/>
      <c r="O52" s="504"/>
      <c r="P52" s="268"/>
      <c r="Q52" s="268"/>
      <c r="R52" s="268"/>
      <c r="S52" s="268"/>
    </row>
    <row r="53" spans="1:19">
      <c r="A53" s="25" t="s">
        <v>1012</v>
      </c>
      <c r="B53" s="26"/>
      <c r="C53" s="26"/>
      <c r="D53" s="26"/>
      <c r="E53" s="27"/>
      <c r="F53" s="197"/>
      <c r="G53" s="211"/>
      <c r="H53" s="34"/>
      <c r="I53" s="211"/>
      <c r="J53" s="89"/>
      <c r="K53" s="511"/>
      <c r="L53" s="504"/>
      <c r="M53" s="268"/>
      <c r="N53" s="268"/>
      <c r="O53" s="504"/>
      <c r="P53" s="268"/>
      <c r="Q53" s="268"/>
      <c r="R53" s="268"/>
      <c r="S53" s="268"/>
    </row>
    <row r="54" spans="1:19">
      <c r="A54" s="25" t="s">
        <v>993</v>
      </c>
      <c r="B54" s="26" t="s">
        <v>995</v>
      </c>
      <c r="C54" s="26"/>
      <c r="D54" s="26"/>
      <c r="E54" s="27"/>
      <c r="F54" s="197"/>
      <c r="G54" s="172">
        <f>SF!G55</f>
        <v>0</v>
      </c>
      <c r="H54" s="34"/>
      <c r="I54" s="172">
        <f>SF!I55</f>
        <v>0</v>
      </c>
      <c r="J54" s="89"/>
      <c r="K54" s="511"/>
      <c r="L54" s="504"/>
      <c r="M54" s="268"/>
      <c r="N54" s="268"/>
      <c r="O54" s="504"/>
      <c r="P54" s="268"/>
      <c r="Q54" s="268"/>
      <c r="R54" s="268"/>
      <c r="S54" s="268"/>
    </row>
    <row r="55" spans="1:19">
      <c r="A55" s="25" t="s">
        <v>994</v>
      </c>
      <c r="B55" s="26" t="s">
        <v>996</v>
      </c>
      <c r="C55" s="26"/>
      <c r="D55" s="26"/>
      <c r="E55" s="27"/>
      <c r="F55" s="197"/>
      <c r="G55" s="172">
        <f>SF!G56</f>
        <v>4.5540000000000003</v>
      </c>
      <c r="H55" s="34"/>
      <c r="I55" s="172">
        <f>SF!I56</f>
        <v>37.70712000000001</v>
      </c>
      <c r="J55" s="89"/>
      <c r="K55" s="511"/>
      <c r="L55" s="504"/>
      <c r="M55" s="268"/>
      <c r="N55" s="268"/>
      <c r="O55" s="504"/>
      <c r="P55" s="268"/>
      <c r="Q55" s="268"/>
      <c r="R55" s="268"/>
      <c r="S55" s="268"/>
    </row>
    <row r="56" spans="1:19">
      <c r="A56" s="25"/>
      <c r="B56" s="26"/>
      <c r="C56" s="26"/>
      <c r="D56" s="26"/>
      <c r="E56" s="27"/>
      <c r="F56" s="197"/>
      <c r="G56" s="211"/>
      <c r="H56" s="34"/>
      <c r="I56" s="211"/>
      <c r="J56" s="89"/>
      <c r="K56" s="511"/>
      <c r="L56" s="504"/>
      <c r="M56" s="268"/>
      <c r="N56" s="268"/>
      <c r="O56" s="504"/>
      <c r="P56" s="268"/>
      <c r="Q56" s="268"/>
      <c r="R56" s="268"/>
      <c r="S56" s="268"/>
    </row>
    <row r="57" spans="1:19">
      <c r="A57" s="25" t="s">
        <v>217</v>
      </c>
      <c r="B57" s="26" t="s">
        <v>211</v>
      </c>
      <c r="C57" s="26"/>
      <c r="D57" s="26"/>
      <c r="E57" s="27"/>
      <c r="F57" s="197"/>
      <c r="G57" s="196">
        <f>SF!G58</f>
        <v>26.798532263701709</v>
      </c>
      <c r="H57" s="199"/>
      <c r="I57" s="172">
        <f>SF!I58</f>
        <v>147.28381289471153</v>
      </c>
      <c r="J57" s="195"/>
      <c r="K57" s="511"/>
      <c r="L57" s="504"/>
      <c r="M57" s="268"/>
      <c r="N57" s="268"/>
      <c r="O57" s="504"/>
      <c r="P57" s="268"/>
      <c r="Q57" s="268"/>
      <c r="R57" s="268"/>
      <c r="S57" s="268"/>
    </row>
    <row r="58" spans="1:19">
      <c r="A58" s="70"/>
      <c r="B58" s="15"/>
      <c r="C58" s="15"/>
      <c r="D58" s="15"/>
      <c r="E58" s="22"/>
      <c r="F58" s="212"/>
      <c r="G58" s="653"/>
      <c r="H58" s="58"/>
      <c r="I58" s="212"/>
      <c r="J58" s="599"/>
      <c r="K58" s="511"/>
      <c r="L58" s="504"/>
      <c r="M58" s="378"/>
      <c r="N58" s="378"/>
      <c r="O58" s="507"/>
      <c r="P58" s="378"/>
      <c r="Q58" s="378"/>
      <c r="R58" s="378"/>
      <c r="S58" s="378"/>
    </row>
    <row r="59" spans="1:19">
      <c r="A59" s="982" t="s">
        <v>1133</v>
      </c>
      <c r="B59" s="983"/>
      <c r="C59" s="983"/>
      <c r="D59" s="983"/>
      <c r="E59" s="984"/>
      <c r="F59" s="985"/>
      <c r="G59" s="986"/>
      <c r="H59" s="987"/>
      <c r="I59" s="985"/>
      <c r="J59" s="988"/>
      <c r="K59" s="511"/>
      <c r="L59" s="504"/>
      <c r="M59" s="377"/>
      <c r="N59" s="377"/>
      <c r="O59" s="503"/>
      <c r="P59" s="377"/>
      <c r="Q59" s="377"/>
      <c r="R59" s="377"/>
      <c r="S59" s="377"/>
    </row>
    <row r="60" spans="1:19">
      <c r="A60" s="686" t="s">
        <v>1472</v>
      </c>
      <c r="B60" s="688" t="s">
        <v>1045</v>
      </c>
      <c r="C60" s="688"/>
      <c r="D60" s="688"/>
      <c r="E60" s="689"/>
      <c r="F60" s="620"/>
      <c r="G60" s="695">
        <f>SF!G61</f>
        <v>32.345729999999996</v>
      </c>
      <c r="H60" s="690"/>
      <c r="I60" s="695">
        <f>SF!I61</f>
        <v>29.111156999999999</v>
      </c>
      <c r="J60" s="269"/>
      <c r="K60" s="511"/>
      <c r="L60" s="504"/>
      <c r="M60" s="268"/>
      <c r="N60" s="268"/>
      <c r="O60" s="504"/>
      <c r="P60" s="268"/>
      <c r="Q60" s="268"/>
      <c r="R60" s="268"/>
      <c r="S60" s="268"/>
    </row>
    <row r="61" spans="1:19">
      <c r="A61" s="686"/>
      <c r="B61" s="688"/>
      <c r="C61" s="688"/>
      <c r="D61" s="688"/>
      <c r="E61" s="689"/>
      <c r="F61" s="620"/>
      <c r="G61" s="710"/>
      <c r="H61" s="690"/>
      <c r="I61" s="695"/>
      <c r="J61" s="269"/>
      <c r="K61" s="511"/>
      <c r="L61" s="504"/>
      <c r="M61" s="268"/>
      <c r="N61" s="268"/>
      <c r="O61" s="504"/>
      <c r="P61" s="268"/>
      <c r="Q61" s="268"/>
      <c r="R61" s="268"/>
      <c r="S61" s="268"/>
    </row>
    <row r="62" spans="1:19">
      <c r="A62" s="686" t="s">
        <v>1139</v>
      </c>
      <c r="B62" s="688" t="s">
        <v>1140</v>
      </c>
      <c r="C62" s="688"/>
      <c r="D62" s="688"/>
      <c r="E62" s="689"/>
      <c r="F62" s="620"/>
      <c r="G62" s="695">
        <f>SF!G63</f>
        <v>19.373390077688924</v>
      </c>
      <c r="H62" s="690"/>
      <c r="I62" s="695">
        <f>SF!I63</f>
        <v>37.512792074379419</v>
      </c>
      <c r="J62" s="269"/>
      <c r="K62" s="511"/>
      <c r="L62" s="504"/>
      <c r="M62" s="268"/>
      <c r="N62" s="268"/>
      <c r="O62" s="504"/>
      <c r="P62" s="268"/>
      <c r="Q62" s="268"/>
      <c r="R62" s="268"/>
      <c r="S62" s="268"/>
    </row>
    <row r="63" spans="1:19">
      <c r="A63" s="113"/>
      <c r="B63" s="651"/>
      <c r="C63" s="651"/>
      <c r="D63" s="651"/>
      <c r="E63" s="652"/>
      <c r="F63" s="212"/>
      <c r="G63" s="653"/>
      <c r="H63" s="599"/>
      <c r="I63" s="212"/>
      <c r="J63" s="599"/>
      <c r="K63" s="511"/>
      <c r="L63" s="504"/>
      <c r="M63" s="378"/>
      <c r="N63" s="378"/>
      <c r="O63" s="507"/>
      <c r="P63" s="378"/>
      <c r="Q63" s="378"/>
      <c r="R63" s="378"/>
      <c r="S63" s="378"/>
    </row>
    <row r="64" spans="1:19">
      <c r="A64" s="278" t="s">
        <v>1135</v>
      </c>
      <c r="B64" s="262"/>
      <c r="C64" s="262"/>
      <c r="D64" s="262"/>
      <c r="E64" s="263"/>
      <c r="F64" s="279"/>
      <c r="G64" s="280"/>
      <c r="H64" s="264"/>
      <c r="I64" s="279"/>
      <c r="J64" s="264"/>
      <c r="K64" s="511"/>
      <c r="L64" s="504"/>
      <c r="M64" s="377"/>
      <c r="N64" s="377"/>
      <c r="O64" s="503"/>
      <c r="P64" s="377"/>
      <c r="Q64" s="377"/>
      <c r="R64" s="377"/>
      <c r="S64" s="377"/>
    </row>
    <row r="65" spans="1:19">
      <c r="A65" s="25" t="s">
        <v>992</v>
      </c>
      <c r="B65" s="26"/>
      <c r="C65" s="26"/>
      <c r="D65" s="26"/>
      <c r="E65" s="27"/>
      <c r="F65" s="197"/>
      <c r="G65" s="211"/>
      <c r="H65" s="34"/>
      <c r="I65" s="197"/>
      <c r="J65" s="89"/>
      <c r="K65" s="511"/>
      <c r="L65" s="504"/>
      <c r="M65" s="268"/>
      <c r="N65" s="268"/>
      <c r="O65" s="504"/>
      <c r="P65" s="268"/>
      <c r="Q65" s="268"/>
      <c r="R65" s="268"/>
      <c r="S65" s="268"/>
    </row>
    <row r="66" spans="1:19">
      <c r="A66" s="25" t="s">
        <v>997</v>
      </c>
      <c r="B66" s="26" t="s">
        <v>988</v>
      </c>
      <c r="C66" s="26"/>
      <c r="D66" s="26"/>
      <c r="E66" s="27"/>
      <c r="F66" s="197"/>
      <c r="G66" s="211"/>
      <c r="H66" s="172">
        <f>SF!H67</f>
        <v>47.410919999999997</v>
      </c>
      <c r="I66" s="197"/>
      <c r="J66" s="172">
        <f>SF!J67</f>
        <v>433.10062959257624</v>
      </c>
      <c r="K66" s="511"/>
      <c r="L66" s="504"/>
      <c r="M66" s="268"/>
      <c r="N66" s="268"/>
      <c r="O66" s="504"/>
      <c r="P66" s="268"/>
      <c r="Q66" s="268"/>
      <c r="R66" s="268"/>
      <c r="S66" s="268"/>
    </row>
    <row r="67" spans="1:19">
      <c r="A67" s="25" t="s">
        <v>998</v>
      </c>
      <c r="B67" s="26" t="s">
        <v>989</v>
      </c>
      <c r="C67" s="26"/>
      <c r="D67" s="26"/>
      <c r="E67" s="27"/>
      <c r="F67" s="197"/>
      <c r="G67" s="211"/>
      <c r="H67" s="172">
        <f>SF!H68</f>
        <v>47.410919999999997</v>
      </c>
      <c r="I67" s="197"/>
      <c r="J67" s="172">
        <f>SF!J68</f>
        <v>433.10062959257624</v>
      </c>
      <c r="K67" s="511"/>
      <c r="L67" s="504"/>
      <c r="M67" s="268"/>
      <c r="N67" s="268"/>
      <c r="O67" s="504"/>
      <c r="P67" s="268"/>
      <c r="Q67" s="268"/>
      <c r="R67" s="268"/>
      <c r="S67" s="268"/>
    </row>
    <row r="68" spans="1:19">
      <c r="A68" s="69"/>
      <c r="B68" s="26"/>
      <c r="C68" s="26"/>
      <c r="D68" s="26"/>
      <c r="E68" s="27"/>
      <c r="F68" s="197"/>
      <c r="G68" s="211"/>
      <c r="H68" s="34"/>
      <c r="I68" s="197"/>
      <c r="J68" s="89"/>
      <c r="K68" s="511"/>
      <c r="L68" s="504"/>
      <c r="M68" s="268"/>
      <c r="N68" s="268"/>
      <c r="O68" s="504"/>
      <c r="P68" s="268"/>
      <c r="Q68" s="268"/>
      <c r="R68" s="268"/>
      <c r="S68" s="268"/>
    </row>
    <row r="69" spans="1:19">
      <c r="A69" s="25" t="s">
        <v>999</v>
      </c>
      <c r="B69" s="26"/>
      <c r="C69" s="26"/>
      <c r="D69" s="26"/>
      <c r="E69" s="27"/>
      <c r="F69" s="197"/>
      <c r="G69" s="211"/>
      <c r="H69" s="34"/>
      <c r="I69" s="197"/>
      <c r="J69" s="89"/>
      <c r="K69" s="511"/>
      <c r="L69" s="504"/>
      <c r="M69" s="268"/>
      <c r="N69" s="268"/>
      <c r="O69" s="504"/>
      <c r="P69" s="268"/>
      <c r="Q69" s="268"/>
      <c r="R69" s="268"/>
      <c r="S69" s="268"/>
    </row>
    <row r="70" spans="1:19">
      <c r="A70" s="25" t="s">
        <v>1002</v>
      </c>
      <c r="B70" s="26"/>
      <c r="C70" s="26"/>
      <c r="D70" s="26"/>
      <c r="E70" s="27"/>
      <c r="F70" s="197"/>
      <c r="G70" s="211"/>
      <c r="H70" s="34"/>
      <c r="I70" s="197"/>
      <c r="J70" s="89"/>
      <c r="K70" s="511"/>
      <c r="L70" s="504"/>
      <c r="M70" s="268"/>
      <c r="N70" s="268"/>
      <c r="O70" s="504"/>
      <c r="P70" s="268"/>
      <c r="Q70" s="268"/>
      <c r="R70" s="268"/>
      <c r="S70" s="268"/>
    </row>
    <row r="71" spans="1:19">
      <c r="A71" s="25" t="s">
        <v>1004</v>
      </c>
      <c r="B71" s="26" t="s">
        <v>1000</v>
      </c>
      <c r="C71" s="26"/>
      <c r="D71" s="26"/>
      <c r="E71" s="27"/>
      <c r="F71" s="197"/>
      <c r="G71" s="211"/>
      <c r="H71" s="172">
        <f>SF!H72</f>
        <v>10.555984799999999</v>
      </c>
      <c r="I71" s="197"/>
      <c r="J71" s="172">
        <f>SF!J72</f>
        <v>115.74637333199999</v>
      </c>
      <c r="K71" s="511"/>
      <c r="L71" s="504"/>
      <c r="M71" s="268"/>
      <c r="N71" s="268"/>
      <c r="O71" s="504"/>
      <c r="P71" s="268"/>
      <c r="Q71" s="268"/>
      <c r="R71" s="268"/>
      <c r="S71" s="268"/>
    </row>
    <row r="72" spans="1:19">
      <c r="A72" s="25" t="s">
        <v>1005</v>
      </c>
      <c r="B72" s="26" t="s">
        <v>1001</v>
      </c>
      <c r="C72" s="26"/>
      <c r="D72" s="26"/>
      <c r="E72" s="27"/>
      <c r="F72" s="197"/>
      <c r="G72" s="211"/>
      <c r="H72" s="172">
        <f>SF!H73</f>
        <v>12.18002091428572</v>
      </c>
      <c r="I72" s="197"/>
      <c r="J72" s="172">
        <f>SF!J73</f>
        <v>133.55392932514292</v>
      </c>
      <c r="K72" s="511"/>
      <c r="L72" s="504"/>
      <c r="M72" s="268"/>
      <c r="N72" s="268"/>
      <c r="O72" s="504"/>
      <c r="P72" s="268"/>
      <c r="Q72" s="268"/>
      <c r="R72" s="268"/>
      <c r="S72" s="268"/>
    </row>
    <row r="73" spans="1:19">
      <c r="A73" s="25" t="s">
        <v>1003</v>
      </c>
      <c r="B73" s="26"/>
      <c r="C73" s="26"/>
      <c r="D73" s="26"/>
      <c r="E73" s="27"/>
      <c r="F73" s="197"/>
      <c r="G73" s="211"/>
      <c r="H73" s="34"/>
      <c r="I73" s="197"/>
      <c r="J73" s="89"/>
      <c r="K73" s="511"/>
      <c r="L73" s="504"/>
      <c r="M73" s="268"/>
      <c r="N73" s="268"/>
      <c r="O73" s="504"/>
      <c r="P73" s="268"/>
      <c r="Q73" s="268"/>
      <c r="R73" s="268"/>
      <c r="S73" s="268"/>
    </row>
    <row r="74" spans="1:19">
      <c r="A74" s="25" t="s">
        <v>1004</v>
      </c>
      <c r="B74" s="26" t="s">
        <v>1000</v>
      </c>
      <c r="C74" s="26"/>
      <c r="D74" s="26"/>
      <c r="E74" s="27"/>
      <c r="F74" s="197"/>
      <c r="G74" s="211"/>
      <c r="H74" s="172">
        <f>SF!H75</f>
        <v>0</v>
      </c>
      <c r="I74" s="197"/>
      <c r="J74" s="172">
        <f>SF!J75</f>
        <v>0</v>
      </c>
      <c r="K74" s="511"/>
      <c r="L74" s="504"/>
      <c r="M74" s="268"/>
      <c r="N74" s="268"/>
      <c r="O74" s="504"/>
      <c r="P74" s="268"/>
      <c r="Q74" s="268"/>
      <c r="R74" s="268"/>
      <c r="S74" s="268"/>
    </row>
    <row r="75" spans="1:19">
      <c r="A75" s="25" t="s">
        <v>1005</v>
      </c>
      <c r="B75" s="26" t="s">
        <v>1001</v>
      </c>
      <c r="C75" s="26"/>
      <c r="D75" s="26"/>
      <c r="E75" s="27"/>
      <c r="F75" s="197"/>
      <c r="G75" s="211"/>
      <c r="H75" s="172">
        <f>SF!H76</f>
        <v>20.719716685714292</v>
      </c>
      <c r="I75" s="197"/>
      <c r="J75" s="172">
        <f>SF!J76</f>
        <v>227.1916934588572</v>
      </c>
      <c r="K75" s="511"/>
      <c r="L75" s="504"/>
      <c r="M75" s="268"/>
      <c r="N75" s="268"/>
      <c r="O75" s="504"/>
      <c r="P75" s="268"/>
      <c r="Q75" s="268"/>
      <c r="R75" s="268"/>
      <c r="S75" s="268"/>
    </row>
    <row r="76" spans="1:19">
      <c r="A76" s="69"/>
      <c r="B76" s="26"/>
      <c r="C76" s="26"/>
      <c r="D76" s="26"/>
      <c r="E76" s="27"/>
      <c r="F76" s="197"/>
      <c r="G76" s="211"/>
      <c r="H76" s="34"/>
      <c r="I76" s="197"/>
      <c r="J76" s="89"/>
      <c r="K76" s="511"/>
      <c r="L76" s="504"/>
      <c r="M76" s="268"/>
      <c r="N76" s="268"/>
      <c r="O76" s="504"/>
      <c r="P76" s="268"/>
      <c r="Q76" s="268"/>
      <c r="R76" s="268"/>
      <c r="S76" s="268"/>
    </row>
    <row r="77" spans="1:19">
      <c r="A77" s="25" t="s">
        <v>1006</v>
      </c>
      <c r="B77" s="26" t="s">
        <v>211</v>
      </c>
      <c r="C77" s="26"/>
      <c r="D77" s="26"/>
      <c r="E77" s="27"/>
      <c r="F77" s="197"/>
      <c r="G77" s="195"/>
      <c r="H77" s="172">
        <f>SF!H78</f>
        <v>26.798532263701709</v>
      </c>
      <c r="I77" s="195"/>
      <c r="J77" s="172">
        <f>SF!J78</f>
        <v>147.28381289471153</v>
      </c>
      <c r="K77" s="511"/>
      <c r="L77" s="504"/>
      <c r="M77" s="268"/>
      <c r="N77" s="268"/>
      <c r="O77" s="504"/>
      <c r="P77" s="268"/>
      <c r="Q77" s="268"/>
      <c r="R77" s="268"/>
      <c r="S77" s="268"/>
    </row>
    <row r="78" spans="1:19">
      <c r="A78" s="25"/>
      <c r="B78" s="26"/>
      <c r="C78" s="26"/>
      <c r="D78" s="26"/>
      <c r="E78" s="27"/>
      <c r="F78" s="211"/>
      <c r="G78" s="211"/>
      <c r="H78" s="34"/>
      <c r="I78" s="197"/>
      <c r="J78" s="89"/>
      <c r="K78" s="511"/>
      <c r="L78" s="504"/>
      <c r="M78" s="268"/>
      <c r="N78" s="268"/>
      <c r="O78" s="504"/>
      <c r="P78" s="268"/>
      <c r="Q78" s="268"/>
      <c r="R78" s="268"/>
      <c r="S78" s="268"/>
    </row>
    <row r="79" spans="1:19">
      <c r="A79" s="693" t="s">
        <v>1134</v>
      </c>
      <c r="B79" s="688"/>
      <c r="C79" s="688"/>
      <c r="D79" s="688"/>
      <c r="E79" s="689"/>
      <c r="F79" s="197"/>
      <c r="G79" s="211"/>
      <c r="H79" s="34"/>
      <c r="I79" s="197"/>
      <c r="J79" s="89"/>
      <c r="K79" s="511"/>
      <c r="L79" s="504"/>
      <c r="M79" s="268"/>
      <c r="N79" s="268"/>
      <c r="O79" s="504"/>
      <c r="P79" s="268"/>
      <c r="Q79" s="268"/>
      <c r="R79" s="268"/>
      <c r="S79" s="268"/>
    </row>
    <row r="80" spans="1:19">
      <c r="A80" s="686" t="s">
        <v>1138</v>
      </c>
      <c r="B80" s="688" t="s">
        <v>1045</v>
      </c>
      <c r="C80" s="688"/>
      <c r="D80" s="688"/>
      <c r="E80" s="689"/>
      <c r="F80" s="620"/>
      <c r="G80" s="711"/>
      <c r="H80" s="989">
        <f>SF!H81</f>
        <v>32.345729999999996</v>
      </c>
      <c r="I80" s="696"/>
      <c r="J80" s="989">
        <f>SF!J81</f>
        <v>29.111156999999999</v>
      </c>
      <c r="K80" s="511"/>
      <c r="L80" s="504"/>
      <c r="M80" s="268"/>
      <c r="N80" s="268"/>
      <c r="O80" s="504"/>
      <c r="P80" s="268"/>
      <c r="Q80" s="268"/>
      <c r="R80" s="268"/>
      <c r="S80" s="268"/>
    </row>
    <row r="81" spans="1:19">
      <c r="A81" s="686"/>
      <c r="B81" s="688"/>
      <c r="C81" s="688"/>
      <c r="D81" s="688"/>
      <c r="E81" s="689"/>
      <c r="F81" s="620"/>
      <c r="G81" s="711"/>
      <c r="H81" s="989"/>
      <c r="I81" s="696"/>
      <c r="J81" s="989"/>
      <c r="K81" s="511"/>
      <c r="L81" s="504"/>
      <c r="M81" s="268"/>
      <c r="N81" s="268"/>
      <c r="O81" s="504"/>
      <c r="P81" s="268"/>
      <c r="Q81" s="268"/>
      <c r="R81" s="268"/>
      <c r="S81" s="268"/>
    </row>
    <row r="82" spans="1:19">
      <c r="A82" s="686" t="s">
        <v>1138</v>
      </c>
      <c r="B82" s="688" t="s">
        <v>1141</v>
      </c>
      <c r="C82" s="26"/>
      <c r="D82" s="26"/>
      <c r="E82" s="27"/>
      <c r="F82" s="34"/>
      <c r="G82" s="27"/>
      <c r="H82" s="989">
        <f>SF!H83</f>
        <v>19.373390077688924</v>
      </c>
      <c r="I82" s="696"/>
      <c r="J82" s="989">
        <f>SF!J83</f>
        <v>37.512792074379419</v>
      </c>
      <c r="K82" s="511"/>
      <c r="L82" s="504"/>
      <c r="M82" s="268"/>
      <c r="N82" s="268"/>
      <c r="O82" s="504"/>
      <c r="P82" s="268"/>
      <c r="Q82" s="268"/>
      <c r="R82" s="268"/>
      <c r="S82" s="268"/>
    </row>
    <row r="83" spans="1:19">
      <c r="A83" s="283"/>
      <c r="B83" s="284"/>
      <c r="C83" s="284"/>
      <c r="D83" s="284"/>
      <c r="E83" s="285"/>
      <c r="F83" s="286"/>
      <c r="G83" s="285"/>
      <c r="H83" s="286"/>
      <c r="I83" s="286"/>
      <c r="J83" s="286"/>
      <c r="K83" s="511"/>
      <c r="L83" s="504"/>
      <c r="M83" s="378"/>
      <c r="N83" s="378"/>
      <c r="O83" s="507"/>
      <c r="P83" s="378"/>
      <c r="Q83" s="378"/>
      <c r="R83" s="378"/>
      <c r="S83" s="378"/>
    </row>
    <row r="84" spans="1:19">
      <c r="A84" s="990" t="s">
        <v>1137</v>
      </c>
      <c r="B84" s="661"/>
      <c r="C84" s="661"/>
      <c r="D84" s="661"/>
      <c r="E84" s="584"/>
      <c r="F84" s="991"/>
      <c r="G84" s="992"/>
      <c r="H84" s="370"/>
      <c r="I84" s="991"/>
      <c r="J84" s="370"/>
      <c r="K84" s="511"/>
      <c r="L84" s="504"/>
      <c r="M84" s="377"/>
      <c r="N84" s="377"/>
      <c r="O84" s="503"/>
      <c r="P84" s="377"/>
      <c r="Q84" s="377"/>
      <c r="R84" s="377"/>
      <c r="S84" s="377"/>
    </row>
    <row r="85" spans="1:19">
      <c r="A85" s="25" t="s">
        <v>992</v>
      </c>
      <c r="B85" s="26"/>
      <c r="C85" s="26"/>
      <c r="D85" s="26"/>
      <c r="E85" s="27"/>
      <c r="F85" s="197"/>
      <c r="G85" s="211"/>
      <c r="H85" s="34"/>
      <c r="I85" s="197"/>
      <c r="J85" s="89"/>
      <c r="K85" s="511"/>
      <c r="L85" s="504"/>
      <c r="M85" s="268"/>
      <c r="N85" s="268"/>
      <c r="O85" s="504"/>
      <c r="P85" s="268"/>
      <c r="Q85" s="268"/>
      <c r="R85" s="268"/>
      <c r="S85" s="268"/>
    </row>
    <row r="86" spans="1:19">
      <c r="A86" s="25" t="s">
        <v>1007</v>
      </c>
      <c r="B86" s="26" t="s">
        <v>988</v>
      </c>
      <c r="C86" s="26"/>
      <c r="D86" s="26"/>
      <c r="E86" s="27"/>
      <c r="F86" s="196">
        <f>SF!F87</f>
        <v>31.607279999999999</v>
      </c>
      <c r="G86" s="211"/>
      <c r="H86" s="34"/>
      <c r="I86" s="196">
        <f>SF!I87</f>
        <v>-15.140358000000003</v>
      </c>
      <c r="J86" s="196">
        <f>SF!J87</f>
        <v>0</v>
      </c>
      <c r="K86" s="511"/>
      <c r="L86" s="504"/>
      <c r="M86" s="268"/>
      <c r="N86" s="268"/>
      <c r="O86" s="504"/>
      <c r="P86" s="268"/>
      <c r="Q86" s="268"/>
      <c r="R86" s="268"/>
      <c r="S86" s="268"/>
    </row>
    <row r="87" spans="1:19">
      <c r="A87" s="25" t="s">
        <v>1008</v>
      </c>
      <c r="B87" s="26" t="s">
        <v>989</v>
      </c>
      <c r="C87" s="26"/>
      <c r="D87" s="26"/>
      <c r="E87" s="27"/>
      <c r="F87" s="196">
        <f>SF!F88</f>
        <v>31.607279999999999</v>
      </c>
      <c r="G87" s="211"/>
      <c r="H87" s="34"/>
      <c r="I87" s="196">
        <f>SF!I88</f>
        <v>15.140358000000003</v>
      </c>
      <c r="J87" s="196">
        <f>SF!J88</f>
        <v>0</v>
      </c>
      <c r="K87" s="511"/>
      <c r="L87" s="504"/>
      <c r="M87" s="268"/>
      <c r="N87" s="268"/>
      <c r="O87" s="504"/>
      <c r="P87" s="268"/>
      <c r="Q87" s="268"/>
      <c r="R87" s="268"/>
      <c r="S87" s="268"/>
    </row>
    <row r="88" spans="1:19">
      <c r="A88" s="69"/>
      <c r="B88" s="26"/>
      <c r="C88" s="26"/>
      <c r="D88" s="26"/>
      <c r="E88" s="27"/>
      <c r="F88" s="197"/>
      <c r="G88" s="211"/>
      <c r="H88" s="34"/>
      <c r="I88" s="197"/>
      <c r="J88" s="89"/>
      <c r="K88" s="511"/>
      <c r="L88" s="504"/>
      <c r="M88" s="268"/>
      <c r="N88" s="268"/>
      <c r="O88" s="504"/>
      <c r="P88" s="268"/>
      <c r="Q88" s="268"/>
      <c r="R88" s="268"/>
      <c r="S88" s="268"/>
    </row>
    <row r="89" spans="1:19">
      <c r="A89" s="25" t="s">
        <v>999</v>
      </c>
      <c r="B89" s="26"/>
      <c r="C89" s="26"/>
      <c r="D89" s="26"/>
      <c r="E89" s="27"/>
      <c r="F89" s="197"/>
      <c r="G89" s="211"/>
      <c r="H89" s="34"/>
      <c r="I89" s="197"/>
      <c r="J89" s="89"/>
      <c r="K89" s="511"/>
      <c r="L89" s="504"/>
      <c r="M89" s="268"/>
      <c r="N89" s="268"/>
      <c r="O89" s="504"/>
      <c r="P89" s="268"/>
      <c r="Q89" s="268"/>
      <c r="R89" s="268"/>
      <c r="S89" s="268"/>
    </row>
    <row r="90" spans="1:19">
      <c r="A90" s="25" t="s">
        <v>1002</v>
      </c>
      <c r="B90" s="26"/>
      <c r="C90" s="26"/>
      <c r="D90" s="26"/>
      <c r="E90" s="27"/>
      <c r="F90" s="197"/>
      <c r="G90" s="211"/>
      <c r="H90" s="34"/>
      <c r="I90" s="197"/>
      <c r="J90" s="89"/>
      <c r="K90" s="511"/>
      <c r="L90" s="504"/>
      <c r="M90" s="268"/>
      <c r="N90" s="268"/>
      <c r="O90" s="504"/>
      <c r="P90" s="268"/>
      <c r="Q90" s="268"/>
      <c r="R90" s="268"/>
      <c r="S90" s="268"/>
    </row>
    <row r="91" spans="1:19">
      <c r="A91" s="25" t="s">
        <v>1009</v>
      </c>
      <c r="B91" s="26" t="s">
        <v>1000</v>
      </c>
      <c r="C91" s="26"/>
      <c r="D91" s="26"/>
      <c r="E91" s="27"/>
      <c r="F91" s="196">
        <f>SF!F92</f>
        <v>7.0373232000000003</v>
      </c>
      <c r="G91" s="211"/>
      <c r="H91" s="34"/>
      <c r="I91" s="196">
        <f>SF!I92</f>
        <v>-3.5186616000000002</v>
      </c>
      <c r="J91" s="196">
        <f>SF!J92</f>
        <v>-1.0914190890810807</v>
      </c>
      <c r="K91" s="511"/>
      <c r="L91" s="504"/>
      <c r="M91" s="268"/>
      <c r="N91" s="268"/>
      <c r="O91" s="504"/>
      <c r="P91" s="268"/>
      <c r="Q91" s="268"/>
      <c r="R91" s="268"/>
      <c r="S91" s="268"/>
    </row>
    <row r="92" spans="1:19">
      <c r="A92" s="25" t="s">
        <v>1010</v>
      </c>
      <c r="B92" s="26" t="s">
        <v>1001</v>
      </c>
      <c r="C92" s="26"/>
      <c r="D92" s="26"/>
      <c r="E92" s="27"/>
      <c r="F92" s="196">
        <f>SF!F93</f>
        <v>8.1200139428571472</v>
      </c>
      <c r="G92" s="211"/>
      <c r="H92" s="34"/>
      <c r="I92" s="196">
        <f>SF!I93</f>
        <v>4.0600069714285736</v>
      </c>
      <c r="J92" s="196">
        <f>SF!J93</f>
        <v>-1.259333693930502</v>
      </c>
      <c r="K92" s="511"/>
      <c r="L92" s="504"/>
      <c r="M92" s="268"/>
      <c r="N92" s="268"/>
      <c r="O92" s="504"/>
      <c r="P92" s="268"/>
      <c r="Q92" s="268"/>
      <c r="R92" s="268"/>
      <c r="S92" s="268"/>
    </row>
    <row r="93" spans="1:19">
      <c r="A93" s="25" t="s">
        <v>1003</v>
      </c>
      <c r="B93" s="26"/>
      <c r="C93" s="26"/>
      <c r="D93" s="26"/>
      <c r="E93" s="27"/>
      <c r="F93" s="197"/>
      <c r="G93" s="211"/>
      <c r="H93" s="34"/>
      <c r="I93" s="197"/>
      <c r="J93" s="89"/>
      <c r="K93" s="511"/>
      <c r="L93" s="504"/>
      <c r="M93" s="268"/>
      <c r="N93" s="268"/>
      <c r="O93" s="504"/>
      <c r="P93" s="268"/>
      <c r="Q93" s="268"/>
      <c r="R93" s="268"/>
      <c r="S93" s="268"/>
    </row>
    <row r="94" spans="1:19">
      <c r="A94" s="25" t="s">
        <v>1009</v>
      </c>
      <c r="B94" s="26" t="s">
        <v>1000</v>
      </c>
      <c r="C94" s="26"/>
      <c r="D94" s="26"/>
      <c r="E94" s="27"/>
      <c r="F94" s="196">
        <f>SF!F95</f>
        <v>0</v>
      </c>
      <c r="G94" s="211"/>
      <c r="H94" s="34"/>
      <c r="I94" s="196">
        <f>SF!I95</f>
        <v>0</v>
      </c>
      <c r="J94" s="196">
        <f>SF!J95</f>
        <v>0</v>
      </c>
      <c r="K94" s="511"/>
      <c r="L94" s="504"/>
      <c r="M94" s="268"/>
      <c r="N94" s="268"/>
      <c r="O94" s="504"/>
      <c r="P94" s="268"/>
      <c r="Q94" s="268"/>
      <c r="R94" s="268"/>
      <c r="S94" s="268"/>
    </row>
    <row r="95" spans="1:19">
      <c r="A95" s="25" t="s">
        <v>1010</v>
      </c>
      <c r="B95" s="26" t="s">
        <v>1001</v>
      </c>
      <c r="C95" s="26"/>
      <c r="D95" s="26"/>
      <c r="E95" s="27"/>
      <c r="F95" s="196">
        <f>SF!F96</f>
        <v>13.813144457142862</v>
      </c>
      <c r="G95" s="211"/>
      <c r="H95" s="34"/>
      <c r="I95" s="196">
        <f>SF!I96</f>
        <v>6.9065722285714308</v>
      </c>
      <c r="J95" s="196">
        <f>SF!J96</f>
        <v>-2.142281818285714</v>
      </c>
      <c r="K95" s="511"/>
      <c r="L95" s="504"/>
      <c r="M95" s="268"/>
      <c r="N95" s="268"/>
      <c r="O95" s="504"/>
      <c r="P95" s="268"/>
      <c r="Q95" s="268"/>
      <c r="R95" s="268"/>
      <c r="S95" s="268"/>
    </row>
    <row r="96" spans="1:19">
      <c r="A96" s="69"/>
      <c r="B96" s="26"/>
      <c r="C96" s="26"/>
      <c r="D96" s="26"/>
      <c r="E96" s="27"/>
      <c r="F96" s="197"/>
      <c r="G96" s="211"/>
      <c r="H96" s="34"/>
      <c r="I96" s="197"/>
      <c r="J96" s="89"/>
      <c r="K96" s="511"/>
      <c r="L96" s="504"/>
      <c r="M96" s="268"/>
      <c r="N96" s="268"/>
      <c r="O96" s="504"/>
      <c r="P96" s="268"/>
      <c r="Q96" s="268"/>
      <c r="R96" s="268"/>
      <c r="S96" s="268"/>
    </row>
    <row r="97" spans="1:19">
      <c r="A97" s="25" t="s">
        <v>1011</v>
      </c>
      <c r="B97" s="26" t="s">
        <v>211</v>
      </c>
      <c r="C97" s="26"/>
      <c r="D97" s="26"/>
      <c r="E97" s="27"/>
      <c r="F97" s="196">
        <f>SF!F98</f>
        <v>17.865688175801139</v>
      </c>
      <c r="G97" s="211"/>
      <c r="H97" s="197"/>
      <c r="I97" s="196">
        <f>SF!I98</f>
        <v>0</v>
      </c>
      <c r="J97" s="196">
        <f>SF!J98</f>
        <v>0</v>
      </c>
      <c r="K97" s="511"/>
      <c r="L97" s="504"/>
      <c r="M97" s="268"/>
      <c r="N97" s="268"/>
      <c r="O97" s="504"/>
      <c r="P97" s="268"/>
      <c r="Q97" s="268"/>
      <c r="R97" s="268"/>
      <c r="S97" s="268"/>
    </row>
    <row r="98" spans="1:19">
      <c r="A98" s="25"/>
      <c r="B98" s="26"/>
      <c r="C98" s="26"/>
      <c r="D98" s="26"/>
      <c r="E98" s="27"/>
      <c r="F98" s="211"/>
      <c r="G98" s="211"/>
      <c r="H98" s="34"/>
      <c r="I98" s="197"/>
      <c r="J98" s="89"/>
      <c r="K98" s="511"/>
      <c r="L98" s="504"/>
      <c r="M98" s="268"/>
      <c r="N98" s="268"/>
      <c r="O98" s="504"/>
      <c r="P98" s="268"/>
      <c r="Q98" s="268"/>
      <c r="R98" s="268"/>
      <c r="S98" s="268"/>
    </row>
    <row r="99" spans="1:19">
      <c r="A99" s="693" t="s">
        <v>1136</v>
      </c>
      <c r="B99" s="688"/>
      <c r="C99" s="688"/>
      <c r="D99" s="688"/>
      <c r="E99" s="689"/>
      <c r="F99" s="197"/>
      <c r="G99" s="211"/>
      <c r="H99" s="34"/>
      <c r="I99" s="197"/>
      <c r="J99" s="89"/>
      <c r="K99" s="511"/>
      <c r="L99" s="504"/>
      <c r="M99" s="268"/>
      <c r="N99" s="268"/>
      <c r="O99" s="504"/>
      <c r="P99" s="268"/>
      <c r="Q99" s="268"/>
      <c r="R99" s="268"/>
      <c r="S99" s="268"/>
    </row>
    <row r="100" spans="1:19">
      <c r="A100" s="686" t="s">
        <v>1473</v>
      </c>
      <c r="B100" s="688" t="s">
        <v>1045</v>
      </c>
      <c r="C100" s="688"/>
      <c r="D100" s="688"/>
      <c r="E100" s="689"/>
      <c r="F100" s="695">
        <f>SF!F101</f>
        <v>21.56382</v>
      </c>
      <c r="G100" s="621"/>
      <c r="H100" s="620"/>
      <c r="I100" s="695">
        <f>SF!I101</f>
        <v>0</v>
      </c>
      <c r="J100" s="695">
        <f>SF!J101</f>
        <v>0</v>
      </c>
      <c r="K100" s="511"/>
      <c r="L100" s="504"/>
      <c r="M100" s="504"/>
      <c r="N100" s="268"/>
      <c r="O100" s="504"/>
      <c r="P100" s="268"/>
      <c r="Q100" s="268"/>
      <c r="R100" s="268"/>
      <c r="S100" s="268"/>
    </row>
    <row r="101" spans="1:19">
      <c r="A101" s="25"/>
      <c r="B101" s="26"/>
      <c r="C101" s="26"/>
      <c r="D101" s="26"/>
      <c r="E101" s="27"/>
      <c r="F101" s="197"/>
      <c r="G101" s="211"/>
      <c r="H101" s="197"/>
      <c r="I101" s="197"/>
      <c r="J101" s="112"/>
      <c r="K101" s="433"/>
      <c r="L101" s="385"/>
      <c r="M101" s="385"/>
      <c r="N101" s="376"/>
      <c r="O101" s="385"/>
      <c r="P101" s="376"/>
      <c r="Q101" s="376"/>
      <c r="R101" s="376"/>
      <c r="S101" s="376"/>
    </row>
    <row r="102" spans="1:19">
      <c r="A102" s="253"/>
      <c r="B102" s="15"/>
      <c r="C102" s="15"/>
      <c r="D102" s="15"/>
      <c r="E102" s="22"/>
      <c r="F102" s="212"/>
      <c r="G102" s="213"/>
      <c r="H102" s="198"/>
      <c r="I102" s="198"/>
      <c r="J102" s="28"/>
      <c r="K102" s="208"/>
      <c r="L102" s="509"/>
      <c r="M102" s="509"/>
      <c r="N102" s="379"/>
      <c r="O102" s="509"/>
      <c r="P102" s="379"/>
      <c r="Q102" s="379"/>
      <c r="R102" s="379"/>
      <c r="S102" s="379"/>
    </row>
    <row r="103" spans="1:19">
      <c r="A103" s="46"/>
      <c r="B103" s="46"/>
      <c r="C103" s="46"/>
      <c r="D103" s="46"/>
      <c r="E103" s="46"/>
      <c r="F103" s="46"/>
      <c r="G103" s="46"/>
      <c r="H103" s="46"/>
      <c r="I103" s="46"/>
      <c r="J103" s="46"/>
      <c r="N103" s="87"/>
    </row>
    <row r="104" spans="1:19">
      <c r="A104" s="220" t="s">
        <v>73</v>
      </c>
      <c r="B104" s="220" t="s">
        <v>74</v>
      </c>
      <c r="C104" s="200"/>
      <c r="D104" s="200"/>
      <c r="E104" s="217"/>
      <c r="F104" s="1636" t="s">
        <v>72</v>
      </c>
      <c r="G104" s="1637"/>
      <c r="H104" s="1637"/>
      <c r="I104" s="1637"/>
      <c r="J104" s="1638"/>
      <c r="N104" s="87"/>
    </row>
    <row r="105" spans="1:19" ht="18">
      <c r="A105" s="221"/>
      <c r="B105" s="221"/>
      <c r="C105" s="201"/>
      <c r="D105" s="201"/>
      <c r="E105" s="219"/>
      <c r="F105" s="223" t="s">
        <v>23</v>
      </c>
      <c r="G105" s="223" t="s">
        <v>87</v>
      </c>
      <c r="H105" s="223" t="s">
        <v>212</v>
      </c>
      <c r="I105" s="223" t="s">
        <v>80</v>
      </c>
      <c r="J105" s="223" t="s">
        <v>81</v>
      </c>
      <c r="N105" s="87"/>
    </row>
    <row r="106" spans="1:19">
      <c r="A106" s="222"/>
      <c r="B106" s="222"/>
      <c r="C106" s="203"/>
      <c r="D106" s="203"/>
      <c r="E106" s="218"/>
      <c r="F106" s="204" t="s">
        <v>34</v>
      </c>
      <c r="G106" s="204" t="s">
        <v>34</v>
      </c>
      <c r="H106" s="203" t="s">
        <v>34</v>
      </c>
      <c r="I106" s="204" t="s">
        <v>77</v>
      </c>
      <c r="J106" s="204" t="s">
        <v>77</v>
      </c>
      <c r="N106" s="87"/>
    </row>
    <row r="107" spans="1:19">
      <c r="A107" s="202"/>
      <c r="B107" s="200"/>
      <c r="C107" s="200"/>
      <c r="D107" s="200"/>
      <c r="E107" s="217"/>
      <c r="F107" s="205"/>
      <c r="G107" s="205"/>
      <c r="H107" s="201"/>
      <c r="I107" s="205"/>
      <c r="J107" s="205"/>
      <c r="N107" s="87"/>
    </row>
    <row r="108" spans="1:19">
      <c r="A108" s="205" t="str">
        <f>A10</f>
        <v>LC-1</v>
      </c>
      <c r="B108" s="201" t="str">
        <f>B10</f>
        <v>LWL QP, NS LWL DL, SIDL</v>
      </c>
      <c r="C108" s="201"/>
      <c r="D108" s="201"/>
      <c r="E108" s="219"/>
      <c r="F108" s="205">
        <f>SUMPRODUCT(F13:F101,$M$13:$M$101)</f>
        <v>987.04706530953285</v>
      </c>
      <c r="G108" s="219">
        <f>SUMPRODUCT(G13:G101,$M$13:$M$101)</f>
        <v>5.8532000000000011</v>
      </c>
      <c r="H108" s="219">
        <f>SUMPRODUCT(H13:H101,$M$13:$M$101)</f>
        <v>0</v>
      </c>
      <c r="I108" s="219">
        <f>SUMPRODUCT(I13:I101,$M$13:$M$101)</f>
        <v>48.464496000000011</v>
      </c>
      <c r="J108" s="219">
        <f>SUMPRODUCT(J13:J101,$M$13:$M$101)</f>
        <v>0</v>
      </c>
      <c r="N108" s="87"/>
    </row>
    <row r="109" spans="1:19">
      <c r="A109" s="204"/>
      <c r="B109" s="203"/>
      <c r="C109" s="203"/>
      <c r="D109" s="203"/>
      <c r="E109" s="218"/>
      <c r="F109" s="204"/>
      <c r="G109" s="204"/>
      <c r="H109" s="203"/>
      <c r="I109" s="204"/>
      <c r="J109" s="204"/>
      <c r="N109" s="87"/>
    </row>
    <row r="110" spans="1:19">
      <c r="N110" s="87"/>
    </row>
    <row r="111" spans="1:19">
      <c r="A111" s="112" t="str">
        <f>A108</f>
        <v>LC-1</v>
      </c>
      <c r="B111" s="112" t="str">
        <f>B108</f>
        <v>LWL QP, NS LWL DL, SIDL</v>
      </c>
      <c r="C111" s="11"/>
      <c r="D111" s="11"/>
      <c r="E111" s="191"/>
      <c r="N111" s="87"/>
    </row>
    <row r="112" spans="1:19">
      <c r="N112" s="87"/>
    </row>
    <row r="113" spans="14:14">
      <c r="N113" s="87"/>
    </row>
    <row r="114" spans="14:14">
      <c r="N114" s="87"/>
    </row>
    <row r="115" spans="14:14">
      <c r="N115" s="87"/>
    </row>
  </sheetData>
  <mergeCells count="2">
    <mergeCell ref="F10:J10"/>
    <mergeCell ref="F104:J104"/>
  </mergeCells>
  <pageMargins left="0.70866141732283472" right="0.70866141732283472" top="0.74803149606299213" bottom="0.74803149606299213" header="0.31496062992125984" footer="0.31496062992125984"/>
  <pageSetup paperSize="9" orientation="portrait" blackAndWhite="1" r:id="rId1"/>
  <legacyDrawing r:id="rId2"/>
</worksheet>
</file>

<file path=xl/worksheets/sheet32.xml><?xml version="1.0" encoding="utf-8"?>
<worksheet xmlns="http://schemas.openxmlformats.org/spreadsheetml/2006/main" xmlns:r="http://schemas.openxmlformats.org/officeDocument/2006/relationships">
  <sheetPr codeName="Sheet30">
    <tabColor theme="6" tint="0.39997558519241921"/>
  </sheetPr>
  <dimension ref="A1:M148"/>
  <sheetViews>
    <sheetView view="pageBreakPreview" zoomScaleSheetLayoutView="100" workbookViewId="0">
      <selection activeCell="O14" sqref="O14"/>
    </sheetView>
  </sheetViews>
  <sheetFormatPr defaultRowHeight="15"/>
  <cols>
    <col min="12" max="12" width="9.140625" style="1585"/>
    <col min="13" max="13" width="9.140625" style="386"/>
  </cols>
  <sheetData>
    <row r="1" spans="1:13">
      <c r="A1" t="s">
        <v>1818</v>
      </c>
    </row>
    <row r="2" spans="1:13">
      <c r="A2" t="s">
        <v>1819</v>
      </c>
    </row>
    <row r="3" spans="1:13">
      <c r="A3" t="s">
        <v>221</v>
      </c>
    </row>
    <row r="5" spans="1:13">
      <c r="A5" s="1"/>
      <c r="B5" s="1"/>
      <c r="C5" s="1"/>
      <c r="D5" s="1"/>
      <c r="E5" s="1"/>
      <c r="F5" s="1"/>
      <c r="G5" s="1"/>
      <c r="H5" s="1"/>
      <c r="I5" s="1"/>
      <c r="J5" s="1"/>
      <c r="K5" s="1"/>
      <c r="L5" s="26"/>
      <c r="M5" s="1"/>
    </row>
    <row r="6" spans="1:13">
      <c r="A6" s="1"/>
      <c r="B6" s="1"/>
      <c r="C6" s="1"/>
      <c r="D6" s="1"/>
      <c r="E6" s="1"/>
      <c r="F6" s="1"/>
      <c r="G6" s="1"/>
      <c r="H6" s="1"/>
      <c r="I6" s="1"/>
      <c r="J6" s="1"/>
      <c r="K6" s="1"/>
      <c r="L6" s="26"/>
      <c r="M6" s="1"/>
    </row>
    <row r="7" spans="1:13">
      <c r="A7" s="225" t="str">
        <f>K8</f>
        <v>LC-1</v>
      </c>
      <c r="B7" s="24" t="str">
        <f>VLOOKUP(A7,LC_DEF_2!A95:B100,2,FALSE)</f>
        <v>LWL QP, NS LWL DL, SIDL</v>
      </c>
      <c r="C7" s="24"/>
      <c r="D7" s="24"/>
      <c r="E7" s="21"/>
      <c r="F7" s="1599" t="s">
        <v>72</v>
      </c>
      <c r="G7" s="1635"/>
      <c r="H7" s="1635"/>
      <c r="I7" s="1635"/>
      <c r="J7" s="1635"/>
      <c r="K7" s="73"/>
      <c r="L7" s="293"/>
    </row>
    <row r="8" spans="1:13" ht="18">
      <c r="A8" s="25" t="s">
        <v>73</v>
      </c>
      <c r="B8" s="26" t="s">
        <v>74</v>
      </c>
      <c r="C8" s="26"/>
      <c r="D8" s="26"/>
      <c r="E8" s="27"/>
      <c r="F8" s="33" t="s">
        <v>23</v>
      </c>
      <c r="G8" s="33" t="s">
        <v>87</v>
      </c>
      <c r="H8" s="33" t="s">
        <v>212</v>
      </c>
      <c r="I8" s="33" t="s">
        <v>80</v>
      </c>
      <c r="J8" s="30" t="s">
        <v>81</v>
      </c>
      <c r="K8" s="1584" t="s">
        <v>122</v>
      </c>
      <c r="L8" s="422"/>
    </row>
    <row r="9" spans="1:13">
      <c r="A9" s="25"/>
      <c r="B9" s="26"/>
      <c r="C9" s="26"/>
      <c r="D9" s="26"/>
      <c r="E9" s="27"/>
      <c r="F9" s="36" t="s">
        <v>34</v>
      </c>
      <c r="G9" s="36" t="s">
        <v>34</v>
      </c>
      <c r="H9" s="36" t="s">
        <v>34</v>
      </c>
      <c r="I9" s="36" t="s">
        <v>77</v>
      </c>
      <c r="J9" s="23" t="s">
        <v>77</v>
      </c>
      <c r="K9" s="495"/>
      <c r="L9" s="422"/>
    </row>
    <row r="10" spans="1:13">
      <c r="A10" s="25" t="s">
        <v>88</v>
      </c>
      <c r="B10" s="26" t="s">
        <v>75</v>
      </c>
      <c r="C10" s="26"/>
      <c r="D10" s="26"/>
      <c r="E10" s="27"/>
      <c r="F10" s="195">
        <f>SF!F14</f>
        <v>365.08803866482532</v>
      </c>
      <c r="G10" s="210"/>
      <c r="H10" s="34"/>
      <c r="I10" s="195">
        <f>SF!I14</f>
        <v>0</v>
      </c>
      <c r="J10" s="195">
        <f>SF!J14</f>
        <v>0</v>
      </c>
      <c r="K10" s="376"/>
      <c r="L10" s="1586"/>
    </row>
    <row r="11" spans="1:13">
      <c r="A11" s="25" t="s">
        <v>90</v>
      </c>
      <c r="B11" s="26" t="s">
        <v>249</v>
      </c>
      <c r="C11" s="26"/>
      <c r="D11" s="26"/>
      <c r="E11" s="27"/>
      <c r="F11" s="195">
        <f>SF!F16</f>
        <v>36.639026644707663</v>
      </c>
      <c r="G11" s="210"/>
      <c r="H11" s="34"/>
      <c r="I11" s="195">
        <f>SF!I16</f>
        <v>0</v>
      </c>
      <c r="J11" s="195">
        <f>SF!J16</f>
        <v>0</v>
      </c>
      <c r="K11" s="268">
        <v>1</v>
      </c>
      <c r="L11" s="1586"/>
    </row>
    <row r="12" spans="1:13">
      <c r="A12" s="25" t="s">
        <v>250</v>
      </c>
      <c r="B12" s="26" t="s">
        <v>967</v>
      </c>
      <c r="C12" s="26"/>
      <c r="D12" s="26"/>
      <c r="E12" s="27"/>
      <c r="F12" s="195">
        <f>SF!F19</f>
        <v>230</v>
      </c>
      <c r="G12" s="27"/>
      <c r="H12" s="34"/>
      <c r="I12" s="195">
        <f>SF!I19</f>
        <v>-115</v>
      </c>
      <c r="J12" s="195">
        <f>SF!J19</f>
        <v>0</v>
      </c>
      <c r="K12" s="268">
        <v>1</v>
      </c>
      <c r="L12" s="422"/>
    </row>
    <row r="13" spans="1:13">
      <c r="A13" s="25" t="s">
        <v>251</v>
      </c>
      <c r="B13" s="26" t="s">
        <v>968</v>
      </c>
      <c r="C13" s="26"/>
      <c r="D13" s="26"/>
      <c r="E13" s="27"/>
      <c r="F13" s="195">
        <f>SF!F20</f>
        <v>20.660000000000004</v>
      </c>
      <c r="G13" s="27"/>
      <c r="H13" s="34"/>
      <c r="I13" s="195">
        <f>SF!I20</f>
        <v>-10.330000000000002</v>
      </c>
      <c r="J13" s="195">
        <f>SF!J20</f>
        <v>0</v>
      </c>
      <c r="K13" s="376">
        <v>1</v>
      </c>
      <c r="L13" s="422"/>
    </row>
    <row r="14" spans="1:13">
      <c r="A14" s="25" t="s">
        <v>97</v>
      </c>
      <c r="B14" s="26" t="s">
        <v>969</v>
      </c>
      <c r="C14" s="26"/>
      <c r="D14" s="26"/>
      <c r="E14" s="27"/>
      <c r="F14" s="195">
        <f>SF!F21</f>
        <v>42</v>
      </c>
      <c r="G14" s="27"/>
      <c r="H14" s="34"/>
      <c r="I14" s="195">
        <f>SF!I21</f>
        <v>-14.858499999999999</v>
      </c>
      <c r="J14" s="195">
        <f>SF!J21</f>
        <v>0</v>
      </c>
      <c r="K14" s="376">
        <v>1</v>
      </c>
      <c r="L14" s="422"/>
    </row>
    <row r="15" spans="1:13">
      <c r="A15" s="25" t="s">
        <v>250</v>
      </c>
      <c r="B15" s="26" t="s">
        <v>970</v>
      </c>
      <c r="C15" s="26"/>
      <c r="D15" s="26"/>
      <c r="E15" s="27"/>
      <c r="F15" s="195">
        <f>SF!F23</f>
        <v>230</v>
      </c>
      <c r="G15" s="27"/>
      <c r="H15" s="34"/>
      <c r="I15" s="195">
        <f>SF!I23</f>
        <v>115</v>
      </c>
      <c r="J15" s="195">
        <f>SF!J23</f>
        <v>0</v>
      </c>
      <c r="K15" s="376">
        <v>1</v>
      </c>
      <c r="L15" s="422"/>
    </row>
    <row r="16" spans="1:13">
      <c r="A16" s="25" t="s">
        <v>251</v>
      </c>
      <c r="B16" s="26" t="s">
        <v>971</v>
      </c>
      <c r="C16" s="26"/>
      <c r="D16" s="26"/>
      <c r="E16" s="27"/>
      <c r="F16" s="195">
        <f>SF!F24</f>
        <v>20.660000000000004</v>
      </c>
      <c r="G16" s="27"/>
      <c r="H16" s="34"/>
      <c r="I16" s="195">
        <f>SF!I24</f>
        <v>10.330000000000002</v>
      </c>
      <c r="J16" s="195">
        <f>SF!J24</f>
        <v>0</v>
      </c>
      <c r="K16" s="376">
        <v>1</v>
      </c>
      <c r="L16" s="1586"/>
    </row>
    <row r="17" spans="1:12">
      <c r="A17" s="25" t="s">
        <v>97</v>
      </c>
      <c r="B17" s="26" t="s">
        <v>972</v>
      </c>
      <c r="C17" s="26"/>
      <c r="D17" s="26"/>
      <c r="E17" s="27"/>
      <c r="F17" s="195">
        <f>SF!F25</f>
        <v>42</v>
      </c>
      <c r="G17" s="27"/>
      <c r="H17" s="34"/>
      <c r="I17" s="195">
        <f>SF!I25</f>
        <v>14.858499999999999</v>
      </c>
      <c r="J17" s="195">
        <f>SF!J25</f>
        <v>0</v>
      </c>
      <c r="K17" s="268">
        <v>1</v>
      </c>
      <c r="L17" s="422"/>
    </row>
    <row r="18" spans="1:12">
      <c r="A18" s="25" t="s">
        <v>986</v>
      </c>
      <c r="B18" s="163" t="s">
        <v>955</v>
      </c>
      <c r="C18" s="26"/>
      <c r="D18" s="26"/>
      <c r="E18" s="27"/>
      <c r="F18" s="34"/>
      <c r="G18" s="195">
        <f>SF!G40</f>
        <v>5.8532000000000011</v>
      </c>
      <c r="H18" s="34"/>
      <c r="I18" s="195">
        <f>SF!I40</f>
        <v>48.464496000000018</v>
      </c>
      <c r="J18" s="34"/>
      <c r="K18" s="376">
        <v>1</v>
      </c>
      <c r="L18" s="422"/>
    </row>
    <row r="19" spans="1:12">
      <c r="A19" s="253"/>
      <c r="B19" s="15"/>
      <c r="C19" s="15"/>
      <c r="D19" s="15"/>
      <c r="E19" s="22"/>
      <c r="F19" s="212"/>
      <c r="G19" s="213"/>
      <c r="H19" s="198"/>
      <c r="I19" s="198"/>
      <c r="J19" s="28"/>
      <c r="K19" s="655">
        <v>1</v>
      </c>
      <c r="L19" s="149"/>
    </row>
    <row r="20" spans="1:12">
      <c r="A20" s="46"/>
      <c r="B20" s="46"/>
      <c r="C20" s="46"/>
      <c r="D20" s="46"/>
      <c r="E20" s="46"/>
      <c r="F20" s="46"/>
      <c r="G20" s="46"/>
      <c r="H20" s="46"/>
      <c r="I20" s="46"/>
      <c r="J20" s="46"/>
      <c r="K20" s="509"/>
      <c r="L20" s="293"/>
    </row>
    <row r="21" spans="1:12">
      <c r="A21" s="220" t="s">
        <v>73</v>
      </c>
      <c r="B21" s="220" t="s">
        <v>74</v>
      </c>
      <c r="C21" s="200"/>
      <c r="D21" s="200"/>
      <c r="E21" s="217"/>
      <c r="F21" s="1636" t="s">
        <v>72</v>
      </c>
      <c r="G21" s="1637"/>
      <c r="H21" s="1637"/>
      <c r="I21" s="1637"/>
      <c r="J21" s="1638"/>
      <c r="K21" s="27"/>
      <c r="L21" s="293"/>
    </row>
    <row r="22" spans="1:12" ht="18">
      <c r="A22" s="221"/>
      <c r="B22" s="221"/>
      <c r="C22" s="201"/>
      <c r="D22" s="201"/>
      <c r="E22" s="219"/>
      <c r="F22" s="223" t="s">
        <v>23</v>
      </c>
      <c r="G22" s="223" t="s">
        <v>87</v>
      </c>
      <c r="H22" s="223" t="s">
        <v>212</v>
      </c>
      <c r="I22" s="223" t="s">
        <v>80</v>
      </c>
      <c r="J22" s="223" t="s">
        <v>81</v>
      </c>
      <c r="K22" s="27"/>
      <c r="L22" s="293"/>
    </row>
    <row r="23" spans="1:12">
      <c r="A23" s="222"/>
      <c r="B23" s="222"/>
      <c r="C23" s="203"/>
      <c r="D23" s="203"/>
      <c r="E23" s="218"/>
      <c r="F23" s="204" t="s">
        <v>34</v>
      </c>
      <c r="G23" s="204" t="s">
        <v>34</v>
      </c>
      <c r="H23" s="203" t="s">
        <v>34</v>
      </c>
      <c r="I23" s="204" t="s">
        <v>77</v>
      </c>
      <c r="J23" s="204" t="s">
        <v>77</v>
      </c>
      <c r="K23" s="27"/>
      <c r="L23" s="293"/>
    </row>
    <row r="24" spans="1:12">
      <c r="A24" s="202"/>
      <c r="B24" s="200"/>
      <c r="C24" s="200"/>
      <c r="D24" s="200"/>
      <c r="E24" s="217"/>
      <c r="F24" s="205"/>
      <c r="G24" s="205"/>
      <c r="H24" s="201"/>
      <c r="I24" s="205"/>
      <c r="J24" s="205"/>
      <c r="K24" s="27"/>
      <c r="L24" s="293"/>
    </row>
    <row r="25" spans="1:12">
      <c r="A25" s="205" t="str">
        <f>A7</f>
        <v>LC-1</v>
      </c>
      <c r="B25" s="201" t="str">
        <f>B7</f>
        <v>LWL QP, NS LWL DL, SIDL</v>
      </c>
      <c r="C25" s="201"/>
      <c r="D25" s="201"/>
      <c r="E25" s="219"/>
      <c r="F25" s="205">
        <f>SUMPRODUCT(F10:F18,$K$11:$K$19)</f>
        <v>987.04706530953285</v>
      </c>
      <c r="G25" s="219">
        <f>SUMPRODUCT(G10:G18,$K$11:$K$19)</f>
        <v>5.8532000000000011</v>
      </c>
      <c r="H25" s="219">
        <f>SUMPRODUCT(H10:H18,$K$11:$K$19)</f>
        <v>0</v>
      </c>
      <c r="I25" s="219">
        <f>SUMPRODUCT(I10:I18,$K$11:$K$19)</f>
        <v>48.464496000000011</v>
      </c>
      <c r="J25" s="219">
        <f>SUMPRODUCT(J10:J18,$K$11:$K$19)</f>
        <v>0</v>
      </c>
      <c r="K25" s="27"/>
      <c r="L25" s="293"/>
    </row>
    <row r="26" spans="1:12">
      <c r="A26" s="204"/>
      <c r="B26" s="203"/>
      <c r="C26" s="203"/>
      <c r="D26" s="203"/>
      <c r="E26" s="218"/>
      <c r="F26" s="204"/>
      <c r="G26" s="204"/>
      <c r="H26" s="203"/>
      <c r="I26" s="204"/>
      <c r="J26" s="204"/>
      <c r="K26" s="27"/>
      <c r="L26" s="293"/>
    </row>
    <row r="27" spans="1:12">
      <c r="A27" s="1"/>
      <c r="B27" s="1"/>
      <c r="C27" s="1"/>
      <c r="D27" s="1"/>
      <c r="E27" s="1"/>
      <c r="F27" s="1"/>
      <c r="G27" s="1"/>
      <c r="H27" s="1"/>
      <c r="I27" s="1"/>
      <c r="J27" s="1"/>
      <c r="K27" s="27"/>
      <c r="L27" s="26"/>
    </row>
    <row r="28" spans="1:12">
      <c r="A28" s="1"/>
      <c r="B28" s="1"/>
      <c r="C28" s="1"/>
      <c r="D28" s="1"/>
      <c r="E28" s="1"/>
      <c r="F28" s="1"/>
      <c r="G28" s="1"/>
      <c r="H28" s="1"/>
      <c r="I28" s="1"/>
      <c r="J28" s="1"/>
      <c r="K28" s="27"/>
      <c r="L28" s="26"/>
    </row>
    <row r="29" spans="1:12">
      <c r="A29" s="225" t="str">
        <f>K30</f>
        <v>LC-2</v>
      </c>
      <c r="B29" s="24" t="str">
        <f>VLOOKUP(A29,LC_DEF_2!A95:B100,2,FALSE)</f>
        <v>HFL QP, NS LWL DL, SIDL</v>
      </c>
      <c r="C29" s="24"/>
      <c r="D29" s="24"/>
      <c r="E29" s="21"/>
      <c r="F29" s="1599" t="s">
        <v>72</v>
      </c>
      <c r="G29" s="1635"/>
      <c r="H29" s="1635"/>
      <c r="I29" s="1635"/>
      <c r="J29" s="1635"/>
      <c r="K29" s="27"/>
      <c r="L29" s="293"/>
    </row>
    <row r="30" spans="1:12" ht="18">
      <c r="A30" s="25" t="s">
        <v>73</v>
      </c>
      <c r="B30" s="26" t="s">
        <v>74</v>
      </c>
      <c r="C30" s="26"/>
      <c r="D30" s="26"/>
      <c r="E30" s="27"/>
      <c r="F30" s="33" t="s">
        <v>23</v>
      </c>
      <c r="G30" s="33" t="s">
        <v>87</v>
      </c>
      <c r="H30" s="33" t="s">
        <v>212</v>
      </c>
      <c r="I30" s="33" t="s">
        <v>80</v>
      </c>
      <c r="J30" s="30" t="s">
        <v>81</v>
      </c>
      <c r="K30" s="1584" t="s">
        <v>123</v>
      </c>
      <c r="L30" s="422"/>
    </row>
    <row r="31" spans="1:12">
      <c r="A31" s="25"/>
      <c r="B31" s="26"/>
      <c r="C31" s="26"/>
      <c r="D31" s="26"/>
      <c r="E31" s="27"/>
      <c r="F31" s="36" t="s">
        <v>34</v>
      </c>
      <c r="G31" s="36" t="s">
        <v>34</v>
      </c>
      <c r="H31" s="36" t="s">
        <v>34</v>
      </c>
      <c r="I31" s="36" t="s">
        <v>77</v>
      </c>
      <c r="J31" s="23" t="s">
        <v>77</v>
      </c>
      <c r="K31" s="495"/>
      <c r="L31" s="422"/>
    </row>
    <row r="32" spans="1:12">
      <c r="A32" s="25" t="s">
        <v>88</v>
      </c>
      <c r="B32" s="26" t="s">
        <v>75</v>
      </c>
      <c r="C32" s="26"/>
      <c r="D32" s="26"/>
      <c r="E32" s="27"/>
      <c r="F32" s="195">
        <f>SF!F14</f>
        <v>365.08803866482532</v>
      </c>
      <c r="G32" s="210"/>
      <c r="H32" s="34"/>
      <c r="I32" s="195">
        <f>SF!I14</f>
        <v>0</v>
      </c>
      <c r="J32" s="195">
        <f>SF!J14</f>
        <v>0</v>
      </c>
      <c r="K32" s="376"/>
      <c r="L32" s="1586"/>
    </row>
    <row r="33" spans="1:12">
      <c r="A33" s="25" t="s">
        <v>250</v>
      </c>
      <c r="B33" s="26" t="s">
        <v>967</v>
      </c>
      <c r="C33" s="26"/>
      <c r="D33" s="26"/>
      <c r="E33" s="27"/>
      <c r="F33" s="195">
        <f>SF!F19</f>
        <v>230</v>
      </c>
      <c r="G33" s="27"/>
      <c r="H33" s="34"/>
      <c r="I33" s="195">
        <f>SF!I19</f>
        <v>-115</v>
      </c>
      <c r="J33" s="195">
        <f>SF!J19</f>
        <v>0</v>
      </c>
      <c r="K33" s="268">
        <v>1</v>
      </c>
      <c r="L33" s="422"/>
    </row>
    <row r="34" spans="1:12">
      <c r="A34" s="25" t="s">
        <v>251</v>
      </c>
      <c r="B34" s="26" t="s">
        <v>968</v>
      </c>
      <c r="C34" s="26"/>
      <c r="D34" s="26"/>
      <c r="E34" s="27"/>
      <c r="F34" s="195">
        <f>SF!F20</f>
        <v>20.660000000000004</v>
      </c>
      <c r="G34" s="27"/>
      <c r="H34" s="34"/>
      <c r="I34" s="195">
        <f>SF!I20</f>
        <v>-10.330000000000002</v>
      </c>
      <c r="J34" s="195">
        <f>SF!J20</f>
        <v>0</v>
      </c>
      <c r="K34" s="376">
        <v>1</v>
      </c>
      <c r="L34" s="422"/>
    </row>
    <row r="35" spans="1:12">
      <c r="A35" s="25" t="s">
        <v>97</v>
      </c>
      <c r="B35" s="26" t="s">
        <v>969</v>
      </c>
      <c r="C35" s="26"/>
      <c r="D35" s="26"/>
      <c r="E35" s="27"/>
      <c r="F35" s="195">
        <f>SF!F21</f>
        <v>42</v>
      </c>
      <c r="G35" s="27"/>
      <c r="H35" s="34"/>
      <c r="I35" s="195">
        <f>SF!I21</f>
        <v>-14.858499999999999</v>
      </c>
      <c r="J35" s="195">
        <f>SF!J21</f>
        <v>0</v>
      </c>
      <c r="K35" s="376">
        <v>1</v>
      </c>
      <c r="L35" s="422"/>
    </row>
    <row r="36" spans="1:12">
      <c r="A36" s="25" t="s">
        <v>250</v>
      </c>
      <c r="B36" s="26" t="s">
        <v>970</v>
      </c>
      <c r="C36" s="26"/>
      <c r="D36" s="26"/>
      <c r="E36" s="27"/>
      <c r="F36" s="195">
        <f>SF!F23</f>
        <v>230</v>
      </c>
      <c r="G36" s="27"/>
      <c r="H36" s="34"/>
      <c r="I36" s="195">
        <f>SF!I23</f>
        <v>115</v>
      </c>
      <c r="J36" s="195">
        <f>SF!J23</f>
        <v>0</v>
      </c>
      <c r="K36" s="376">
        <v>1</v>
      </c>
      <c r="L36" s="422"/>
    </row>
    <row r="37" spans="1:12">
      <c r="A37" s="25" t="s">
        <v>251</v>
      </c>
      <c r="B37" s="26" t="s">
        <v>971</v>
      </c>
      <c r="C37" s="26"/>
      <c r="D37" s="26"/>
      <c r="E37" s="27"/>
      <c r="F37" s="195">
        <f>SF!F24</f>
        <v>20.660000000000004</v>
      </c>
      <c r="G37" s="27"/>
      <c r="H37" s="34"/>
      <c r="I37" s="195">
        <f>SF!I24</f>
        <v>10.330000000000002</v>
      </c>
      <c r="J37" s="195">
        <f>SF!J24</f>
        <v>0</v>
      </c>
      <c r="K37" s="376">
        <v>1</v>
      </c>
      <c r="L37" s="1586"/>
    </row>
    <row r="38" spans="1:12">
      <c r="A38" s="25" t="s">
        <v>97</v>
      </c>
      <c r="B38" s="26" t="s">
        <v>972</v>
      </c>
      <c r="C38" s="26"/>
      <c r="D38" s="26"/>
      <c r="E38" s="27"/>
      <c r="F38" s="195">
        <f>SF!F25</f>
        <v>42</v>
      </c>
      <c r="G38" s="27"/>
      <c r="H38" s="34"/>
      <c r="I38" s="195">
        <f>SF!I25</f>
        <v>14.858499999999999</v>
      </c>
      <c r="J38" s="195">
        <f>SF!J25</f>
        <v>0</v>
      </c>
      <c r="K38" s="268">
        <v>1</v>
      </c>
      <c r="L38" s="422"/>
    </row>
    <row r="39" spans="1:12">
      <c r="A39" s="25" t="s">
        <v>986</v>
      </c>
      <c r="B39" s="163" t="s">
        <v>955</v>
      </c>
      <c r="C39" s="26"/>
      <c r="D39" s="26"/>
      <c r="E39" s="27"/>
      <c r="F39" s="34"/>
      <c r="G39" s="195">
        <f>SF!G40</f>
        <v>5.8532000000000011</v>
      </c>
      <c r="H39" s="34"/>
      <c r="I39" s="195">
        <f>SF!I40</f>
        <v>48.464496000000018</v>
      </c>
      <c r="J39" s="34"/>
      <c r="K39" s="376">
        <v>1</v>
      </c>
      <c r="L39" s="422"/>
    </row>
    <row r="40" spans="1:12">
      <c r="A40" s="686" t="s">
        <v>1128</v>
      </c>
      <c r="B40" s="687"/>
      <c r="C40" s="688"/>
      <c r="D40" s="688"/>
      <c r="E40" s="689"/>
      <c r="F40" s="696">
        <f>SF!F43</f>
        <v>-103.56143333397094</v>
      </c>
      <c r="G40" s="689"/>
      <c r="H40" s="690"/>
      <c r="I40" s="690"/>
      <c r="J40" s="690"/>
      <c r="K40" s="376">
        <v>1</v>
      </c>
      <c r="L40" s="1586"/>
    </row>
    <row r="41" spans="1:12">
      <c r="A41" s="253"/>
      <c r="B41" s="15"/>
      <c r="C41" s="15"/>
      <c r="D41" s="15"/>
      <c r="E41" s="22"/>
      <c r="F41" s="212"/>
      <c r="G41" s="213"/>
      <c r="H41" s="198"/>
      <c r="I41" s="198"/>
      <c r="J41" s="28"/>
      <c r="K41" s="655">
        <v>0.15</v>
      </c>
      <c r="L41" s="149"/>
    </row>
    <row r="42" spans="1:12">
      <c r="A42" s="46"/>
      <c r="B42" s="46"/>
      <c r="C42" s="46"/>
      <c r="D42" s="46"/>
      <c r="E42" s="46"/>
      <c r="F42" s="46"/>
      <c r="G42" s="46"/>
      <c r="H42" s="46"/>
      <c r="I42" s="46"/>
      <c r="J42" s="46"/>
      <c r="K42" s="509"/>
      <c r="L42" s="293"/>
    </row>
    <row r="43" spans="1:12">
      <c r="A43" s="220" t="s">
        <v>73</v>
      </c>
      <c r="B43" s="220" t="s">
        <v>74</v>
      </c>
      <c r="C43" s="200"/>
      <c r="D43" s="200"/>
      <c r="E43" s="217"/>
      <c r="F43" s="1636" t="s">
        <v>72</v>
      </c>
      <c r="G43" s="1637"/>
      <c r="H43" s="1637"/>
      <c r="I43" s="1637"/>
      <c r="J43" s="1638"/>
      <c r="K43" s="27"/>
      <c r="L43" s="293"/>
    </row>
    <row r="44" spans="1:12" ht="18">
      <c r="A44" s="221"/>
      <c r="B44" s="221"/>
      <c r="C44" s="201"/>
      <c r="D44" s="201"/>
      <c r="E44" s="219"/>
      <c r="F44" s="223" t="s">
        <v>23</v>
      </c>
      <c r="G44" s="223" t="s">
        <v>87</v>
      </c>
      <c r="H44" s="223" t="s">
        <v>212</v>
      </c>
      <c r="I44" s="223" t="s">
        <v>80</v>
      </c>
      <c r="J44" s="223" t="s">
        <v>81</v>
      </c>
      <c r="K44" s="27"/>
      <c r="L44" s="293"/>
    </row>
    <row r="45" spans="1:12">
      <c r="A45" s="222"/>
      <c r="B45" s="222"/>
      <c r="C45" s="203"/>
      <c r="D45" s="203"/>
      <c r="E45" s="218"/>
      <c r="F45" s="204" t="s">
        <v>34</v>
      </c>
      <c r="G45" s="204" t="s">
        <v>34</v>
      </c>
      <c r="H45" s="203" t="s">
        <v>34</v>
      </c>
      <c r="I45" s="204" t="s">
        <v>77</v>
      </c>
      <c r="J45" s="204" t="s">
        <v>77</v>
      </c>
      <c r="K45" s="27"/>
      <c r="L45" s="293"/>
    </row>
    <row r="46" spans="1:12">
      <c r="A46" s="202"/>
      <c r="B46" s="200"/>
      <c r="C46" s="200"/>
      <c r="D46" s="200"/>
      <c r="E46" s="217"/>
      <c r="F46" s="205"/>
      <c r="G46" s="205"/>
      <c r="H46" s="201"/>
      <c r="I46" s="205"/>
      <c r="J46" s="205"/>
      <c r="K46" s="27"/>
      <c r="L46" s="293"/>
    </row>
    <row r="47" spans="1:12">
      <c r="A47" s="205" t="str">
        <f>A29</f>
        <v>LC-2</v>
      </c>
      <c r="B47" s="201" t="str">
        <f>B29</f>
        <v>HFL QP, NS LWL DL, SIDL</v>
      </c>
      <c r="C47" s="201"/>
      <c r="D47" s="201"/>
      <c r="E47" s="219"/>
      <c r="F47" s="205">
        <f>SUMPRODUCT(F32:F40,$K$33:$K$41)</f>
        <v>934.87382366472957</v>
      </c>
      <c r="G47" s="219">
        <f>SUMPRODUCT(G32:G40,$K$33:$K$41)</f>
        <v>5.8532000000000011</v>
      </c>
      <c r="H47" s="219">
        <f>SUMPRODUCT(H32:H40,$K$33:$K$41)</f>
        <v>0</v>
      </c>
      <c r="I47" s="219">
        <f>SUMPRODUCT(I32:I40,$K$33:$K$41)</f>
        <v>48.464496000000011</v>
      </c>
      <c r="J47" s="219">
        <f>SUMPRODUCT(J32:J40,$K$33:$K$41)</f>
        <v>0</v>
      </c>
      <c r="K47" s="27"/>
      <c r="L47" s="293"/>
    </row>
    <row r="48" spans="1:12">
      <c r="A48" s="204"/>
      <c r="B48" s="203"/>
      <c r="C48" s="203"/>
      <c r="D48" s="203"/>
      <c r="E48" s="218"/>
      <c r="F48" s="204"/>
      <c r="G48" s="204"/>
      <c r="H48" s="203"/>
      <c r="I48" s="204"/>
      <c r="J48" s="204"/>
      <c r="K48" s="27"/>
      <c r="L48" s="293"/>
    </row>
    <row r="49" spans="1:12">
      <c r="A49" s="1"/>
      <c r="B49" s="1"/>
      <c r="C49" s="1"/>
      <c r="D49" s="1"/>
      <c r="E49" s="1"/>
      <c r="F49" s="1"/>
      <c r="G49" s="1"/>
      <c r="H49" s="1"/>
      <c r="I49" s="1"/>
      <c r="J49" s="1"/>
      <c r="K49" s="27"/>
      <c r="L49" s="26"/>
    </row>
    <row r="50" spans="1:12">
      <c r="A50" s="1"/>
      <c r="B50" s="1"/>
      <c r="C50" s="1"/>
      <c r="D50" s="1"/>
      <c r="E50" s="1"/>
      <c r="F50" s="1"/>
      <c r="G50" s="1"/>
      <c r="H50" s="1"/>
      <c r="I50" s="1"/>
      <c r="J50" s="1"/>
      <c r="K50" s="27"/>
      <c r="L50" s="26"/>
    </row>
    <row r="51" spans="1:12">
      <c r="A51" s="225" t="str">
        <f>K52</f>
        <v>LC-3</v>
      </c>
      <c r="B51" s="24" t="str">
        <f>VLOOKUP(A51,LC_DEF_2!A95:B100,2,FALSE)</f>
        <v>LWL RARE, NS LWL DL, SIDL, LL Max reaction</v>
      </c>
      <c r="C51" s="24"/>
      <c r="D51" s="24"/>
      <c r="E51" s="21"/>
      <c r="F51" s="1599" t="s">
        <v>72</v>
      </c>
      <c r="G51" s="1635"/>
      <c r="H51" s="1635"/>
      <c r="I51" s="1635"/>
      <c r="J51" s="1635"/>
      <c r="K51" s="27"/>
      <c r="L51" s="293"/>
    </row>
    <row r="52" spans="1:12" ht="18">
      <c r="A52" s="25" t="s">
        <v>73</v>
      </c>
      <c r="B52" s="26" t="s">
        <v>74</v>
      </c>
      <c r="C52" s="26"/>
      <c r="D52" s="26"/>
      <c r="E52" s="27"/>
      <c r="F52" s="33" t="s">
        <v>23</v>
      </c>
      <c r="G52" s="33" t="s">
        <v>87</v>
      </c>
      <c r="H52" s="33" t="s">
        <v>212</v>
      </c>
      <c r="I52" s="33" t="s">
        <v>80</v>
      </c>
      <c r="J52" s="30" t="s">
        <v>81</v>
      </c>
      <c r="K52" s="1584" t="s">
        <v>126</v>
      </c>
      <c r="L52" s="422"/>
    </row>
    <row r="53" spans="1:12">
      <c r="A53" s="25"/>
      <c r="B53" s="26"/>
      <c r="C53" s="26"/>
      <c r="D53" s="26"/>
      <c r="E53" s="27"/>
      <c r="F53" s="36" t="s">
        <v>34</v>
      </c>
      <c r="G53" s="36" t="s">
        <v>34</v>
      </c>
      <c r="H53" s="36" t="s">
        <v>34</v>
      </c>
      <c r="I53" s="36" t="s">
        <v>77</v>
      </c>
      <c r="J53" s="23" t="s">
        <v>77</v>
      </c>
      <c r="K53" s="376"/>
      <c r="L53" s="422"/>
    </row>
    <row r="54" spans="1:12">
      <c r="A54" s="25" t="s">
        <v>88</v>
      </c>
      <c r="B54" s="26" t="s">
        <v>75</v>
      </c>
      <c r="C54" s="26"/>
      <c r="D54" s="26"/>
      <c r="E54" s="27"/>
      <c r="F54" s="195">
        <f>SF!F14</f>
        <v>365.08803866482532</v>
      </c>
      <c r="G54" s="210"/>
      <c r="H54" s="34"/>
      <c r="I54" s="195">
        <f>SF!I14</f>
        <v>0</v>
      </c>
      <c r="J54" s="195">
        <f>SF!J14</f>
        <v>0</v>
      </c>
      <c r="K54" s="376"/>
      <c r="L54" s="1586"/>
    </row>
    <row r="55" spans="1:12">
      <c r="A55" s="25" t="s">
        <v>90</v>
      </c>
      <c r="B55" s="26" t="s">
        <v>249</v>
      </c>
      <c r="C55" s="26"/>
      <c r="D55" s="26"/>
      <c r="E55" s="27"/>
      <c r="F55" s="195">
        <f>SF!F16</f>
        <v>36.639026644707663</v>
      </c>
      <c r="G55" s="210"/>
      <c r="H55" s="34"/>
      <c r="I55" s="195">
        <f>SF!I16</f>
        <v>0</v>
      </c>
      <c r="J55" s="195">
        <f>SF!J16</f>
        <v>0</v>
      </c>
      <c r="K55" s="268">
        <v>1</v>
      </c>
      <c r="L55" s="1586"/>
    </row>
    <row r="56" spans="1:12">
      <c r="A56" s="25" t="s">
        <v>250</v>
      </c>
      <c r="B56" s="26" t="s">
        <v>967</v>
      </c>
      <c r="C56" s="26"/>
      <c r="D56" s="26"/>
      <c r="E56" s="27"/>
      <c r="F56" s="195">
        <f>SF!F19</f>
        <v>230</v>
      </c>
      <c r="G56" s="27"/>
      <c r="H56" s="34"/>
      <c r="I56" s="195">
        <f>SF!I19</f>
        <v>-115</v>
      </c>
      <c r="J56" s="195">
        <f>SF!J19</f>
        <v>0</v>
      </c>
      <c r="K56" s="268">
        <v>1</v>
      </c>
      <c r="L56" s="422"/>
    </row>
    <row r="57" spans="1:12">
      <c r="A57" s="25" t="s">
        <v>251</v>
      </c>
      <c r="B57" s="26" t="s">
        <v>968</v>
      </c>
      <c r="C57" s="26"/>
      <c r="D57" s="26"/>
      <c r="E57" s="27"/>
      <c r="F57" s="195">
        <f>SF!F20</f>
        <v>20.660000000000004</v>
      </c>
      <c r="G57" s="27"/>
      <c r="H57" s="34"/>
      <c r="I57" s="195">
        <f>SF!I20</f>
        <v>-10.330000000000002</v>
      </c>
      <c r="J57" s="195">
        <f>SF!J20</f>
        <v>0</v>
      </c>
      <c r="K57" s="376">
        <v>1</v>
      </c>
      <c r="L57" s="422"/>
    </row>
    <row r="58" spans="1:12">
      <c r="A58" s="25" t="s">
        <v>97</v>
      </c>
      <c r="B58" s="26" t="s">
        <v>969</v>
      </c>
      <c r="C58" s="26"/>
      <c r="D58" s="26"/>
      <c r="E58" s="27"/>
      <c r="F58" s="195">
        <f>SF!F21</f>
        <v>42</v>
      </c>
      <c r="G58" s="27"/>
      <c r="H58" s="34"/>
      <c r="I58" s="195">
        <f>SF!I21</f>
        <v>-14.858499999999999</v>
      </c>
      <c r="J58" s="195">
        <f>SF!J21</f>
        <v>0</v>
      </c>
      <c r="K58" s="376">
        <v>1</v>
      </c>
      <c r="L58" s="422"/>
    </row>
    <row r="59" spans="1:12">
      <c r="A59" s="25" t="s">
        <v>250</v>
      </c>
      <c r="B59" s="26" t="s">
        <v>970</v>
      </c>
      <c r="C59" s="26"/>
      <c r="D59" s="26"/>
      <c r="E59" s="27"/>
      <c r="F59" s="195">
        <f>SF!F23</f>
        <v>230</v>
      </c>
      <c r="G59" s="27"/>
      <c r="H59" s="34"/>
      <c r="I59" s="195">
        <f>SF!I23</f>
        <v>115</v>
      </c>
      <c r="J59" s="195">
        <f>SF!J23</f>
        <v>0</v>
      </c>
      <c r="K59" s="376">
        <v>1</v>
      </c>
      <c r="L59" s="422"/>
    </row>
    <row r="60" spans="1:12">
      <c r="A60" s="25" t="s">
        <v>251</v>
      </c>
      <c r="B60" s="26" t="s">
        <v>971</v>
      </c>
      <c r="C60" s="26"/>
      <c r="D60" s="26"/>
      <c r="E60" s="27"/>
      <c r="F60" s="195">
        <f>SF!F24</f>
        <v>20.660000000000004</v>
      </c>
      <c r="G60" s="27"/>
      <c r="H60" s="34"/>
      <c r="I60" s="195">
        <f>SF!I24</f>
        <v>10.330000000000002</v>
      </c>
      <c r="J60" s="195">
        <f>SF!J24</f>
        <v>0</v>
      </c>
      <c r="K60" s="376">
        <v>1</v>
      </c>
      <c r="L60" s="1586"/>
    </row>
    <row r="61" spans="1:12">
      <c r="A61" s="25" t="s">
        <v>97</v>
      </c>
      <c r="B61" s="26" t="s">
        <v>972</v>
      </c>
      <c r="C61" s="26"/>
      <c r="D61" s="26"/>
      <c r="E61" s="27"/>
      <c r="F61" s="195">
        <f>SF!F25</f>
        <v>42</v>
      </c>
      <c r="G61" s="27"/>
      <c r="H61" s="34"/>
      <c r="I61" s="195">
        <f>SF!I25</f>
        <v>14.858499999999999</v>
      </c>
      <c r="J61" s="195">
        <f>SF!J25</f>
        <v>0</v>
      </c>
      <c r="K61" s="268">
        <v>1</v>
      </c>
      <c r="L61" s="422"/>
    </row>
    <row r="62" spans="1:12">
      <c r="A62" s="25" t="s">
        <v>976</v>
      </c>
      <c r="B62" s="26" t="s">
        <v>978</v>
      </c>
      <c r="C62" s="26"/>
      <c r="D62" s="26"/>
      <c r="E62" s="27"/>
      <c r="F62" s="195">
        <f>SF!F29</f>
        <v>65.160399999999996</v>
      </c>
      <c r="G62" s="27"/>
      <c r="H62" s="34"/>
      <c r="I62" s="195">
        <f>SF!I29</f>
        <v>-32.580199999999998</v>
      </c>
      <c r="J62" s="195">
        <f>SF!J29</f>
        <v>-10.105732306306301</v>
      </c>
      <c r="K62" s="376">
        <v>1</v>
      </c>
      <c r="L62" s="422"/>
    </row>
    <row r="63" spans="1:12">
      <c r="A63" s="25" t="s">
        <v>977</v>
      </c>
      <c r="B63" s="26" t="s">
        <v>979</v>
      </c>
      <c r="C63" s="26"/>
      <c r="D63" s="26"/>
      <c r="E63" s="27"/>
      <c r="F63" s="195">
        <f>SF!F30</f>
        <v>75.185314285714313</v>
      </c>
      <c r="G63" s="27"/>
      <c r="H63" s="34"/>
      <c r="I63" s="195">
        <f>SF!I30</f>
        <v>37.592657142857156</v>
      </c>
      <c r="J63" s="195">
        <f>SF!J30</f>
        <v>-11.660497166023164</v>
      </c>
      <c r="K63" s="823">
        <v>1</v>
      </c>
      <c r="L63" s="1587"/>
    </row>
    <row r="64" spans="1:12">
      <c r="A64" s="25" t="s">
        <v>984</v>
      </c>
      <c r="B64" s="163" t="s">
        <v>951</v>
      </c>
      <c r="C64" s="26"/>
      <c r="D64" s="26"/>
      <c r="E64" s="27"/>
      <c r="F64" s="34"/>
      <c r="G64" s="195">
        <f>SF!G38</f>
        <v>32.051277714285717</v>
      </c>
      <c r="H64" s="34"/>
      <c r="I64" s="195">
        <f>SF!I38</f>
        <v>265.38457947428577</v>
      </c>
      <c r="J64" s="34"/>
      <c r="K64" s="823">
        <v>1</v>
      </c>
      <c r="L64" s="1586"/>
    </row>
    <row r="65" spans="1:12">
      <c r="A65" s="253"/>
      <c r="B65" s="15"/>
      <c r="C65" s="15"/>
      <c r="D65" s="15"/>
      <c r="E65" s="22"/>
      <c r="F65" s="212"/>
      <c r="G65" s="213"/>
      <c r="H65" s="198"/>
      <c r="I65" s="198"/>
      <c r="J65" s="28"/>
      <c r="K65" s="376">
        <v>1</v>
      </c>
      <c r="L65" s="149"/>
    </row>
    <row r="66" spans="1:12">
      <c r="A66" s="46"/>
      <c r="B66" s="46"/>
      <c r="C66" s="46"/>
      <c r="D66" s="46"/>
      <c r="E66" s="46"/>
      <c r="F66" s="46"/>
      <c r="G66" s="46"/>
      <c r="H66" s="46"/>
      <c r="I66" s="46"/>
      <c r="J66" s="46"/>
      <c r="K66" s="509"/>
      <c r="L66" s="293"/>
    </row>
    <row r="67" spans="1:12">
      <c r="A67" s="220" t="s">
        <v>73</v>
      </c>
      <c r="B67" s="220" t="s">
        <v>74</v>
      </c>
      <c r="C67" s="200"/>
      <c r="D67" s="200"/>
      <c r="E67" s="217"/>
      <c r="F67" s="1636" t="s">
        <v>72</v>
      </c>
      <c r="G67" s="1637"/>
      <c r="H67" s="1637"/>
      <c r="I67" s="1637"/>
      <c r="J67" s="1638"/>
      <c r="K67" s="27"/>
      <c r="L67" s="293"/>
    </row>
    <row r="68" spans="1:12" ht="18">
      <c r="A68" s="221"/>
      <c r="B68" s="221"/>
      <c r="C68" s="201"/>
      <c r="D68" s="201"/>
      <c r="E68" s="219"/>
      <c r="F68" s="223" t="s">
        <v>23</v>
      </c>
      <c r="G68" s="223" t="s">
        <v>87</v>
      </c>
      <c r="H68" s="223" t="s">
        <v>212</v>
      </c>
      <c r="I68" s="223" t="s">
        <v>80</v>
      </c>
      <c r="J68" s="223" t="s">
        <v>81</v>
      </c>
      <c r="K68" s="27"/>
      <c r="L68" s="293"/>
    </row>
    <row r="69" spans="1:12">
      <c r="A69" s="222"/>
      <c r="B69" s="222"/>
      <c r="C69" s="203"/>
      <c r="D69" s="203"/>
      <c r="E69" s="218"/>
      <c r="F69" s="204" t="s">
        <v>34</v>
      </c>
      <c r="G69" s="204" t="s">
        <v>34</v>
      </c>
      <c r="H69" s="203" t="s">
        <v>34</v>
      </c>
      <c r="I69" s="204" t="s">
        <v>77</v>
      </c>
      <c r="J69" s="204" t="s">
        <v>77</v>
      </c>
      <c r="K69" s="27"/>
      <c r="L69" s="293"/>
    </row>
    <row r="70" spans="1:12">
      <c r="A70" s="202"/>
      <c r="B70" s="200"/>
      <c r="C70" s="200"/>
      <c r="D70" s="200"/>
      <c r="E70" s="217"/>
      <c r="F70" s="205"/>
      <c r="G70" s="205"/>
      <c r="H70" s="201"/>
      <c r="I70" s="205"/>
      <c r="J70" s="205"/>
      <c r="K70" s="27"/>
      <c r="L70" s="293"/>
    </row>
    <row r="71" spans="1:12">
      <c r="A71" s="205" t="str">
        <f>A51</f>
        <v>LC-3</v>
      </c>
      <c r="B71" s="201" t="str">
        <f>B51</f>
        <v>LWL RARE, NS LWL DL, SIDL, LL Max reaction</v>
      </c>
      <c r="C71" s="201"/>
      <c r="D71" s="201"/>
      <c r="E71" s="219"/>
      <c r="F71" s="205">
        <f>SUMPRODUCT(F54:F64,$K$55:$K$65)</f>
        <v>1127.3927795952472</v>
      </c>
      <c r="G71" s="219">
        <f>SUMPRODUCT(G54:G64,$K$55:$K$65)</f>
        <v>32.051277714285717</v>
      </c>
      <c r="H71" s="219">
        <f>SUMPRODUCT(H54:H64,$K$55:$K$65)</f>
        <v>0</v>
      </c>
      <c r="I71" s="219">
        <f>SUMPRODUCT(I54:I64,$K$55:$K$65)</f>
        <v>270.39703661714293</v>
      </c>
      <c r="J71" s="219">
        <f>SUMPRODUCT(J54:J64,$K$55:$K$65)</f>
        <v>-21.766229472329464</v>
      </c>
      <c r="K71" s="27"/>
      <c r="L71" s="293"/>
    </row>
    <row r="72" spans="1:12">
      <c r="A72" s="204"/>
      <c r="B72" s="203"/>
      <c r="C72" s="203"/>
      <c r="D72" s="203"/>
      <c r="E72" s="218"/>
      <c r="F72" s="204"/>
      <c r="G72" s="204"/>
      <c r="H72" s="203"/>
      <c r="I72" s="204"/>
      <c r="J72" s="204"/>
      <c r="K72" s="27"/>
      <c r="L72" s="293"/>
    </row>
    <row r="73" spans="1:12">
      <c r="A73" s="1"/>
      <c r="B73" s="1"/>
      <c r="C73" s="1"/>
      <c r="D73" s="1"/>
      <c r="E73" s="1"/>
      <c r="F73" s="1"/>
      <c r="G73" s="1"/>
      <c r="H73" s="1"/>
      <c r="I73" s="1"/>
      <c r="J73" s="1"/>
      <c r="K73" s="27"/>
      <c r="L73" s="26"/>
    </row>
    <row r="74" spans="1:12">
      <c r="A74" s="1"/>
      <c r="B74" s="1"/>
      <c r="C74" s="1"/>
      <c r="D74" s="1"/>
      <c r="E74" s="1"/>
      <c r="F74" s="1"/>
      <c r="G74" s="1"/>
      <c r="H74" s="1"/>
      <c r="I74" s="1"/>
      <c r="J74" s="1"/>
      <c r="K74" s="27"/>
      <c r="L74" s="26"/>
    </row>
    <row r="75" spans="1:12">
      <c r="A75" s="225" t="str">
        <f>K76</f>
        <v>LC-4</v>
      </c>
      <c r="B75" s="24" t="str">
        <f>VLOOKUP(A75,LC_DEF_2!A95:B100,2,FALSE)</f>
        <v>LWL RARE, NS LWL DL, SIDL, LL Max Long. Moment</v>
      </c>
      <c r="C75" s="24"/>
      <c r="D75" s="24"/>
      <c r="E75" s="21"/>
      <c r="F75" s="1599" t="s">
        <v>72</v>
      </c>
      <c r="G75" s="1635"/>
      <c r="H75" s="1635"/>
      <c r="I75" s="1635"/>
      <c r="J75" s="1635"/>
      <c r="K75" s="27"/>
      <c r="L75" s="293"/>
    </row>
    <row r="76" spans="1:12" ht="18">
      <c r="A76" s="25" t="s">
        <v>73</v>
      </c>
      <c r="B76" s="26" t="s">
        <v>74</v>
      </c>
      <c r="C76" s="26"/>
      <c r="D76" s="26"/>
      <c r="E76" s="27"/>
      <c r="F76" s="33" t="s">
        <v>23</v>
      </c>
      <c r="G76" s="33" t="s">
        <v>87</v>
      </c>
      <c r="H76" s="33" t="s">
        <v>212</v>
      </c>
      <c r="I76" s="33" t="s">
        <v>80</v>
      </c>
      <c r="J76" s="30" t="s">
        <v>81</v>
      </c>
      <c r="K76" s="1584" t="s">
        <v>214</v>
      </c>
      <c r="L76" s="422"/>
    </row>
    <row r="77" spans="1:12">
      <c r="A77" s="25"/>
      <c r="B77" s="26"/>
      <c r="C77" s="26"/>
      <c r="D77" s="26"/>
      <c r="E77" s="27"/>
      <c r="F77" s="36" t="s">
        <v>34</v>
      </c>
      <c r="G77" s="36" t="s">
        <v>34</v>
      </c>
      <c r="H77" s="36" t="s">
        <v>34</v>
      </c>
      <c r="I77" s="36" t="s">
        <v>77</v>
      </c>
      <c r="J77" s="23" t="s">
        <v>77</v>
      </c>
      <c r="K77" s="495"/>
      <c r="L77" s="422"/>
    </row>
    <row r="78" spans="1:12">
      <c r="A78" s="25" t="s">
        <v>88</v>
      </c>
      <c r="B78" s="26" t="s">
        <v>75</v>
      </c>
      <c r="C78" s="26"/>
      <c r="D78" s="26"/>
      <c r="E78" s="27"/>
      <c r="F78" s="195">
        <f>SF!F14</f>
        <v>365.08803866482532</v>
      </c>
      <c r="G78" s="210"/>
      <c r="H78" s="34"/>
      <c r="I78" s="195">
        <f>SF!I14</f>
        <v>0</v>
      </c>
      <c r="J78" s="195">
        <f>SF!J14</f>
        <v>0</v>
      </c>
      <c r="K78" s="376"/>
      <c r="L78" s="1586"/>
    </row>
    <row r="79" spans="1:12">
      <c r="A79" s="25" t="s">
        <v>90</v>
      </c>
      <c r="B79" s="26" t="s">
        <v>249</v>
      </c>
      <c r="C79" s="26"/>
      <c r="D79" s="26"/>
      <c r="E79" s="27"/>
      <c r="F79" s="195">
        <f>SF!F16</f>
        <v>36.639026644707663</v>
      </c>
      <c r="G79" s="210"/>
      <c r="H79" s="34"/>
      <c r="I79" s="195">
        <f>SF!I16</f>
        <v>0</v>
      </c>
      <c r="J79" s="195">
        <f>SF!J16</f>
        <v>0</v>
      </c>
      <c r="K79" s="268">
        <v>1</v>
      </c>
      <c r="L79" s="1586"/>
    </row>
    <row r="80" spans="1:12">
      <c r="A80" s="25" t="s">
        <v>250</v>
      </c>
      <c r="B80" s="26" t="s">
        <v>967</v>
      </c>
      <c r="C80" s="26"/>
      <c r="D80" s="26"/>
      <c r="E80" s="27"/>
      <c r="F80" s="195">
        <f>SF!F19</f>
        <v>230</v>
      </c>
      <c r="G80" s="27"/>
      <c r="H80" s="34"/>
      <c r="I80" s="195">
        <f>SF!I19</f>
        <v>-115</v>
      </c>
      <c r="J80" s="195">
        <f>SF!J19</f>
        <v>0</v>
      </c>
      <c r="K80" s="268">
        <v>1</v>
      </c>
      <c r="L80" s="422"/>
    </row>
    <row r="81" spans="1:12">
      <c r="A81" s="25" t="s">
        <v>251</v>
      </c>
      <c r="B81" s="26" t="s">
        <v>968</v>
      </c>
      <c r="C81" s="26"/>
      <c r="D81" s="26"/>
      <c r="E81" s="27"/>
      <c r="F81" s="195">
        <f>SF!F20</f>
        <v>20.660000000000004</v>
      </c>
      <c r="G81" s="27"/>
      <c r="H81" s="34"/>
      <c r="I81" s="195">
        <f>SF!I20</f>
        <v>-10.330000000000002</v>
      </c>
      <c r="J81" s="195">
        <f>SF!J20</f>
        <v>0</v>
      </c>
      <c r="K81" s="376">
        <v>1</v>
      </c>
      <c r="L81" s="422"/>
    </row>
    <row r="82" spans="1:12">
      <c r="A82" s="25" t="s">
        <v>97</v>
      </c>
      <c r="B82" s="26" t="s">
        <v>969</v>
      </c>
      <c r="C82" s="26"/>
      <c r="D82" s="26"/>
      <c r="E82" s="27"/>
      <c r="F82" s="195">
        <f>SF!F21</f>
        <v>42</v>
      </c>
      <c r="G82" s="27"/>
      <c r="H82" s="34"/>
      <c r="I82" s="195">
        <f>SF!I21</f>
        <v>-14.858499999999999</v>
      </c>
      <c r="J82" s="195">
        <f>SF!J21</f>
        <v>0</v>
      </c>
      <c r="K82" s="376">
        <v>1</v>
      </c>
      <c r="L82" s="422"/>
    </row>
    <row r="83" spans="1:12">
      <c r="A83" s="25" t="s">
        <v>250</v>
      </c>
      <c r="B83" s="26" t="s">
        <v>970</v>
      </c>
      <c r="C83" s="26"/>
      <c r="D83" s="26"/>
      <c r="E83" s="27"/>
      <c r="F83" s="195">
        <f>SF!F23</f>
        <v>230</v>
      </c>
      <c r="G83" s="27"/>
      <c r="H83" s="34"/>
      <c r="I83" s="195">
        <f>SF!I23</f>
        <v>115</v>
      </c>
      <c r="J83" s="195">
        <f>SF!J23</f>
        <v>0</v>
      </c>
      <c r="K83" s="376">
        <v>1</v>
      </c>
      <c r="L83" s="422"/>
    </row>
    <row r="84" spans="1:12">
      <c r="A84" s="25" t="s">
        <v>251</v>
      </c>
      <c r="B84" s="26" t="s">
        <v>971</v>
      </c>
      <c r="C84" s="26"/>
      <c r="D84" s="26"/>
      <c r="E84" s="27"/>
      <c r="F84" s="195">
        <f>SF!F24</f>
        <v>20.660000000000004</v>
      </c>
      <c r="G84" s="27"/>
      <c r="H84" s="34"/>
      <c r="I84" s="195">
        <f>SF!I24</f>
        <v>10.330000000000002</v>
      </c>
      <c r="J84" s="195">
        <f>SF!J24</f>
        <v>0</v>
      </c>
      <c r="K84" s="376">
        <v>1</v>
      </c>
      <c r="L84" s="1586"/>
    </row>
    <row r="85" spans="1:12">
      <c r="A85" s="25" t="s">
        <v>97</v>
      </c>
      <c r="B85" s="26" t="s">
        <v>972</v>
      </c>
      <c r="C85" s="26"/>
      <c r="D85" s="26"/>
      <c r="E85" s="27"/>
      <c r="F85" s="195">
        <f>SF!F25</f>
        <v>42</v>
      </c>
      <c r="G85" s="27"/>
      <c r="H85" s="34"/>
      <c r="I85" s="195">
        <f>SF!I25</f>
        <v>14.858499999999999</v>
      </c>
      <c r="J85" s="195">
        <f>SF!J25</f>
        <v>0</v>
      </c>
      <c r="K85" s="268">
        <v>1</v>
      </c>
      <c r="L85" s="422"/>
    </row>
    <row r="86" spans="1:12">
      <c r="A86" s="25" t="s">
        <v>976</v>
      </c>
      <c r="B86" s="26" t="s">
        <v>981</v>
      </c>
      <c r="C86" s="26"/>
      <c r="D86" s="26"/>
      <c r="E86" s="27"/>
      <c r="F86" s="195">
        <f>SF!F33</f>
        <v>0</v>
      </c>
      <c r="G86" s="27"/>
      <c r="H86" s="34"/>
      <c r="I86" s="195">
        <f>SF!I33</f>
        <v>0</v>
      </c>
      <c r="J86" s="195">
        <f>SF!J33</f>
        <v>0</v>
      </c>
      <c r="K86" s="376">
        <v>1</v>
      </c>
      <c r="L86" s="1586"/>
    </row>
    <row r="87" spans="1:12">
      <c r="A87" s="25" t="s">
        <v>977</v>
      </c>
      <c r="B87" s="26" t="s">
        <v>982</v>
      </c>
      <c r="C87" s="26"/>
      <c r="D87" s="26"/>
      <c r="E87" s="27"/>
      <c r="F87" s="195">
        <f>SF!F34</f>
        <v>127.89948571428575</v>
      </c>
      <c r="G87" s="27"/>
      <c r="H87" s="34"/>
      <c r="I87" s="195">
        <f>SF!I34</f>
        <v>63.949742857142873</v>
      </c>
      <c r="J87" s="195">
        <f>SF!J34</f>
        <v>-19.835942761904757</v>
      </c>
      <c r="K87" s="823">
        <v>1</v>
      </c>
      <c r="L87" s="1586"/>
    </row>
    <row r="88" spans="1:12">
      <c r="A88" s="25" t="s">
        <v>985</v>
      </c>
      <c r="B88" s="163" t="s">
        <v>953</v>
      </c>
      <c r="C88" s="26"/>
      <c r="D88" s="26"/>
      <c r="E88" s="27"/>
      <c r="F88" s="34"/>
      <c r="G88" s="195">
        <f>SF!G39</f>
        <v>29.998225714285713</v>
      </c>
      <c r="H88" s="34"/>
      <c r="I88" s="195">
        <f>SF!I39</f>
        <v>248.38530891428573</v>
      </c>
      <c r="J88" s="34"/>
      <c r="K88" s="268">
        <v>1</v>
      </c>
      <c r="L88" s="1586"/>
    </row>
    <row r="89" spans="1:12">
      <c r="A89" s="253"/>
      <c r="B89" s="15"/>
      <c r="C89" s="15"/>
      <c r="D89" s="15"/>
      <c r="E89" s="22"/>
      <c r="F89" s="212"/>
      <c r="G89" s="213"/>
      <c r="H89" s="198"/>
      <c r="I89" s="198"/>
      <c r="J89" s="28"/>
      <c r="K89" s="376">
        <v>1</v>
      </c>
      <c r="L89" s="149"/>
    </row>
    <row r="90" spans="1:12">
      <c r="A90" s="46"/>
      <c r="B90" s="46"/>
      <c r="C90" s="46"/>
      <c r="D90" s="46"/>
      <c r="E90" s="46"/>
      <c r="F90" s="46"/>
      <c r="G90" s="46"/>
      <c r="H90" s="46"/>
      <c r="I90" s="46"/>
      <c r="J90" s="46"/>
      <c r="K90" s="509"/>
      <c r="L90" s="293"/>
    </row>
    <row r="91" spans="1:12">
      <c r="A91" s="220" t="s">
        <v>73</v>
      </c>
      <c r="B91" s="220" t="s">
        <v>74</v>
      </c>
      <c r="C91" s="200"/>
      <c r="D91" s="200"/>
      <c r="E91" s="217"/>
      <c r="F91" s="1636" t="s">
        <v>72</v>
      </c>
      <c r="G91" s="1637"/>
      <c r="H91" s="1637"/>
      <c r="I91" s="1637"/>
      <c r="J91" s="1638"/>
      <c r="K91" s="27"/>
      <c r="L91" s="293"/>
    </row>
    <row r="92" spans="1:12" ht="18">
      <c r="A92" s="221"/>
      <c r="B92" s="221"/>
      <c r="C92" s="201"/>
      <c r="D92" s="201"/>
      <c r="E92" s="219"/>
      <c r="F92" s="223" t="s">
        <v>23</v>
      </c>
      <c r="G92" s="223" t="s">
        <v>87</v>
      </c>
      <c r="H92" s="223" t="s">
        <v>212</v>
      </c>
      <c r="I92" s="223" t="s">
        <v>80</v>
      </c>
      <c r="J92" s="223" t="s">
        <v>81</v>
      </c>
      <c r="K92" s="27"/>
      <c r="L92" s="293"/>
    </row>
    <row r="93" spans="1:12">
      <c r="A93" s="222"/>
      <c r="B93" s="222"/>
      <c r="C93" s="203"/>
      <c r="D93" s="203"/>
      <c r="E93" s="218"/>
      <c r="F93" s="204" t="s">
        <v>34</v>
      </c>
      <c r="G93" s="204" t="s">
        <v>34</v>
      </c>
      <c r="H93" s="203" t="s">
        <v>34</v>
      </c>
      <c r="I93" s="204" t="s">
        <v>77</v>
      </c>
      <c r="J93" s="204" t="s">
        <v>77</v>
      </c>
      <c r="K93" s="27"/>
      <c r="L93" s="293"/>
    </row>
    <row r="94" spans="1:12">
      <c r="A94" s="202"/>
      <c r="B94" s="200"/>
      <c r="C94" s="200"/>
      <c r="D94" s="200"/>
      <c r="E94" s="217"/>
      <c r="F94" s="205"/>
      <c r="G94" s="205"/>
      <c r="H94" s="201"/>
      <c r="I94" s="205"/>
      <c r="J94" s="205"/>
      <c r="K94" s="27"/>
      <c r="L94" s="293"/>
    </row>
    <row r="95" spans="1:12">
      <c r="A95" s="205" t="str">
        <f>A75</f>
        <v>LC-4</v>
      </c>
      <c r="B95" s="201" t="str">
        <f>B75</f>
        <v>LWL RARE, NS LWL DL, SIDL, LL Max Long. Moment</v>
      </c>
      <c r="C95" s="201"/>
      <c r="D95" s="201"/>
      <c r="E95" s="219"/>
      <c r="F95" s="205">
        <f>SUMPRODUCT(F78:F88,$K$79:$K$89)</f>
        <v>1114.9465510238185</v>
      </c>
      <c r="G95" s="219">
        <f>SUMPRODUCT(G78:G88,$K$79:$K$89)</f>
        <v>29.998225714285713</v>
      </c>
      <c r="H95" s="219">
        <f>SUMPRODUCT(H78:H88,$K$79:$K$89)</f>
        <v>0</v>
      </c>
      <c r="I95" s="219">
        <f>SUMPRODUCT(I78:I88,$K$79:$K$89)</f>
        <v>312.3350517714286</v>
      </c>
      <c r="J95" s="219">
        <f>SUMPRODUCT(J78:J88,$K$79:$K$89)</f>
        <v>-19.835942761904757</v>
      </c>
      <c r="K95" s="27"/>
      <c r="L95" s="293"/>
    </row>
    <row r="96" spans="1:12">
      <c r="A96" s="204"/>
      <c r="B96" s="203"/>
      <c r="C96" s="203"/>
      <c r="D96" s="203"/>
      <c r="E96" s="218"/>
      <c r="F96" s="204"/>
      <c r="G96" s="204"/>
      <c r="H96" s="203"/>
      <c r="I96" s="204"/>
      <c r="J96" s="204"/>
      <c r="K96" s="27"/>
      <c r="L96" s="293"/>
    </row>
    <row r="97" spans="1:12">
      <c r="A97" s="1"/>
      <c r="B97" s="1"/>
      <c r="C97" s="1"/>
      <c r="D97" s="1"/>
      <c r="E97" s="1"/>
      <c r="F97" s="1"/>
      <c r="G97" s="1"/>
      <c r="H97" s="1"/>
      <c r="I97" s="1"/>
      <c r="J97" s="1"/>
      <c r="K97" s="27"/>
      <c r="L97" s="26"/>
    </row>
    <row r="98" spans="1:12">
      <c r="A98" s="1"/>
      <c r="B98" s="1"/>
      <c r="C98" s="1"/>
      <c r="D98" s="1"/>
      <c r="E98" s="1"/>
      <c r="F98" s="1"/>
      <c r="G98" s="1"/>
      <c r="H98" s="1"/>
      <c r="I98" s="1"/>
      <c r="J98" s="1"/>
      <c r="K98" s="27"/>
      <c r="L98" s="26"/>
    </row>
    <row r="99" spans="1:12">
      <c r="A99" s="225" t="str">
        <f>K100</f>
        <v>LC-5</v>
      </c>
      <c r="B99" s="24" t="str">
        <f>VLOOKUP(A99,LC_DEF_2!A95:B100,2,FALSE)</f>
        <v>HFL RARE, NS LWL DL, SIDL, LL Max reaction</v>
      </c>
      <c r="C99" s="24"/>
      <c r="D99" s="24"/>
      <c r="E99" s="21"/>
      <c r="F99" s="1599" t="s">
        <v>72</v>
      </c>
      <c r="G99" s="1635"/>
      <c r="H99" s="1635"/>
      <c r="I99" s="1635"/>
      <c r="J99" s="1635"/>
      <c r="K99" s="27"/>
      <c r="L99" s="293"/>
    </row>
    <row r="100" spans="1:12" ht="18">
      <c r="A100" s="25" t="s">
        <v>73</v>
      </c>
      <c r="B100" s="26" t="s">
        <v>74</v>
      </c>
      <c r="C100" s="26"/>
      <c r="D100" s="26"/>
      <c r="E100" s="27"/>
      <c r="F100" s="33" t="s">
        <v>23</v>
      </c>
      <c r="G100" s="33" t="s">
        <v>87</v>
      </c>
      <c r="H100" s="33" t="s">
        <v>212</v>
      </c>
      <c r="I100" s="33" t="s">
        <v>80</v>
      </c>
      <c r="J100" s="30" t="s">
        <v>81</v>
      </c>
      <c r="K100" s="1584" t="s">
        <v>215</v>
      </c>
      <c r="L100" s="422"/>
    </row>
    <row r="101" spans="1:12">
      <c r="A101" s="25"/>
      <c r="B101" s="26"/>
      <c r="C101" s="26"/>
      <c r="D101" s="26"/>
      <c r="E101" s="27"/>
      <c r="F101" s="36" t="s">
        <v>34</v>
      </c>
      <c r="G101" s="36" t="s">
        <v>34</v>
      </c>
      <c r="H101" s="36" t="s">
        <v>34</v>
      </c>
      <c r="I101" s="36" t="s">
        <v>77</v>
      </c>
      <c r="J101" s="23" t="s">
        <v>77</v>
      </c>
      <c r="K101" s="495"/>
      <c r="L101" s="422"/>
    </row>
    <row r="102" spans="1:12">
      <c r="A102" s="25" t="s">
        <v>88</v>
      </c>
      <c r="B102" s="26" t="s">
        <v>75</v>
      </c>
      <c r="C102" s="26"/>
      <c r="D102" s="26"/>
      <c r="E102" s="27"/>
      <c r="F102" s="195">
        <f>SF!F14</f>
        <v>365.08803866482532</v>
      </c>
      <c r="G102" s="210"/>
      <c r="H102" s="34"/>
      <c r="I102" s="195">
        <f>SF!I14</f>
        <v>0</v>
      </c>
      <c r="J102" s="195">
        <f>SF!J14</f>
        <v>0</v>
      </c>
      <c r="K102" s="376"/>
      <c r="L102" s="1586"/>
    </row>
    <row r="103" spans="1:12">
      <c r="A103" s="25" t="s">
        <v>250</v>
      </c>
      <c r="B103" s="26" t="s">
        <v>967</v>
      </c>
      <c r="C103" s="26"/>
      <c r="D103" s="26"/>
      <c r="E103" s="27"/>
      <c r="F103" s="195">
        <f>SF!F19</f>
        <v>230</v>
      </c>
      <c r="G103" s="27"/>
      <c r="H103" s="34"/>
      <c r="I103" s="195">
        <f>SF!I19</f>
        <v>-115</v>
      </c>
      <c r="J103" s="195">
        <f>SF!J19</f>
        <v>0</v>
      </c>
      <c r="K103" s="268">
        <v>1</v>
      </c>
      <c r="L103" s="422"/>
    </row>
    <row r="104" spans="1:12">
      <c r="A104" s="25" t="s">
        <v>251</v>
      </c>
      <c r="B104" s="26" t="s">
        <v>968</v>
      </c>
      <c r="C104" s="26"/>
      <c r="D104" s="26"/>
      <c r="E104" s="27"/>
      <c r="F104" s="195">
        <f>SF!F20</f>
        <v>20.660000000000004</v>
      </c>
      <c r="G104" s="27"/>
      <c r="H104" s="34"/>
      <c r="I104" s="195">
        <f>SF!I20</f>
        <v>-10.330000000000002</v>
      </c>
      <c r="J104" s="195">
        <f>SF!J20</f>
        <v>0</v>
      </c>
      <c r="K104" s="376">
        <v>1</v>
      </c>
      <c r="L104" s="422"/>
    </row>
    <row r="105" spans="1:12">
      <c r="A105" s="25" t="s">
        <v>97</v>
      </c>
      <c r="B105" s="26" t="s">
        <v>969</v>
      </c>
      <c r="C105" s="26"/>
      <c r="D105" s="26"/>
      <c r="E105" s="27"/>
      <c r="F105" s="195">
        <f>SF!F21</f>
        <v>42</v>
      </c>
      <c r="G105" s="27"/>
      <c r="H105" s="34"/>
      <c r="I105" s="195">
        <f>SF!I21</f>
        <v>-14.858499999999999</v>
      </c>
      <c r="J105" s="195">
        <f>SF!J21</f>
        <v>0</v>
      </c>
      <c r="K105" s="376">
        <v>1</v>
      </c>
      <c r="L105" s="422"/>
    </row>
    <row r="106" spans="1:12">
      <c r="A106" s="25" t="s">
        <v>250</v>
      </c>
      <c r="B106" s="26" t="s">
        <v>970</v>
      </c>
      <c r="C106" s="26"/>
      <c r="D106" s="26"/>
      <c r="E106" s="27"/>
      <c r="F106" s="195">
        <f>SF!F23</f>
        <v>230</v>
      </c>
      <c r="G106" s="27"/>
      <c r="H106" s="34"/>
      <c r="I106" s="195">
        <f>SF!I23</f>
        <v>115</v>
      </c>
      <c r="J106" s="195">
        <f>SF!J23</f>
        <v>0</v>
      </c>
      <c r="K106" s="376">
        <v>1</v>
      </c>
      <c r="L106" s="422"/>
    </row>
    <row r="107" spans="1:12">
      <c r="A107" s="25" t="s">
        <v>251</v>
      </c>
      <c r="B107" s="26" t="s">
        <v>971</v>
      </c>
      <c r="C107" s="26"/>
      <c r="D107" s="26"/>
      <c r="E107" s="27"/>
      <c r="F107" s="195">
        <f>SF!F24</f>
        <v>20.660000000000004</v>
      </c>
      <c r="G107" s="27"/>
      <c r="H107" s="34"/>
      <c r="I107" s="195">
        <f>SF!I24</f>
        <v>10.330000000000002</v>
      </c>
      <c r="J107" s="195">
        <f>SF!J24</f>
        <v>0</v>
      </c>
      <c r="K107" s="376">
        <v>1</v>
      </c>
      <c r="L107" s="1586"/>
    </row>
    <row r="108" spans="1:12">
      <c r="A108" s="25" t="s">
        <v>97</v>
      </c>
      <c r="B108" s="26" t="s">
        <v>972</v>
      </c>
      <c r="C108" s="26"/>
      <c r="D108" s="26"/>
      <c r="E108" s="27"/>
      <c r="F108" s="195">
        <f>SF!F25</f>
        <v>42</v>
      </c>
      <c r="G108" s="27"/>
      <c r="H108" s="34"/>
      <c r="I108" s="195">
        <f>SF!I25</f>
        <v>14.858499999999999</v>
      </c>
      <c r="J108" s="195">
        <f>SF!J25</f>
        <v>0</v>
      </c>
      <c r="K108" s="268">
        <v>1</v>
      </c>
      <c r="L108" s="422"/>
    </row>
    <row r="109" spans="1:12">
      <c r="A109" s="25" t="s">
        <v>976</v>
      </c>
      <c r="B109" s="26" t="s">
        <v>978</v>
      </c>
      <c r="C109" s="26"/>
      <c r="D109" s="26"/>
      <c r="E109" s="27"/>
      <c r="F109" s="195">
        <f>SF!F29</f>
        <v>65.160399999999996</v>
      </c>
      <c r="G109" s="27"/>
      <c r="H109" s="34"/>
      <c r="I109" s="195">
        <f>SF!I29</f>
        <v>-32.580199999999998</v>
      </c>
      <c r="J109" s="195">
        <f>SF!J29</f>
        <v>-10.105732306306301</v>
      </c>
      <c r="K109" s="376">
        <v>1</v>
      </c>
      <c r="L109" s="422"/>
    </row>
    <row r="110" spans="1:12">
      <c r="A110" s="25" t="s">
        <v>977</v>
      </c>
      <c r="B110" s="26" t="s">
        <v>979</v>
      </c>
      <c r="C110" s="26"/>
      <c r="D110" s="26"/>
      <c r="E110" s="27"/>
      <c r="F110" s="195">
        <f>SF!F30</f>
        <v>75.185314285714313</v>
      </c>
      <c r="G110" s="27"/>
      <c r="H110" s="34"/>
      <c r="I110" s="195">
        <f>SF!I30</f>
        <v>37.592657142857156</v>
      </c>
      <c r="J110" s="195">
        <f>SF!J30</f>
        <v>-11.660497166023164</v>
      </c>
      <c r="K110" s="823">
        <v>1</v>
      </c>
      <c r="L110" s="1587"/>
    </row>
    <row r="111" spans="1:12">
      <c r="A111" s="25" t="s">
        <v>984</v>
      </c>
      <c r="B111" s="163" t="s">
        <v>951</v>
      </c>
      <c r="C111" s="26"/>
      <c r="D111" s="26"/>
      <c r="E111" s="27"/>
      <c r="F111" s="34"/>
      <c r="G111" s="195">
        <f>SF!G38</f>
        <v>32.051277714285717</v>
      </c>
      <c r="H111" s="34"/>
      <c r="I111" s="195">
        <f>SF!I38</f>
        <v>265.38457947428577</v>
      </c>
      <c r="J111" s="34"/>
      <c r="K111" s="823">
        <v>1</v>
      </c>
      <c r="L111" s="1586"/>
    </row>
    <row r="112" spans="1:12">
      <c r="A112" s="686" t="s">
        <v>1128</v>
      </c>
      <c r="B112" s="687"/>
      <c r="C112" s="688"/>
      <c r="D112" s="688"/>
      <c r="E112" s="689"/>
      <c r="F112" s="696">
        <f>SF!F43</f>
        <v>-103.56143333397094</v>
      </c>
      <c r="G112" s="689"/>
      <c r="H112" s="690"/>
      <c r="I112" s="690"/>
      <c r="J112" s="690"/>
      <c r="K112" s="376">
        <v>1</v>
      </c>
      <c r="L112" s="1586"/>
    </row>
    <row r="113" spans="1:12">
      <c r="A113" s="686" t="s">
        <v>1131</v>
      </c>
      <c r="B113" s="687"/>
      <c r="C113" s="688"/>
      <c r="D113" s="688"/>
      <c r="E113" s="689"/>
      <c r="F113" s="690"/>
      <c r="G113" s="696">
        <f>SF!G47</f>
        <v>3.2856246869242693</v>
      </c>
      <c r="H113" s="696">
        <f>SF!H47</f>
        <v>3.5397182492142409</v>
      </c>
      <c r="I113" s="696">
        <f>SF!I47</f>
        <v>7.0628515103002814</v>
      </c>
      <c r="J113" s="696">
        <f>SF!J47</f>
        <v>5.3297614737052639</v>
      </c>
      <c r="K113" s="376">
        <v>0.15</v>
      </c>
      <c r="L113" s="1586"/>
    </row>
    <row r="114" spans="1:12">
      <c r="A114" s="253"/>
      <c r="B114" s="15"/>
      <c r="C114" s="15"/>
      <c r="D114" s="15"/>
      <c r="E114" s="22"/>
      <c r="F114" s="212"/>
      <c r="G114" s="213"/>
      <c r="H114" s="198"/>
      <c r="I114" s="198"/>
      <c r="J114" s="28"/>
      <c r="K114" s="655">
        <v>1</v>
      </c>
      <c r="L114" s="149"/>
    </row>
    <row r="115" spans="1:12">
      <c r="A115" s="46"/>
      <c r="B115" s="46"/>
      <c r="C115" s="46"/>
      <c r="D115" s="46"/>
      <c r="E115" s="46"/>
      <c r="F115" s="46"/>
      <c r="G115" s="46"/>
      <c r="H115" s="46"/>
      <c r="I115" s="46"/>
      <c r="J115" s="46"/>
      <c r="K115" s="509"/>
      <c r="L115" s="293"/>
    </row>
    <row r="116" spans="1:12">
      <c r="A116" s="220" t="s">
        <v>73</v>
      </c>
      <c r="B116" s="220" t="s">
        <v>74</v>
      </c>
      <c r="C116" s="200"/>
      <c r="D116" s="200"/>
      <c r="E116" s="217"/>
      <c r="F116" s="1636" t="s">
        <v>72</v>
      </c>
      <c r="G116" s="1637"/>
      <c r="H116" s="1637"/>
      <c r="I116" s="1637"/>
      <c r="J116" s="1638"/>
      <c r="K116" s="27"/>
      <c r="L116" s="293"/>
    </row>
    <row r="117" spans="1:12" ht="18">
      <c r="A117" s="221"/>
      <c r="B117" s="221"/>
      <c r="C117" s="201"/>
      <c r="D117" s="201"/>
      <c r="E117" s="219"/>
      <c r="F117" s="223" t="s">
        <v>23</v>
      </c>
      <c r="G117" s="223" t="s">
        <v>87</v>
      </c>
      <c r="H117" s="223" t="s">
        <v>212</v>
      </c>
      <c r="I117" s="223" t="s">
        <v>80</v>
      </c>
      <c r="J117" s="223" t="s">
        <v>81</v>
      </c>
      <c r="K117" s="27"/>
      <c r="L117" s="293"/>
    </row>
    <row r="118" spans="1:12">
      <c r="A118" s="222"/>
      <c r="B118" s="222"/>
      <c r="C118" s="203"/>
      <c r="D118" s="203"/>
      <c r="E118" s="218"/>
      <c r="F118" s="204" t="s">
        <v>34</v>
      </c>
      <c r="G118" s="204" t="s">
        <v>34</v>
      </c>
      <c r="H118" s="203" t="s">
        <v>34</v>
      </c>
      <c r="I118" s="204" t="s">
        <v>77</v>
      </c>
      <c r="J118" s="204" t="s">
        <v>77</v>
      </c>
      <c r="K118" s="27"/>
      <c r="L118" s="293"/>
    </row>
    <row r="119" spans="1:12">
      <c r="A119" s="202"/>
      <c r="B119" s="200"/>
      <c r="C119" s="200"/>
      <c r="D119" s="200"/>
      <c r="E119" s="217"/>
      <c r="F119" s="205"/>
      <c r="G119" s="205"/>
      <c r="H119" s="201"/>
      <c r="I119" s="205"/>
      <c r="J119" s="205"/>
      <c r="K119" s="27"/>
      <c r="L119" s="293"/>
    </row>
    <row r="120" spans="1:12">
      <c r="A120" s="205" t="str">
        <f>A99</f>
        <v>LC-5</v>
      </c>
      <c r="B120" s="201" t="str">
        <f>B99</f>
        <v>HFL RARE, NS LWL DL, SIDL, LL Max reaction</v>
      </c>
      <c r="C120" s="201"/>
      <c r="D120" s="201"/>
      <c r="E120" s="219"/>
      <c r="F120" s="205">
        <f>SUMPRODUCT(F102:F113,$K$103:$K$114)</f>
        <v>1075.219537950444</v>
      </c>
      <c r="G120" s="219">
        <f>SUMPRODUCT(G102:G113,$K$103:$K$114)</f>
        <v>35.33690240120999</v>
      </c>
      <c r="H120" s="219">
        <f>SUMPRODUCT(H102:H113,$K$103:$K$114)</f>
        <v>3.5397182492142409</v>
      </c>
      <c r="I120" s="219">
        <f>SUMPRODUCT(I102:I113,$K$103:$K$114)</f>
        <v>277.45988812744321</v>
      </c>
      <c r="J120" s="219">
        <f>SUMPRODUCT(J102:J113,$K$103:$K$114)</f>
        <v>-16.436467998624199</v>
      </c>
      <c r="K120" s="27"/>
      <c r="L120" s="293"/>
    </row>
    <row r="121" spans="1:12">
      <c r="A121" s="204"/>
      <c r="B121" s="203"/>
      <c r="C121" s="203"/>
      <c r="D121" s="203"/>
      <c r="E121" s="218"/>
      <c r="F121" s="204"/>
      <c r="G121" s="204"/>
      <c r="H121" s="203"/>
      <c r="I121" s="204"/>
      <c r="J121" s="204"/>
      <c r="K121" s="27"/>
      <c r="L121" s="293"/>
    </row>
    <row r="122" spans="1:12">
      <c r="A122" s="1"/>
      <c r="B122" s="1"/>
      <c r="C122" s="1"/>
      <c r="D122" s="1"/>
      <c r="E122" s="1"/>
      <c r="F122" s="1"/>
      <c r="G122" s="1"/>
      <c r="H122" s="1"/>
      <c r="I122" s="1"/>
      <c r="J122" s="1"/>
      <c r="K122" s="27"/>
      <c r="L122" s="26"/>
    </row>
    <row r="123" spans="1:12">
      <c r="A123" s="1"/>
      <c r="B123" s="1"/>
      <c r="C123" s="1"/>
      <c r="D123" s="1"/>
      <c r="E123" s="1"/>
      <c r="F123" s="1"/>
      <c r="G123" s="1"/>
      <c r="H123" s="1"/>
      <c r="I123" s="1"/>
      <c r="J123" s="1"/>
      <c r="K123" s="27"/>
      <c r="L123" s="26"/>
    </row>
    <row r="124" spans="1:12">
      <c r="A124" s="225" t="str">
        <f>K125</f>
        <v>LC-6</v>
      </c>
      <c r="B124" s="24" t="str">
        <f>VLOOKUP(A124,LC_DEF_2!A95:B100,2,FALSE)</f>
        <v>HFL RARE, NS LWL DL, SIDL, LL Max Long. Moment</v>
      </c>
      <c r="C124" s="24"/>
      <c r="D124" s="24"/>
      <c r="E124" s="21"/>
      <c r="F124" s="1599" t="s">
        <v>72</v>
      </c>
      <c r="G124" s="1635"/>
      <c r="H124" s="1635"/>
      <c r="I124" s="1635"/>
      <c r="J124" s="1635"/>
      <c r="K124" s="27"/>
      <c r="L124" s="293"/>
    </row>
    <row r="125" spans="1:12" ht="18">
      <c r="A125" s="25" t="s">
        <v>73</v>
      </c>
      <c r="B125" s="26" t="s">
        <v>74</v>
      </c>
      <c r="C125" s="26"/>
      <c r="D125" s="26"/>
      <c r="E125" s="27"/>
      <c r="F125" s="33" t="s">
        <v>23</v>
      </c>
      <c r="G125" s="33" t="s">
        <v>87</v>
      </c>
      <c r="H125" s="33" t="s">
        <v>212</v>
      </c>
      <c r="I125" s="33" t="s">
        <v>80</v>
      </c>
      <c r="J125" s="30" t="s">
        <v>81</v>
      </c>
      <c r="K125" s="1584" t="s">
        <v>216</v>
      </c>
      <c r="L125" s="422"/>
    </row>
    <row r="126" spans="1:12">
      <c r="A126" s="25"/>
      <c r="B126" s="26"/>
      <c r="C126" s="26"/>
      <c r="D126" s="26"/>
      <c r="E126" s="27"/>
      <c r="F126" s="36" t="s">
        <v>34</v>
      </c>
      <c r="G126" s="36" t="s">
        <v>34</v>
      </c>
      <c r="H126" s="36" t="s">
        <v>34</v>
      </c>
      <c r="I126" s="36" t="s">
        <v>77</v>
      </c>
      <c r="J126" s="23" t="s">
        <v>77</v>
      </c>
      <c r="K126" s="495"/>
      <c r="L126" s="422"/>
    </row>
    <row r="127" spans="1:12">
      <c r="A127" s="25" t="s">
        <v>88</v>
      </c>
      <c r="B127" s="26" t="s">
        <v>75</v>
      </c>
      <c r="C127" s="26"/>
      <c r="D127" s="26"/>
      <c r="E127" s="27"/>
      <c r="F127" s="195">
        <f>SF!F14</f>
        <v>365.08803866482532</v>
      </c>
      <c r="G127" s="210"/>
      <c r="H127" s="34"/>
      <c r="I127" s="195">
        <f>SF!I14</f>
        <v>0</v>
      </c>
      <c r="J127" s="195">
        <f>SF!J14</f>
        <v>0</v>
      </c>
      <c r="K127" s="376"/>
      <c r="L127" s="1586"/>
    </row>
    <row r="128" spans="1:12">
      <c r="A128" s="25" t="s">
        <v>250</v>
      </c>
      <c r="B128" s="26" t="s">
        <v>967</v>
      </c>
      <c r="C128" s="26"/>
      <c r="D128" s="26"/>
      <c r="E128" s="27"/>
      <c r="F128" s="195">
        <f>SF!F19</f>
        <v>230</v>
      </c>
      <c r="G128" s="27"/>
      <c r="H128" s="34"/>
      <c r="I128" s="195">
        <f>SF!I19</f>
        <v>-115</v>
      </c>
      <c r="J128" s="195">
        <f>SF!J19</f>
        <v>0</v>
      </c>
      <c r="K128" s="268">
        <v>1</v>
      </c>
      <c r="L128" s="422"/>
    </row>
    <row r="129" spans="1:12">
      <c r="A129" s="25" t="s">
        <v>251</v>
      </c>
      <c r="B129" s="26" t="s">
        <v>968</v>
      </c>
      <c r="C129" s="26"/>
      <c r="D129" s="26"/>
      <c r="E129" s="27"/>
      <c r="F129" s="195">
        <f>SF!F20</f>
        <v>20.660000000000004</v>
      </c>
      <c r="G129" s="27"/>
      <c r="H129" s="34"/>
      <c r="I129" s="195">
        <f>SF!I20</f>
        <v>-10.330000000000002</v>
      </c>
      <c r="J129" s="195">
        <f>SF!J20</f>
        <v>0</v>
      </c>
      <c r="K129" s="376">
        <v>1</v>
      </c>
      <c r="L129" s="422"/>
    </row>
    <row r="130" spans="1:12">
      <c r="A130" s="25" t="s">
        <v>97</v>
      </c>
      <c r="B130" s="26" t="s">
        <v>969</v>
      </c>
      <c r="C130" s="26"/>
      <c r="D130" s="26"/>
      <c r="E130" s="27"/>
      <c r="F130" s="195">
        <f>SF!F21</f>
        <v>42</v>
      </c>
      <c r="G130" s="27"/>
      <c r="H130" s="34"/>
      <c r="I130" s="195">
        <f>SF!I21</f>
        <v>-14.858499999999999</v>
      </c>
      <c r="J130" s="195">
        <f>SF!J21</f>
        <v>0</v>
      </c>
      <c r="K130" s="376">
        <v>1</v>
      </c>
      <c r="L130" s="422"/>
    </row>
    <row r="131" spans="1:12">
      <c r="A131" s="25" t="s">
        <v>250</v>
      </c>
      <c r="B131" s="26" t="s">
        <v>970</v>
      </c>
      <c r="C131" s="26"/>
      <c r="D131" s="26"/>
      <c r="E131" s="27"/>
      <c r="F131" s="195">
        <f>SF!F23</f>
        <v>230</v>
      </c>
      <c r="G131" s="27"/>
      <c r="H131" s="34"/>
      <c r="I131" s="195">
        <f>SF!I23</f>
        <v>115</v>
      </c>
      <c r="J131" s="195">
        <f>SF!J23</f>
        <v>0</v>
      </c>
      <c r="K131" s="376">
        <v>1</v>
      </c>
      <c r="L131" s="422"/>
    </row>
    <row r="132" spans="1:12">
      <c r="A132" s="25" t="s">
        <v>251</v>
      </c>
      <c r="B132" s="26" t="s">
        <v>971</v>
      </c>
      <c r="C132" s="26"/>
      <c r="D132" s="26"/>
      <c r="E132" s="27"/>
      <c r="F132" s="195">
        <f>SF!F24</f>
        <v>20.660000000000004</v>
      </c>
      <c r="G132" s="27"/>
      <c r="H132" s="34"/>
      <c r="I132" s="195">
        <f>SF!I24</f>
        <v>10.330000000000002</v>
      </c>
      <c r="J132" s="195">
        <f>SF!J24</f>
        <v>0</v>
      </c>
      <c r="K132" s="376">
        <v>1</v>
      </c>
      <c r="L132" s="1586"/>
    </row>
    <row r="133" spans="1:12">
      <c r="A133" s="25" t="s">
        <v>97</v>
      </c>
      <c r="B133" s="26" t="s">
        <v>972</v>
      </c>
      <c r="C133" s="26"/>
      <c r="D133" s="26"/>
      <c r="E133" s="27"/>
      <c r="F133" s="195">
        <f>SF!F25</f>
        <v>42</v>
      </c>
      <c r="G133" s="27"/>
      <c r="H133" s="34"/>
      <c r="I133" s="195">
        <f>SF!I25</f>
        <v>14.858499999999999</v>
      </c>
      <c r="J133" s="195">
        <f>SF!J25</f>
        <v>0</v>
      </c>
      <c r="K133" s="268">
        <v>1</v>
      </c>
      <c r="L133" s="422"/>
    </row>
    <row r="134" spans="1:12">
      <c r="A134" s="25" t="s">
        <v>976</v>
      </c>
      <c r="B134" s="26" t="s">
        <v>981</v>
      </c>
      <c r="C134" s="26"/>
      <c r="D134" s="26"/>
      <c r="E134" s="27"/>
      <c r="F134" s="195">
        <f>SF!F33</f>
        <v>0</v>
      </c>
      <c r="G134" s="27"/>
      <c r="H134" s="34"/>
      <c r="I134" s="195">
        <f>SF!I33</f>
        <v>0</v>
      </c>
      <c r="J134" s="195">
        <f>SF!J33</f>
        <v>0</v>
      </c>
      <c r="K134" s="376">
        <v>1</v>
      </c>
      <c r="L134" s="1586"/>
    </row>
    <row r="135" spans="1:12">
      <c r="A135" s="25" t="s">
        <v>977</v>
      </c>
      <c r="B135" s="26" t="s">
        <v>982</v>
      </c>
      <c r="C135" s="26"/>
      <c r="D135" s="26"/>
      <c r="E135" s="27"/>
      <c r="F135" s="195">
        <f>SF!F34</f>
        <v>127.89948571428575</v>
      </c>
      <c r="G135" s="27"/>
      <c r="H135" s="34"/>
      <c r="I135" s="195">
        <f>SF!I34</f>
        <v>63.949742857142873</v>
      </c>
      <c r="J135" s="195">
        <f>SF!J34</f>
        <v>-19.835942761904757</v>
      </c>
      <c r="K135" s="823">
        <v>1</v>
      </c>
      <c r="L135" s="1586"/>
    </row>
    <row r="136" spans="1:12">
      <c r="A136" s="25" t="s">
        <v>985</v>
      </c>
      <c r="B136" s="163" t="s">
        <v>953</v>
      </c>
      <c r="C136" s="26"/>
      <c r="D136" s="26"/>
      <c r="E136" s="27"/>
      <c r="F136" s="34"/>
      <c r="G136" s="195">
        <f>SF!G39</f>
        <v>29.998225714285713</v>
      </c>
      <c r="H136" s="34"/>
      <c r="I136" s="195">
        <f>SF!I39</f>
        <v>248.38530891428573</v>
      </c>
      <c r="J136" s="34"/>
      <c r="K136" s="268">
        <v>1</v>
      </c>
      <c r="L136" s="1586"/>
    </row>
    <row r="137" spans="1:12">
      <c r="A137" s="686" t="s">
        <v>1128</v>
      </c>
      <c r="B137" s="687"/>
      <c r="C137" s="688"/>
      <c r="D137" s="688"/>
      <c r="E137" s="689"/>
      <c r="F137" s="696">
        <f>SF!F43</f>
        <v>-103.56143333397094</v>
      </c>
      <c r="G137" s="689"/>
      <c r="H137" s="690"/>
      <c r="I137" s="690"/>
      <c r="J137" s="690"/>
      <c r="K137" s="376">
        <v>1</v>
      </c>
      <c r="L137" s="1586"/>
    </row>
    <row r="138" spans="1:12">
      <c r="A138" s="686" t="s">
        <v>1131</v>
      </c>
      <c r="B138" s="687"/>
      <c r="C138" s="688"/>
      <c r="D138" s="688"/>
      <c r="E138" s="689"/>
      <c r="F138" s="690"/>
      <c r="G138" s="696">
        <f>SF!G47</f>
        <v>3.2856246869242693</v>
      </c>
      <c r="H138" s="696">
        <f>SF!H47</f>
        <v>3.5397182492142409</v>
      </c>
      <c r="I138" s="696">
        <f>SF!I47</f>
        <v>7.0628515103002814</v>
      </c>
      <c r="J138" s="696">
        <f>SF!J47</f>
        <v>5.3297614737052639</v>
      </c>
      <c r="K138" s="376">
        <v>0.15</v>
      </c>
      <c r="L138" s="1586"/>
    </row>
    <row r="139" spans="1:12">
      <c r="A139" s="253"/>
      <c r="B139" s="15"/>
      <c r="C139" s="15"/>
      <c r="D139" s="15"/>
      <c r="E139" s="22"/>
      <c r="F139" s="212"/>
      <c r="G139" s="213"/>
      <c r="H139" s="198"/>
      <c r="I139" s="198"/>
      <c r="J139" s="28"/>
      <c r="K139" s="655">
        <v>1</v>
      </c>
      <c r="L139" s="149"/>
    </row>
    <row r="140" spans="1:12">
      <c r="A140" s="46"/>
      <c r="B140" s="46"/>
      <c r="C140" s="46"/>
      <c r="D140" s="46"/>
      <c r="E140" s="46"/>
      <c r="F140" s="46"/>
      <c r="G140" s="46"/>
      <c r="H140" s="46"/>
      <c r="I140" s="46"/>
      <c r="J140" s="46"/>
      <c r="K140" s="509"/>
      <c r="L140" s="293"/>
    </row>
    <row r="141" spans="1:12">
      <c r="A141" s="220" t="s">
        <v>73</v>
      </c>
      <c r="B141" s="220" t="s">
        <v>74</v>
      </c>
      <c r="C141" s="200"/>
      <c r="D141" s="200"/>
      <c r="E141" s="217"/>
      <c r="F141" s="1636" t="s">
        <v>72</v>
      </c>
      <c r="G141" s="1637"/>
      <c r="H141" s="1637"/>
      <c r="I141" s="1637"/>
      <c r="J141" s="1638"/>
      <c r="K141" s="27"/>
      <c r="L141" s="293"/>
    </row>
    <row r="142" spans="1:12" ht="18">
      <c r="A142" s="221"/>
      <c r="B142" s="221"/>
      <c r="C142" s="201"/>
      <c r="D142" s="201"/>
      <c r="E142" s="219"/>
      <c r="F142" s="223" t="s">
        <v>23</v>
      </c>
      <c r="G142" s="223" t="s">
        <v>87</v>
      </c>
      <c r="H142" s="223" t="s">
        <v>212</v>
      </c>
      <c r="I142" s="223" t="s">
        <v>80</v>
      </c>
      <c r="J142" s="223" t="s">
        <v>81</v>
      </c>
      <c r="K142" s="27"/>
      <c r="L142" s="293"/>
    </row>
    <row r="143" spans="1:12">
      <c r="A143" s="222"/>
      <c r="B143" s="222"/>
      <c r="C143" s="203"/>
      <c r="D143" s="203"/>
      <c r="E143" s="218"/>
      <c r="F143" s="204" t="s">
        <v>34</v>
      </c>
      <c r="G143" s="204" t="s">
        <v>34</v>
      </c>
      <c r="H143" s="203" t="s">
        <v>34</v>
      </c>
      <c r="I143" s="204" t="s">
        <v>77</v>
      </c>
      <c r="J143" s="204" t="s">
        <v>77</v>
      </c>
      <c r="K143" s="27"/>
      <c r="L143" s="293"/>
    </row>
    <row r="144" spans="1:12">
      <c r="A144" s="202"/>
      <c r="B144" s="200"/>
      <c r="C144" s="200"/>
      <c r="D144" s="200"/>
      <c r="E144" s="217"/>
      <c r="F144" s="205"/>
      <c r="G144" s="205"/>
      <c r="H144" s="201"/>
      <c r="I144" s="205"/>
      <c r="J144" s="205"/>
      <c r="K144" s="27"/>
      <c r="L144" s="293"/>
    </row>
    <row r="145" spans="1:13">
      <c r="A145" s="205" t="str">
        <f>A124</f>
        <v>LC-6</v>
      </c>
      <c r="B145" s="201" t="str">
        <f>B124</f>
        <v>HFL RARE, NS LWL DL, SIDL, LL Max Long. Moment</v>
      </c>
      <c r="C145" s="201"/>
      <c r="D145" s="201"/>
      <c r="E145" s="219"/>
      <c r="F145" s="205">
        <f>SUMPRODUCT(F127:F138,$K$128:$K$139)</f>
        <v>1062.7733093790152</v>
      </c>
      <c r="G145" s="219">
        <f>SUMPRODUCT(G127:G138,$K$128:$K$139)</f>
        <v>33.283850401209982</v>
      </c>
      <c r="H145" s="219">
        <f>SUMPRODUCT(H127:H138,$K$128:$K$139)</f>
        <v>3.5397182492142409</v>
      </c>
      <c r="I145" s="219">
        <f>SUMPRODUCT(I127:I138,$K$128:$K$139)</f>
        <v>319.39790328172887</v>
      </c>
      <c r="J145" s="219">
        <f>SUMPRODUCT(J127:J138,$K$128:$K$139)</f>
        <v>-14.506181288199492</v>
      </c>
      <c r="K145" s="27"/>
      <c r="L145" s="293"/>
    </row>
    <row r="146" spans="1:13">
      <c r="A146" s="204"/>
      <c r="B146" s="203"/>
      <c r="C146" s="203"/>
      <c r="D146" s="203"/>
      <c r="E146" s="218"/>
      <c r="F146" s="204"/>
      <c r="G146" s="204"/>
      <c r="H146" s="203"/>
      <c r="I146" s="204"/>
      <c r="J146" s="204"/>
      <c r="K146" s="27"/>
      <c r="L146" s="293"/>
    </row>
    <row r="147" spans="1:13">
      <c r="A147" s="1"/>
      <c r="B147" s="1"/>
      <c r="C147" s="1"/>
      <c r="D147" s="1"/>
      <c r="E147" s="1"/>
      <c r="F147" s="1"/>
      <c r="G147" s="1"/>
      <c r="H147" s="1"/>
      <c r="I147" s="1"/>
      <c r="J147" s="1"/>
      <c r="K147" s="1"/>
      <c r="L147" s="293"/>
      <c r="M147" s="1"/>
    </row>
    <row r="148" spans="1:13">
      <c r="A148" s="1"/>
      <c r="B148" s="1"/>
      <c r="C148" s="1"/>
      <c r="D148" s="1"/>
      <c r="E148" s="1"/>
      <c r="F148" s="1"/>
      <c r="G148" s="1"/>
      <c r="H148" s="1"/>
      <c r="I148" s="1"/>
      <c r="J148" s="1"/>
      <c r="K148" s="116"/>
      <c r="L148" s="293"/>
      <c r="M148" s="1"/>
    </row>
  </sheetData>
  <mergeCells count="12">
    <mergeCell ref="F91:J91"/>
    <mergeCell ref="F75:J75"/>
    <mergeCell ref="F116:J116"/>
    <mergeCell ref="F99:J99"/>
    <mergeCell ref="F141:J141"/>
    <mergeCell ref="F124:J124"/>
    <mergeCell ref="F7:J7"/>
    <mergeCell ref="F21:J21"/>
    <mergeCell ref="F43:J43"/>
    <mergeCell ref="F29:J29"/>
    <mergeCell ref="F67:J67"/>
    <mergeCell ref="F51:J51"/>
  </mergeCells>
  <pageMargins left="0.70866141732283505" right="0.70866141732283505" top="0.74803149606299202" bottom="0.74803149606299202" header="0.31496062992126" footer="0.31496062992126"/>
  <pageSetup paperSize="9" scale="78" orientation="portrait" blackAndWhite="1" r:id="rId1"/>
  <rowBreaks count="2" manualBreakCount="2">
    <brk id="50" max="10" man="1"/>
    <brk id="113" max="10" man="1"/>
  </rowBreaks>
</worksheet>
</file>

<file path=xl/worksheets/sheet33.xml><?xml version="1.0" encoding="utf-8"?>
<worksheet xmlns="http://schemas.openxmlformats.org/spreadsheetml/2006/main" xmlns:r="http://schemas.openxmlformats.org/officeDocument/2006/relationships">
  <sheetPr codeName="Sheet34">
    <tabColor theme="6" tint="0.39997558519241921"/>
  </sheetPr>
  <dimension ref="A1:Y36"/>
  <sheetViews>
    <sheetView view="pageBreakPreview" topLeftCell="A16" zoomScaleSheetLayoutView="100" workbookViewId="0">
      <selection activeCell="G37" sqref="G37"/>
    </sheetView>
  </sheetViews>
  <sheetFormatPr defaultColWidth="7.7109375" defaultRowHeight="15"/>
  <sheetData>
    <row r="1" spans="1:22" s="7" customFormat="1">
      <c r="A1" s="62" t="s">
        <v>860</v>
      </c>
      <c r="B1" s="1"/>
      <c r="C1" s="1"/>
      <c r="D1" s="1"/>
      <c r="E1" s="1"/>
      <c r="F1" s="1"/>
      <c r="G1" s="1"/>
      <c r="H1" s="1"/>
      <c r="I1" s="1"/>
      <c r="J1" s="1"/>
      <c r="K1" s="1"/>
      <c r="L1" s="1"/>
      <c r="M1" s="1"/>
      <c r="N1" s="1"/>
      <c r="O1" s="1"/>
      <c r="P1" s="1"/>
      <c r="Q1" s="1"/>
      <c r="R1" s="1"/>
      <c r="S1" s="1"/>
      <c r="T1" s="1"/>
      <c r="U1" s="1"/>
      <c r="V1" s="1"/>
    </row>
    <row r="2" spans="1:22" s="11" customFormat="1">
      <c r="A2" s="1169"/>
      <c r="B2" s="1"/>
      <c r="C2" s="1"/>
      <c r="D2" s="1"/>
      <c r="E2" s="1"/>
      <c r="F2" s="1"/>
      <c r="H2" s="1176" t="s">
        <v>1576</v>
      </c>
      <c r="I2" s="1174"/>
      <c r="J2" s="1175"/>
      <c r="K2" s="26"/>
      <c r="L2" s="26"/>
      <c r="M2" s="26"/>
      <c r="N2" s="26"/>
      <c r="O2" s="26"/>
      <c r="P2" s="26"/>
      <c r="Q2" s="26"/>
      <c r="R2" s="26"/>
      <c r="S2" s="26"/>
      <c r="T2" s="26"/>
      <c r="U2" s="26"/>
      <c r="V2" s="26"/>
    </row>
    <row r="3" spans="1:22" s="11" customFormat="1" ht="18.75">
      <c r="A3" s="1"/>
      <c r="B3" s="1119">
        <f>'3.4D_LC_sum'!B6</f>
        <v>0.75</v>
      </c>
      <c r="C3" s="63">
        <f>'3.4D_LC_sum'!C6</f>
        <v>3.6</v>
      </c>
      <c r="D3" s="1"/>
      <c r="E3" s="1169"/>
      <c r="F3" s="1"/>
      <c r="H3" s="1168" t="s">
        <v>1550</v>
      </c>
      <c r="I3" s="1104" t="s">
        <v>26</v>
      </c>
      <c r="J3" s="1105" t="s">
        <v>51</v>
      </c>
      <c r="K3" s="26"/>
      <c r="L3" s="1" t="s">
        <v>672</v>
      </c>
      <c r="M3" s="1" t="s">
        <v>670</v>
      </c>
      <c r="N3" s="493" t="s">
        <v>1</v>
      </c>
      <c r="O3" s="528"/>
      <c r="P3" s="528"/>
      <c r="Q3" s="254">
        <f>SUMPRODUCT(I4:I12,I4:I12)</f>
        <v>19.440000000000005</v>
      </c>
      <c r="R3" s="1" t="s">
        <v>458</v>
      </c>
      <c r="S3" s="26"/>
      <c r="T3" s="26"/>
      <c r="U3" s="26"/>
      <c r="V3" s="26"/>
    </row>
    <row r="4" spans="1:22" s="11" customFormat="1" ht="18.75">
      <c r="A4" s="1"/>
      <c r="B4" s="1"/>
      <c r="C4" s="1"/>
      <c r="D4" s="1"/>
      <c r="E4" s="1169"/>
      <c r="F4" s="1"/>
      <c r="H4" s="1110">
        <v>1</v>
      </c>
      <c r="I4" s="1110">
        <f>'3.4_LC_sum'!K8</f>
        <v>-1.8</v>
      </c>
      <c r="J4" s="1171">
        <f>'3.4_LC_sum'!L8</f>
        <v>-3.6</v>
      </c>
      <c r="K4" s="26"/>
      <c r="L4" s="1" t="s">
        <v>673</v>
      </c>
      <c r="M4" s="1" t="s">
        <v>671</v>
      </c>
      <c r="N4" s="493" t="s">
        <v>1</v>
      </c>
      <c r="O4" s="528"/>
      <c r="P4" s="528"/>
      <c r="Q4" s="254">
        <f>SUMPRODUCT(J4:J12,J4:J12)</f>
        <v>51.84</v>
      </c>
      <c r="R4" s="1" t="s">
        <v>458</v>
      </c>
      <c r="S4" s="26"/>
      <c r="T4" s="26"/>
      <c r="U4" s="26"/>
      <c r="V4" s="26"/>
    </row>
    <row r="5" spans="1:22" s="11" customFormat="1">
      <c r="A5" s="1"/>
      <c r="B5" s="1"/>
      <c r="C5" s="1"/>
      <c r="D5" s="1"/>
      <c r="E5" s="1170">
        <f>'3.4D_LC_sum'!E8</f>
        <v>0.75</v>
      </c>
      <c r="F5" s="1"/>
      <c r="H5" s="1111">
        <v>2</v>
      </c>
      <c r="I5" s="1111">
        <f>'3.4_LC_sum'!K9</f>
        <v>-1.8</v>
      </c>
      <c r="J5" s="1172">
        <f>'3.4_LC_sum'!L9</f>
        <v>0</v>
      </c>
      <c r="L5" s="1"/>
      <c r="M5" s="1"/>
      <c r="N5" s="493"/>
      <c r="O5" s="528"/>
      <c r="P5" s="528"/>
      <c r="Q5" s="254"/>
      <c r="R5" s="1"/>
      <c r="S5" s="26"/>
      <c r="T5" s="26"/>
      <c r="U5" s="26"/>
      <c r="V5" s="26"/>
    </row>
    <row r="6" spans="1:22" s="11" customFormat="1">
      <c r="A6" s="1"/>
      <c r="B6" s="1"/>
      <c r="C6" s="1"/>
      <c r="D6" s="1"/>
      <c r="E6" s="1169"/>
      <c r="F6" s="1"/>
      <c r="H6" s="1111">
        <v>3</v>
      </c>
      <c r="I6" s="1111">
        <f>'3.4_LC_sum'!K10</f>
        <v>-1.8</v>
      </c>
      <c r="J6" s="1172">
        <f>'3.4_LC_sum'!L10</f>
        <v>3.6</v>
      </c>
      <c r="L6" s="1"/>
      <c r="M6" s="1" t="s">
        <v>598</v>
      </c>
      <c r="N6" s="493" t="s">
        <v>1</v>
      </c>
      <c r="O6" s="528"/>
      <c r="P6" s="528"/>
      <c r="Q6" s="4">
        <v>6</v>
      </c>
      <c r="R6" s="1" t="s">
        <v>16</v>
      </c>
      <c r="S6" s="26"/>
      <c r="T6" s="26"/>
      <c r="U6" s="26"/>
      <c r="V6" s="26"/>
    </row>
    <row r="7" spans="1:22" s="11" customFormat="1">
      <c r="A7" s="1"/>
      <c r="B7" s="1"/>
      <c r="C7" s="1"/>
      <c r="D7" s="1"/>
      <c r="E7" s="1169"/>
      <c r="F7" s="1"/>
      <c r="H7" s="1111">
        <v>4</v>
      </c>
      <c r="I7" s="1111">
        <f>'3.4_LC_sum'!K11</f>
        <v>1.8</v>
      </c>
      <c r="J7" s="1172">
        <f>'3.4_LC_sum'!L11</f>
        <v>-3.6</v>
      </c>
      <c r="L7" s="1"/>
      <c r="S7" s="26"/>
      <c r="T7" s="26"/>
      <c r="U7" s="26"/>
      <c r="V7" s="26"/>
    </row>
    <row r="8" spans="1:22" s="11" customFormat="1">
      <c r="A8" s="1"/>
      <c r="B8" s="1"/>
      <c r="C8" s="1"/>
      <c r="D8" s="1"/>
      <c r="E8" s="63">
        <f>'3.4D_LC_sum'!E11</f>
        <v>3.6</v>
      </c>
      <c r="F8" s="1"/>
      <c r="H8" s="1111">
        <v>5</v>
      </c>
      <c r="I8" s="1111">
        <f>'3.4_LC_sum'!K12</f>
        <v>1.8</v>
      </c>
      <c r="J8" s="1172">
        <f>'3.4_LC_sum'!L12</f>
        <v>0</v>
      </c>
      <c r="S8" s="26"/>
      <c r="T8" s="26"/>
      <c r="U8" s="26"/>
      <c r="V8" s="26"/>
    </row>
    <row r="9" spans="1:22" s="11" customFormat="1">
      <c r="A9" s="1"/>
      <c r="B9" s="528"/>
      <c r="C9" s="528"/>
      <c r="D9" s="1"/>
      <c r="E9" s="1169"/>
      <c r="F9" s="1"/>
      <c r="H9" s="1111">
        <v>6</v>
      </c>
      <c r="I9" s="1111">
        <f>'3.4_LC_sum'!K13</f>
        <v>1.8</v>
      </c>
      <c r="J9" s="1172">
        <f>'3.4_LC_sum'!L13</f>
        <v>3.6</v>
      </c>
      <c r="S9" s="26"/>
      <c r="T9" s="26"/>
      <c r="U9" s="26"/>
      <c r="V9" s="26"/>
    </row>
    <row r="10" spans="1:22" s="11" customFormat="1">
      <c r="A10" s="1"/>
      <c r="B10" s="1"/>
      <c r="C10" s="1"/>
      <c r="D10" s="1"/>
      <c r="E10" s="1169"/>
      <c r="F10" s="1"/>
      <c r="H10" s="1112"/>
      <c r="I10" s="915"/>
      <c r="J10" s="1226"/>
      <c r="M10" s="26"/>
      <c r="N10" s="26"/>
      <c r="O10" s="26"/>
      <c r="P10" s="26"/>
      <c r="Q10" s="26"/>
      <c r="R10" s="26"/>
      <c r="S10" s="26"/>
      <c r="T10" s="26"/>
      <c r="U10" s="26"/>
      <c r="V10" s="26"/>
    </row>
    <row r="11" spans="1:22" s="11" customFormat="1">
      <c r="A11" s="1"/>
      <c r="B11" s="659"/>
      <c r="C11" s="1"/>
      <c r="D11" s="1"/>
      <c r="E11" s="1169"/>
      <c r="F11" s="63">
        <f>'3.4D_LC_sum'!F14</f>
        <v>8.6999999999999993</v>
      </c>
      <c r="H11" s="1112"/>
      <c r="I11" s="915"/>
      <c r="J11" s="1226"/>
      <c r="M11" s="26"/>
      <c r="N11" s="26"/>
      <c r="O11" s="26"/>
      <c r="P11" s="26"/>
      <c r="Q11" s="26"/>
      <c r="R11" s="26"/>
      <c r="S11" s="26"/>
      <c r="T11" s="26"/>
      <c r="U11" s="26"/>
      <c r="V11" s="26"/>
    </row>
    <row r="12" spans="1:22" s="11" customFormat="1">
      <c r="A12" s="1"/>
      <c r="B12" s="1"/>
      <c r="C12" s="1"/>
      <c r="D12" s="1"/>
      <c r="E12" s="1169"/>
      <c r="F12" s="1"/>
      <c r="H12" s="1173"/>
      <c r="I12" s="1145"/>
      <c r="J12" s="1143"/>
      <c r="K12" s="26"/>
      <c r="L12" s="26"/>
      <c r="M12" s="26"/>
      <c r="N12" s="26"/>
      <c r="O12" s="26"/>
      <c r="P12" s="26"/>
      <c r="Q12" s="26"/>
      <c r="R12" s="26"/>
      <c r="S12" s="26"/>
      <c r="T12" s="26"/>
      <c r="U12" s="26"/>
      <c r="V12" s="26"/>
    </row>
    <row r="13" spans="1:22" s="11" customFormat="1">
      <c r="A13" s="1"/>
      <c r="B13" s="1"/>
      <c r="C13" s="1"/>
      <c r="D13" s="1"/>
      <c r="E13" s="63">
        <f>E8</f>
        <v>3.6</v>
      </c>
      <c r="F13" s="1"/>
      <c r="H13" s="115"/>
      <c r="I13" s="115"/>
      <c r="J13" s="115"/>
      <c r="K13" s="26"/>
      <c r="L13" s="26"/>
      <c r="M13" s="26"/>
      <c r="N13" s="26"/>
      <c r="O13" s="26"/>
      <c r="P13" s="26"/>
      <c r="Q13" s="26"/>
      <c r="R13" s="26"/>
      <c r="S13" s="26"/>
      <c r="T13" s="26"/>
      <c r="U13" s="26"/>
      <c r="V13" s="26"/>
    </row>
    <row r="14" spans="1:22" s="11" customFormat="1">
      <c r="A14" s="1"/>
      <c r="B14" s="1"/>
      <c r="C14" s="1"/>
      <c r="D14" s="1"/>
      <c r="E14" s="1169"/>
      <c r="F14" s="1"/>
      <c r="H14" s="115"/>
      <c r="I14" s="115"/>
      <c r="J14" s="115"/>
      <c r="K14" s="26"/>
      <c r="L14" s="26"/>
      <c r="M14" s="26"/>
      <c r="N14" s="26"/>
      <c r="O14" s="26"/>
      <c r="P14" s="26"/>
      <c r="Q14" s="26"/>
      <c r="R14" s="26"/>
      <c r="S14" s="26"/>
      <c r="T14" s="26"/>
      <c r="U14" s="26"/>
      <c r="V14" s="26"/>
    </row>
    <row r="15" spans="1:22" s="11" customFormat="1">
      <c r="A15" s="1"/>
      <c r="B15" s="1"/>
      <c r="C15" s="1"/>
      <c r="D15" s="1"/>
      <c r="E15" s="1169"/>
      <c r="F15" s="1169"/>
      <c r="H15" s="115"/>
      <c r="Q15" s="26"/>
      <c r="S15" s="26"/>
      <c r="T15" s="26"/>
      <c r="U15" s="26"/>
      <c r="V15" s="26"/>
    </row>
    <row r="16" spans="1:22" s="11" customFormat="1">
      <c r="A16" s="1"/>
      <c r="B16" s="1"/>
      <c r="C16" s="1"/>
      <c r="D16" s="1"/>
      <c r="E16" s="1169"/>
      <c r="F16" s="1169"/>
      <c r="H16" s="115"/>
      <c r="Q16" s="26"/>
      <c r="S16" s="26"/>
      <c r="T16" s="26"/>
      <c r="U16" s="26"/>
      <c r="V16" s="26"/>
    </row>
    <row r="17" spans="1:25" s="11" customFormat="1">
      <c r="A17" s="1"/>
      <c r="B17" s="1"/>
      <c r="C17" s="1"/>
      <c r="D17" s="1"/>
      <c r="E17" s="1169"/>
      <c r="F17" s="1169"/>
      <c r="H17" s="115"/>
      <c r="Q17" s="26"/>
      <c r="S17" s="26"/>
      <c r="T17" s="26"/>
      <c r="U17" s="26"/>
      <c r="V17" s="26"/>
    </row>
    <row r="18" spans="1:25" s="11" customFormat="1">
      <c r="A18" s="1"/>
      <c r="B18" s="1"/>
      <c r="C18" s="63">
        <f>'3.4D_LC_sum'!C21</f>
        <v>5.0999999999999996</v>
      </c>
      <c r="D18" s="1"/>
      <c r="E18" s="1169"/>
      <c r="F18" s="1169"/>
      <c r="H18" s="115"/>
      <c r="Q18" s="26"/>
      <c r="S18" s="26"/>
      <c r="T18" s="26"/>
      <c r="U18" s="26"/>
      <c r="V18" s="26"/>
    </row>
    <row r="19" spans="1:25" s="11" customFormat="1">
      <c r="A19" s="1"/>
      <c r="B19" s="1"/>
      <c r="C19" s="1"/>
      <c r="D19" s="1"/>
      <c r="E19" s="224"/>
      <c r="F19" s="224"/>
      <c r="H19" s="115"/>
      <c r="Q19" s="26"/>
      <c r="S19" s="26"/>
      <c r="T19" s="26"/>
      <c r="U19" s="26"/>
      <c r="V19" s="26"/>
    </row>
    <row r="20" spans="1:25" s="11" customFormat="1">
      <c r="H20" s="115"/>
      <c r="Q20" s="26"/>
      <c r="R20" s="26"/>
      <c r="S20" s="26"/>
      <c r="T20" s="26"/>
      <c r="U20" s="26"/>
      <c r="V20" s="26"/>
    </row>
    <row r="21" spans="1:25">
      <c r="A21" s="62" t="s">
        <v>1533</v>
      </c>
      <c r="B21" s="1"/>
      <c r="C21" s="1"/>
      <c r="D21" s="1"/>
      <c r="E21" s="1"/>
      <c r="F21" s="1"/>
      <c r="G21" s="1"/>
      <c r="H21" s="224"/>
      <c r="I21" s="224"/>
      <c r="J21" s="224"/>
      <c r="S21" s="26"/>
    </row>
    <row r="22" spans="1:25">
      <c r="A22" s="249" t="s">
        <v>213</v>
      </c>
      <c r="B22" s="229"/>
      <c r="C22" s="229"/>
      <c r="D22" s="229"/>
      <c r="E22" s="230"/>
      <c r="F22" s="229"/>
      <c r="G22" s="230"/>
      <c r="H22" s="230"/>
      <c r="I22" s="230"/>
      <c r="J22" s="231"/>
      <c r="K22" s="483"/>
      <c r="L22" s="489"/>
      <c r="M22" s="489"/>
      <c r="N22" s="489"/>
      <c r="O22" s="489"/>
      <c r="P22" s="489"/>
      <c r="Q22" s="489"/>
      <c r="R22" s="484"/>
      <c r="S22" s="26"/>
      <c r="V22" s="1"/>
      <c r="W22" s="7"/>
      <c r="X22" s="7"/>
      <c r="Y22" s="7"/>
    </row>
    <row r="23" spans="1:25">
      <c r="A23" s="233"/>
      <c r="B23" s="234"/>
      <c r="C23" s="234"/>
      <c r="D23" s="234"/>
      <c r="E23" s="234"/>
      <c r="F23" s="235"/>
      <c r="G23" s="235"/>
      <c r="H23" s="235"/>
      <c r="I23" s="235"/>
      <c r="J23" s="236"/>
      <c r="K23" s="485"/>
      <c r="L23" s="490"/>
      <c r="M23" s="490"/>
      <c r="N23" s="490"/>
      <c r="O23" s="490"/>
      <c r="P23" s="490"/>
      <c r="Q23" s="490"/>
      <c r="R23" s="486"/>
      <c r="S23" s="26"/>
      <c r="V23" s="1"/>
    </row>
    <row r="24" spans="1:25">
      <c r="A24" s="245"/>
      <c r="B24" s="239"/>
      <c r="C24" s="239"/>
      <c r="D24" s="239"/>
      <c r="E24" s="239"/>
      <c r="F24" s="240"/>
      <c r="G24" s="240"/>
      <c r="H24" s="240"/>
      <c r="I24" s="240"/>
      <c r="J24" s="241"/>
      <c r="K24" s="487"/>
      <c r="L24" s="491"/>
      <c r="M24" s="491"/>
      <c r="N24" s="491"/>
      <c r="O24" s="491"/>
      <c r="P24" s="491"/>
      <c r="Q24" s="491"/>
      <c r="R24" s="488"/>
      <c r="S24" s="26"/>
      <c r="V24" s="1"/>
    </row>
    <row r="25" spans="1:25">
      <c r="A25" s="228" t="s">
        <v>73</v>
      </c>
      <c r="B25" s="228" t="s">
        <v>74</v>
      </c>
      <c r="C25" s="229"/>
      <c r="D25" s="229"/>
      <c r="E25" s="232"/>
      <c r="F25" s="1641" t="s">
        <v>72</v>
      </c>
      <c r="G25" s="1642"/>
      <c r="H25" s="1642"/>
      <c r="I25" s="1642"/>
      <c r="J25" s="1643"/>
      <c r="K25" s="1644" t="s">
        <v>675</v>
      </c>
      <c r="L25" s="1645"/>
      <c r="M25" s="1645"/>
      <c r="N25" s="1645"/>
      <c r="O25" s="1645"/>
      <c r="P25" s="1645"/>
      <c r="Q25" s="1645"/>
      <c r="R25" s="1653" t="s">
        <v>679</v>
      </c>
      <c r="S25" s="26"/>
      <c r="V25" s="1"/>
    </row>
    <row r="26" spans="1:25" ht="18">
      <c r="A26" s="237"/>
      <c r="B26" s="237"/>
      <c r="C26" s="234"/>
      <c r="D26" s="234"/>
      <c r="E26" s="238"/>
      <c r="F26" s="247" t="s">
        <v>23</v>
      </c>
      <c r="G26" s="247" t="s">
        <v>234</v>
      </c>
      <c r="H26" s="248" t="s">
        <v>235</v>
      </c>
      <c r="I26" s="247" t="s">
        <v>236</v>
      </c>
      <c r="J26" s="247" t="s">
        <v>237</v>
      </c>
      <c r="K26" s="242">
        <v>1</v>
      </c>
      <c r="L26" s="257">
        <v>2</v>
      </c>
      <c r="M26" s="242">
        <v>3</v>
      </c>
      <c r="N26" s="243">
        <v>4</v>
      </c>
      <c r="O26" s="243">
        <v>5</v>
      </c>
      <c r="P26" s="243">
        <v>6</v>
      </c>
      <c r="Q26" s="243"/>
      <c r="R26" s="1654"/>
      <c r="S26" s="26"/>
      <c r="V26" s="1"/>
    </row>
    <row r="27" spans="1:25">
      <c r="A27" s="411"/>
      <c r="B27" s="245"/>
      <c r="C27" s="239"/>
      <c r="D27" s="239"/>
      <c r="E27" s="246"/>
      <c r="F27" s="250" t="s">
        <v>34</v>
      </c>
      <c r="G27" s="250" t="s">
        <v>34</v>
      </c>
      <c r="H27" s="251" t="s">
        <v>34</v>
      </c>
      <c r="I27" s="250" t="s">
        <v>77</v>
      </c>
      <c r="J27" s="250" t="s">
        <v>77</v>
      </c>
      <c r="K27" s="242" t="s">
        <v>34</v>
      </c>
      <c r="L27" s="242" t="s">
        <v>34</v>
      </c>
      <c r="M27" s="242" t="s">
        <v>34</v>
      </c>
      <c r="N27" s="242" t="s">
        <v>34</v>
      </c>
      <c r="O27" s="242" t="s">
        <v>34</v>
      </c>
      <c r="P27" s="242" t="s">
        <v>34</v>
      </c>
      <c r="Q27" s="242"/>
      <c r="R27" s="242" t="s">
        <v>34</v>
      </c>
      <c r="S27" s="26"/>
      <c r="V27" s="1"/>
    </row>
    <row r="28" spans="1:25">
      <c r="A28" s="112" t="str">
        <f>'3.3S_LC'!A25</f>
        <v>LC-1</v>
      </c>
      <c r="B28" s="112" t="str">
        <f>'3.3S_LC'!B25</f>
        <v>LWL QP, NS LWL DL, SIDL</v>
      </c>
      <c r="C28" s="11"/>
      <c r="D28" s="11"/>
      <c r="E28" s="191"/>
      <c r="F28" s="112">
        <f>'3.3S_LC'!F25</f>
        <v>987.04706530953285</v>
      </c>
      <c r="G28" s="112">
        <f>'3.3S_LC'!G25</f>
        <v>5.8532000000000011</v>
      </c>
      <c r="H28" s="112">
        <f>'3.3S_LC'!H25</f>
        <v>0</v>
      </c>
      <c r="I28" s="112">
        <f>'3.3S_LC'!I25</f>
        <v>48.464496000000011</v>
      </c>
      <c r="J28" s="112">
        <f>'3.3S_LC'!J25</f>
        <v>0</v>
      </c>
      <c r="K28" s="226">
        <f>$F28/$Q$6+$I28*$I$4/$Q$3+$J28*$J$4/$Q$4</f>
        <v>160.02039088492216</v>
      </c>
      <c r="L28" s="226">
        <f>$F28/$Q$6+$I28*$I$5/$Q$3+$J28*$J$5/$Q$4</f>
        <v>160.02039088492216</v>
      </c>
      <c r="M28" s="226">
        <f>$F28/$Q$6+$I28*$I$6/$Q$3+$J28*$J$6/$Q$4</f>
        <v>160.02039088492216</v>
      </c>
      <c r="N28" s="1165">
        <f>$F28/$Q$6+$I28*$I$7/$Q$3+$J28*$J$7/$Q$4</f>
        <v>168.99529755158881</v>
      </c>
      <c r="O28" s="1165">
        <f>$F28/$Q$6+$I28*$I$8/$Q$3+$J28*$J$8/$Q$4</f>
        <v>168.99529755158881</v>
      </c>
      <c r="P28" s="1165">
        <f>$F28/$Q$6+$I28*$I$9/$Q$3+$J28*$J$9/$Q$4</f>
        <v>168.99529755158881</v>
      </c>
      <c r="Q28" s="226"/>
      <c r="R28" s="196">
        <f>SQRT(G28^2+H28^2)/$Q$6</f>
        <v>0.97553333333333347</v>
      </c>
      <c r="S28" s="26"/>
      <c r="V28" s="1"/>
    </row>
    <row r="29" spans="1:25">
      <c r="A29" s="112" t="str">
        <f>'3.3S_LC'!A47</f>
        <v>LC-2</v>
      </c>
      <c r="B29" s="112" t="str">
        <f>'3.3S_LC'!B47</f>
        <v>HFL QP, NS LWL DL, SIDL</v>
      </c>
      <c r="C29" s="11"/>
      <c r="D29" s="11"/>
      <c r="E29" s="191"/>
      <c r="F29" s="112">
        <f>'3.3S_LC'!F47</f>
        <v>934.87382366472957</v>
      </c>
      <c r="G29" s="112">
        <f>'3.3S_LC'!G47</f>
        <v>5.8532000000000011</v>
      </c>
      <c r="H29" s="112">
        <f>'3.3S_LC'!H47</f>
        <v>0</v>
      </c>
      <c r="I29" s="112">
        <f>'3.3S_LC'!I47</f>
        <v>48.464496000000011</v>
      </c>
      <c r="J29" s="112">
        <f>'3.3S_LC'!J47</f>
        <v>0</v>
      </c>
      <c r="K29" s="226">
        <f>$F29/$Q$6+$I29*$I$4/$Q$3+$J29*$J$4/$Q$4</f>
        <v>151.32485061078827</v>
      </c>
      <c r="L29" s="226">
        <f>$F29/$Q$6+$I29*$I$5/$Q$3+$J29*$J$5/$Q$4</f>
        <v>151.32485061078827</v>
      </c>
      <c r="M29" s="226">
        <f>$F29/$Q$6+$I29*$I$6/$Q$3+$J29*$J$6/$Q$4</f>
        <v>151.32485061078827</v>
      </c>
      <c r="N29" s="1166">
        <f>$F29/$Q$6+$I29*$I$7/$Q$3+$J29*$J$7/$Q$4</f>
        <v>160.29975727745492</v>
      </c>
      <c r="O29" s="1166">
        <f t="shared" ref="O29:O34" si="0">$F29/$Q$6+$I29*$I$8/$Q$3+$J29*$J$8/$Q$4</f>
        <v>160.29975727745492</v>
      </c>
      <c r="P29" s="1166">
        <f t="shared" ref="P29:P34" si="1">$F29/$Q$6+$I29*$I$9/$Q$3+$J29*$J$9/$Q$4</f>
        <v>160.29975727745492</v>
      </c>
      <c r="Q29" s="226"/>
      <c r="R29" s="196">
        <f>SQRT(G29^2+H29^2)/$Q$6</f>
        <v>0.97553333333333347</v>
      </c>
      <c r="S29" s="26"/>
      <c r="V29" s="1"/>
    </row>
    <row r="30" spans="1:25">
      <c r="A30" s="112"/>
      <c r="B30" s="112"/>
      <c r="C30" s="11"/>
      <c r="D30" s="11"/>
      <c r="E30" s="191"/>
      <c r="F30" s="112"/>
      <c r="G30" s="112"/>
      <c r="H30" s="112"/>
      <c r="I30" s="112"/>
      <c r="J30" s="112"/>
      <c r="K30" s="226"/>
      <c r="L30" s="226"/>
      <c r="M30" s="226"/>
      <c r="N30" s="1166"/>
      <c r="O30" s="1166"/>
      <c r="P30" s="1166"/>
      <c r="Q30" s="226"/>
      <c r="R30" s="196"/>
      <c r="S30" s="26"/>
      <c r="V30" s="1"/>
    </row>
    <row r="31" spans="1:25">
      <c r="A31" s="112" t="str">
        <f>'3.3S_LC'!A71</f>
        <v>LC-3</v>
      </c>
      <c r="B31" s="112" t="str">
        <f>'3.3S_LC'!B71</f>
        <v>LWL RARE, NS LWL DL, SIDL, LL Max reaction</v>
      </c>
      <c r="C31" s="11"/>
      <c r="D31" s="11"/>
      <c r="E31" s="191"/>
      <c r="F31" s="112">
        <f>'3.3S_LC'!F71</f>
        <v>1127.3927795952472</v>
      </c>
      <c r="G31" s="112">
        <f>'3.3S_LC'!G71</f>
        <v>32.051277714285717</v>
      </c>
      <c r="H31" s="112">
        <f>'3.3S_LC'!H71</f>
        <v>0</v>
      </c>
      <c r="I31" s="112">
        <f>'3.3S_LC'!I71</f>
        <v>270.39703661714293</v>
      </c>
      <c r="J31" s="112">
        <f>'3.3S_LC'!J71</f>
        <v>-21.766229472329464</v>
      </c>
      <c r="K31" s="226">
        <f>$F31/$Q$6+$I31*$I$4/$Q$3+$J31*$J$4/$Q$4</f>
        <v>164.37357766282867</v>
      </c>
      <c r="L31" s="226">
        <f>$F31/$Q$6+$I31*$I$5/$Q$3+$J31*$J$5/$Q$4</f>
        <v>162.86203394947245</v>
      </c>
      <c r="M31" s="226">
        <f>$F31/$Q$6+$I31*$I$6/$Q$3+$J31*$J$6/$Q$4</f>
        <v>161.35049023611623</v>
      </c>
      <c r="N31" s="1166">
        <f>$F31/$Q$6+$I31*$I$7/$Q$3+$J31*$J$7/$Q$4</f>
        <v>214.44710296229954</v>
      </c>
      <c r="O31" s="1166">
        <f t="shared" si="0"/>
        <v>212.93555924894332</v>
      </c>
      <c r="P31" s="1166">
        <f t="shared" si="1"/>
        <v>211.4240155355871</v>
      </c>
      <c r="Q31" s="226"/>
      <c r="R31" s="196">
        <f>SQRT(G31^2+H31^2)/$Q$6</f>
        <v>5.3418796190476199</v>
      </c>
      <c r="S31" s="26"/>
      <c r="V31" s="1"/>
    </row>
    <row r="32" spans="1:25">
      <c r="A32" s="112" t="str">
        <f>'3.3S_LC'!A95</f>
        <v>LC-4</v>
      </c>
      <c r="B32" s="112" t="str">
        <f>'3.3S_LC'!B95</f>
        <v>LWL RARE, NS LWL DL, SIDL, LL Max Long. Moment</v>
      </c>
      <c r="C32" s="11"/>
      <c r="D32" s="11"/>
      <c r="E32" s="191"/>
      <c r="F32" s="112">
        <f>'3.3S_LC'!F95</f>
        <v>1114.9465510238185</v>
      </c>
      <c r="G32" s="112">
        <f>'3.3S_LC'!G95</f>
        <v>29.998225714285713</v>
      </c>
      <c r="H32" s="112">
        <f>'3.3S_LC'!H95</f>
        <v>0</v>
      </c>
      <c r="I32" s="112">
        <f>'3.3S_LC'!I95</f>
        <v>312.3350517714286</v>
      </c>
      <c r="J32" s="112">
        <f>'3.3S_LC'!J95</f>
        <v>-19.835942761904757</v>
      </c>
      <c r="K32" s="226">
        <f>$F32/$Q$6+$I32*$I$4/$Q$3+$J32*$J$4/$Q$4</f>
        <v>158.28200899471051</v>
      </c>
      <c r="L32" s="226">
        <f>$F32/$Q$6+$I32*$I$5/$Q$3+$J32*$J$5/$Q$4</f>
        <v>156.90451296957824</v>
      </c>
      <c r="M32" s="226">
        <f>$F32/$Q$6+$I32*$I$6/$Q$3+$J32*$J$6/$Q$4</f>
        <v>155.52701694444596</v>
      </c>
      <c r="N32" s="1166">
        <f>$F32/$Q$6+$I32*$I$7/$Q$3+$J32*$J$7/$Q$4</f>
        <v>216.1218333968269</v>
      </c>
      <c r="O32" s="1166">
        <f t="shared" si="0"/>
        <v>214.74433737169463</v>
      </c>
      <c r="P32" s="1166">
        <f t="shared" si="1"/>
        <v>213.36684134656235</v>
      </c>
      <c r="Q32" s="226"/>
      <c r="R32" s="196">
        <f>SQRT(G32^2+H32^2)/$Q$6</f>
        <v>4.9997042857142855</v>
      </c>
      <c r="S32" s="26"/>
      <c r="V32" s="1"/>
    </row>
    <row r="33" spans="1:22">
      <c r="A33" s="112" t="str">
        <f>'3.3S_LC'!A120</f>
        <v>LC-5</v>
      </c>
      <c r="B33" s="112" t="str">
        <f>'3.3S_LC'!B120</f>
        <v>HFL RARE, NS LWL DL, SIDL, LL Max reaction</v>
      </c>
      <c r="C33" s="11"/>
      <c r="D33" s="11"/>
      <c r="E33" s="191"/>
      <c r="F33" s="112">
        <f>'3.3S_LC'!F120</f>
        <v>1075.219537950444</v>
      </c>
      <c r="G33" s="112">
        <f>'3.3S_LC'!G120</f>
        <v>35.33690240120999</v>
      </c>
      <c r="H33" s="112">
        <f>'3.3S_LC'!H120</f>
        <v>3.5397182492142409</v>
      </c>
      <c r="I33" s="112">
        <f>'3.3S_LC'!I120</f>
        <v>277.45988812744321</v>
      </c>
      <c r="J33" s="112">
        <f>'3.3S_LC'!J120</f>
        <v>-16.436467998624199</v>
      </c>
      <c r="K33" s="226">
        <f>$F33/$Q$6+$I33*$I$4/$Q$3+$J33*$J$4/$Q$4</f>
        <v>154.65394733169666</v>
      </c>
      <c r="L33" s="226">
        <f>$F33/$Q$6+$I33*$I$5/$Q$3+$J33*$J$5/$Q$4</f>
        <v>153.51252594290332</v>
      </c>
      <c r="M33" s="226">
        <f>$F33/$Q$6+$I33*$I$6/$Q$3+$J33*$J$6/$Q$4</f>
        <v>152.37110455410999</v>
      </c>
      <c r="N33" s="1166">
        <f>$F33/$Q$6+$I33*$I$7/$Q$3+$J33*$J$7/$Q$4</f>
        <v>206.035408096038</v>
      </c>
      <c r="O33" s="1166">
        <f t="shared" si="0"/>
        <v>204.89398670724466</v>
      </c>
      <c r="P33" s="1166">
        <f t="shared" si="1"/>
        <v>203.75256531845133</v>
      </c>
      <c r="Q33" s="226"/>
      <c r="R33" s="196">
        <f>SQRT(G33^2+H33^2)/$Q$6</f>
        <v>5.9189579521053011</v>
      </c>
      <c r="S33" s="26"/>
      <c r="V33" s="1"/>
    </row>
    <row r="34" spans="1:22">
      <c r="A34" s="113" t="str">
        <f>'3.3S_LC'!A145</f>
        <v>LC-6</v>
      </c>
      <c r="B34" s="113" t="str">
        <f>'3.3S_LC'!B145</f>
        <v>HFL RARE, NS LWL DL, SIDL, LL Max Long. Moment</v>
      </c>
      <c r="C34" s="651"/>
      <c r="D34" s="651"/>
      <c r="E34" s="652"/>
      <c r="F34" s="113">
        <f>'3.3S_LC'!F145</f>
        <v>1062.7733093790152</v>
      </c>
      <c r="G34" s="113">
        <f>'3.3S_LC'!G145</f>
        <v>33.283850401209982</v>
      </c>
      <c r="H34" s="113">
        <f>'3.3S_LC'!H145</f>
        <v>3.5397182492142409</v>
      </c>
      <c r="I34" s="113">
        <f>'3.3S_LC'!I145</f>
        <v>319.39790328172887</v>
      </c>
      <c r="J34" s="113">
        <f>'3.3S_LC'!J145</f>
        <v>-14.506181288199492</v>
      </c>
      <c r="K34" s="1003">
        <f>$F34/$Q$6+$I34*$I$4/$Q$3+$J34*$J$4/$Q$4</f>
        <v>148.56237866357856</v>
      </c>
      <c r="L34" s="1003">
        <f>$F34/$Q$6+$I34*$I$5/$Q$3+$J34*$J$5/$Q$4</f>
        <v>147.55500496300914</v>
      </c>
      <c r="M34" s="1003">
        <f>$F34/$Q$6+$I34*$I$6/$Q$3+$J34*$J$6/$Q$4</f>
        <v>146.54763126243972</v>
      </c>
      <c r="N34" s="1167">
        <f>$F34/$Q$6+$I34*$I$7/$Q$3+$J34*$J$7/$Q$4</f>
        <v>207.71013853056536</v>
      </c>
      <c r="O34" s="1167">
        <f t="shared" si="0"/>
        <v>206.70276482999594</v>
      </c>
      <c r="P34" s="1167">
        <f t="shared" si="1"/>
        <v>205.69539112942653</v>
      </c>
      <c r="Q34" s="1003"/>
      <c r="R34" s="198">
        <f>SQRT(G34^2+H34^2)/$Q$6</f>
        <v>5.5785907788764328</v>
      </c>
      <c r="S34" s="26"/>
      <c r="V34" s="1"/>
    </row>
    <row r="35" spans="1:22">
      <c r="A35" s="11"/>
      <c r="B35" s="11"/>
      <c r="C35" s="11"/>
      <c r="D35" s="11"/>
      <c r="E35" s="11"/>
      <c r="F35" s="11"/>
      <c r="G35" s="11"/>
      <c r="H35" s="11"/>
      <c r="I35" s="11"/>
      <c r="J35" s="11"/>
      <c r="K35" s="255"/>
      <c r="L35" s="255"/>
      <c r="M35" s="255"/>
      <c r="N35" s="255"/>
      <c r="O35" s="255"/>
      <c r="P35" s="255"/>
      <c r="Q35" s="255"/>
      <c r="R35" s="172"/>
      <c r="S35" s="26"/>
      <c r="V35" s="1"/>
    </row>
    <row r="36" spans="1:22">
      <c r="S36" s="26"/>
    </row>
  </sheetData>
  <mergeCells count="3">
    <mergeCell ref="F25:J25"/>
    <mergeCell ref="R25:R26"/>
    <mergeCell ref="K25:Q25"/>
  </mergeCells>
  <pageMargins left="0.70866141732283505" right="0.70866141732283505" top="0.74803149606299202" bottom="0.74803149606299202" header="0.31496062992126" footer="0.31496062992126"/>
  <pageSetup paperSize="9" scale="94" orientation="landscape" blackAndWhite="1" r:id="rId1"/>
  <drawing r:id="rId2"/>
</worksheet>
</file>

<file path=xl/worksheets/sheet34.xml><?xml version="1.0" encoding="utf-8"?>
<worksheet xmlns="http://schemas.openxmlformats.org/spreadsheetml/2006/main" xmlns:r="http://schemas.openxmlformats.org/officeDocument/2006/relationships">
  <sheetPr codeName="Sheet24">
    <tabColor theme="6" tint="0.39997558519241921"/>
  </sheetPr>
  <dimension ref="A1:Y113"/>
  <sheetViews>
    <sheetView view="pageBreakPreview" topLeftCell="A85" zoomScaleSheetLayoutView="100" workbookViewId="0">
      <selection activeCell="M33" sqref="M33"/>
    </sheetView>
  </sheetViews>
  <sheetFormatPr defaultColWidth="7.7109375" defaultRowHeight="15"/>
  <sheetData>
    <row r="1" spans="1:23" s="7" customFormat="1">
      <c r="A1" s="62" t="s">
        <v>859</v>
      </c>
      <c r="B1" s="1"/>
      <c r="C1" s="1"/>
      <c r="D1" s="1"/>
      <c r="E1" s="1"/>
      <c r="F1" s="1"/>
      <c r="G1" s="1"/>
      <c r="H1" s="1"/>
      <c r="I1" s="1"/>
      <c r="J1" s="1"/>
      <c r="K1" s="1"/>
      <c r="L1" s="1"/>
      <c r="M1" s="1"/>
      <c r="N1" s="1"/>
      <c r="O1" s="1"/>
      <c r="P1" s="1"/>
      <c r="Q1" s="1"/>
      <c r="R1" s="1"/>
      <c r="S1" s="1"/>
      <c r="T1" s="1"/>
    </row>
    <row r="2" spans="1:23" s="7" customFormat="1">
      <c r="A2" s="214" t="s">
        <v>782</v>
      </c>
      <c r="B2" s="1"/>
      <c r="C2" s="1"/>
      <c r="D2" s="1"/>
      <c r="E2" s="1"/>
      <c r="F2" s="1"/>
      <c r="G2" s="1"/>
      <c r="H2" s="1"/>
      <c r="I2" s="1"/>
      <c r="J2" s="1"/>
      <c r="K2" s="1"/>
      <c r="L2" s="1"/>
      <c r="M2" s="1"/>
      <c r="N2" s="1"/>
      <c r="R2" s="1644" t="s">
        <v>783</v>
      </c>
      <c r="S2" s="1645"/>
      <c r="T2" s="1646"/>
    </row>
    <row r="3" spans="1:23" ht="15" customHeight="1">
      <c r="A3" s="228" t="s">
        <v>73</v>
      </c>
      <c r="B3" s="1644" t="s">
        <v>675</v>
      </c>
      <c r="C3" s="1645"/>
      <c r="D3" s="1645"/>
      <c r="E3" s="1645"/>
      <c r="F3" s="1645"/>
      <c r="G3" s="1645"/>
      <c r="H3" s="1645"/>
      <c r="I3" s="1646"/>
      <c r="J3" s="551" t="s">
        <v>679</v>
      </c>
      <c r="K3" s="1"/>
      <c r="L3" s="1013"/>
      <c r="M3" s="550"/>
      <c r="O3" s="1013"/>
      <c r="P3" s="550"/>
      <c r="R3" s="1636" t="s">
        <v>784</v>
      </c>
      <c r="S3" s="1638"/>
      <c r="T3" s="1655" t="s">
        <v>785</v>
      </c>
      <c r="W3" s="7"/>
    </row>
    <row r="4" spans="1:23">
      <c r="A4" s="237"/>
      <c r="B4" s="242">
        <v>1</v>
      </c>
      <c r="C4" s="257">
        <v>2</v>
      </c>
      <c r="D4" s="242">
        <v>3</v>
      </c>
      <c r="E4" s="243">
        <v>4</v>
      </c>
      <c r="F4" s="243">
        <v>5</v>
      </c>
      <c r="G4" s="243">
        <v>6</v>
      </c>
      <c r="H4" s="259"/>
      <c r="I4" s="244"/>
      <c r="J4" s="552"/>
      <c r="K4" s="1"/>
      <c r="L4" s="1014" t="s">
        <v>1546</v>
      </c>
      <c r="M4" s="1015" t="s">
        <v>1547</v>
      </c>
      <c r="O4" s="1014" t="s">
        <v>1548</v>
      </c>
      <c r="P4" s="1015" t="s">
        <v>1549</v>
      </c>
      <c r="R4" s="554" t="s">
        <v>420</v>
      </c>
      <c r="S4" s="553" t="s">
        <v>425</v>
      </c>
      <c r="T4" s="1656"/>
      <c r="W4" s="7"/>
    </row>
    <row r="5" spans="1:23">
      <c r="A5" s="411"/>
      <c r="B5" s="242" t="s">
        <v>34</v>
      </c>
      <c r="C5" s="242" t="s">
        <v>34</v>
      </c>
      <c r="D5" s="242" t="s">
        <v>34</v>
      </c>
      <c r="E5" s="242" t="s">
        <v>34</v>
      </c>
      <c r="F5" s="242" t="s">
        <v>34</v>
      </c>
      <c r="G5" s="242" t="s">
        <v>34</v>
      </c>
      <c r="H5" s="242"/>
      <c r="I5" s="242"/>
      <c r="J5" s="242" t="s">
        <v>34</v>
      </c>
      <c r="K5" s="1"/>
      <c r="L5" s="242" t="s">
        <v>34</v>
      </c>
      <c r="M5" s="1011" t="s">
        <v>34</v>
      </c>
      <c r="O5" s="242" t="s">
        <v>34</v>
      </c>
      <c r="P5" s="1011" t="s">
        <v>34</v>
      </c>
      <c r="R5" s="242" t="s">
        <v>34</v>
      </c>
      <c r="S5" s="242" t="s">
        <v>34</v>
      </c>
      <c r="T5" s="242" t="s">
        <v>34</v>
      </c>
      <c r="W5" s="7"/>
    </row>
    <row r="6" spans="1:23">
      <c r="A6" s="112" t="str">
        <f>'3.3S_LC_SUM'!A28</f>
        <v>LC-1</v>
      </c>
      <c r="B6" s="226">
        <f>'3.3S_LC_SUM'!K28</f>
        <v>160.02039088492216</v>
      </c>
      <c r="C6" s="226">
        <f>'3.3S_LC_SUM'!L28</f>
        <v>160.02039088492216</v>
      </c>
      <c r="D6" s="226">
        <f>'3.3S_LC_SUM'!M28</f>
        <v>160.02039088492216</v>
      </c>
      <c r="E6" s="226">
        <f>'3.3S_LC_SUM'!N28</f>
        <v>168.99529755158881</v>
      </c>
      <c r="F6" s="226">
        <f>'3.3S_LC_SUM'!O28</f>
        <v>168.99529755158881</v>
      </c>
      <c r="G6" s="226">
        <f>'3.3S_LC_SUM'!P28</f>
        <v>168.99529755158881</v>
      </c>
      <c r="H6" s="226"/>
      <c r="I6" s="226"/>
      <c r="J6" s="226">
        <f>'3.3S_LC_SUM'!R28</f>
        <v>0.97553333333333347</v>
      </c>
      <c r="K6" s="1"/>
      <c r="L6" s="226">
        <f>SUM(B6:D6)</f>
        <v>480.06117265476649</v>
      </c>
      <c r="M6" s="1012">
        <f>SUM(E6:G6)</f>
        <v>506.98589265476642</v>
      </c>
      <c r="O6" s="226">
        <f>B6+E6</f>
        <v>329.01568843651097</v>
      </c>
      <c r="P6" s="1012">
        <f>D6+G6</f>
        <v>329.01568843651097</v>
      </c>
      <c r="R6" s="226">
        <f>MAX(B6:G6)</f>
        <v>168.99529755158881</v>
      </c>
      <c r="S6" s="226">
        <f>MIN(B6:G6)</f>
        <v>160.02039088492216</v>
      </c>
      <c r="T6" s="226">
        <f>J6</f>
        <v>0.97553333333333347</v>
      </c>
      <c r="W6" s="7"/>
    </row>
    <row r="7" spans="1:23">
      <c r="A7" s="112" t="str">
        <f>'3.3S_LC_SUM'!A29</f>
        <v>LC-2</v>
      </c>
      <c r="B7" s="226">
        <f>'3.3S_LC_SUM'!K29</f>
        <v>151.32485061078827</v>
      </c>
      <c r="C7" s="226">
        <f>'3.3S_LC_SUM'!L29</f>
        <v>151.32485061078827</v>
      </c>
      <c r="D7" s="226">
        <f>'3.3S_LC_SUM'!M29</f>
        <v>151.32485061078827</v>
      </c>
      <c r="E7" s="226">
        <f>'3.3S_LC_SUM'!N29</f>
        <v>160.29975727745492</v>
      </c>
      <c r="F7" s="226">
        <f>'3.3S_LC_SUM'!O29</f>
        <v>160.29975727745492</v>
      </c>
      <c r="G7" s="226">
        <f>'3.3S_LC_SUM'!P29</f>
        <v>160.29975727745492</v>
      </c>
      <c r="H7" s="226"/>
      <c r="I7" s="226"/>
      <c r="J7" s="226">
        <f>'3.3S_LC_SUM'!R29</f>
        <v>0.97553333333333347</v>
      </c>
      <c r="K7" s="1"/>
      <c r="L7" s="226">
        <f t="shared" ref="L7:L12" si="0">SUM(B7:D7)</f>
        <v>453.9745518323648</v>
      </c>
      <c r="M7" s="1012">
        <f t="shared" ref="M7:M12" si="1">SUM(E7:G7)</f>
        <v>480.89927183236478</v>
      </c>
      <c r="O7" s="226">
        <f t="shared" ref="O7:O12" si="2">B7+E7</f>
        <v>311.62460788824319</v>
      </c>
      <c r="P7" s="1012">
        <f t="shared" ref="P7:P12" si="3">D7+G7</f>
        <v>311.62460788824319</v>
      </c>
      <c r="R7" s="226">
        <f t="shared" ref="R7:R12" si="4">MAX(B7:G7)</f>
        <v>160.29975727745492</v>
      </c>
      <c r="S7" s="226">
        <f t="shared" ref="S7:S12" si="5">MIN(B7:G7)</f>
        <v>151.32485061078827</v>
      </c>
      <c r="T7" s="226">
        <f>J7</f>
        <v>0.97553333333333347</v>
      </c>
      <c r="W7" s="7"/>
    </row>
    <row r="8" spans="1:23">
      <c r="A8" s="226"/>
      <c r="B8" s="226"/>
      <c r="C8" s="226"/>
      <c r="D8" s="226"/>
      <c r="E8" s="226"/>
      <c r="F8" s="226"/>
      <c r="G8" s="226"/>
      <c r="H8" s="226"/>
      <c r="I8" s="226"/>
      <c r="J8" s="226"/>
      <c r="K8" s="1"/>
      <c r="L8" s="226"/>
      <c r="M8" s="1012"/>
      <c r="O8" s="226"/>
      <c r="P8" s="1012"/>
      <c r="R8" s="226"/>
      <c r="S8" s="226"/>
      <c r="T8" s="226"/>
      <c r="W8" s="7"/>
    </row>
    <row r="9" spans="1:23">
      <c r="A9" s="112" t="str">
        <f>'3.3S_LC_SUM'!A31</f>
        <v>LC-3</v>
      </c>
      <c r="B9" s="226">
        <f>'3.3S_LC_SUM'!K31</f>
        <v>164.37357766282867</v>
      </c>
      <c r="C9" s="226">
        <f>'3.3S_LC_SUM'!L31</f>
        <v>162.86203394947245</v>
      </c>
      <c r="D9" s="226">
        <f>'3.3S_LC_SUM'!M31</f>
        <v>161.35049023611623</v>
      </c>
      <c r="E9" s="226">
        <f>'3.3S_LC_SUM'!N31</f>
        <v>214.44710296229954</v>
      </c>
      <c r="F9" s="226">
        <f>'3.3S_LC_SUM'!O31</f>
        <v>212.93555924894332</v>
      </c>
      <c r="G9" s="226">
        <f>'3.3S_LC_SUM'!P31</f>
        <v>211.4240155355871</v>
      </c>
      <c r="H9" s="226"/>
      <c r="I9" s="226"/>
      <c r="J9" s="226">
        <f>'3.3S_LC_SUM'!R31</f>
        <v>5.3418796190476199</v>
      </c>
      <c r="K9" s="1"/>
      <c r="L9" s="226">
        <f t="shared" si="0"/>
        <v>488.58610184841734</v>
      </c>
      <c r="M9" s="1012">
        <f t="shared" si="1"/>
        <v>638.80667774683002</v>
      </c>
      <c r="O9" s="226">
        <f t="shared" si="2"/>
        <v>378.8206806251282</v>
      </c>
      <c r="P9" s="1012">
        <f t="shared" si="3"/>
        <v>372.77450577170333</v>
      </c>
      <c r="R9" s="226">
        <f t="shared" si="4"/>
        <v>214.44710296229954</v>
      </c>
      <c r="S9" s="226">
        <f t="shared" si="5"/>
        <v>161.35049023611623</v>
      </c>
      <c r="T9" s="226">
        <f>J9</f>
        <v>5.3418796190476199</v>
      </c>
      <c r="W9" s="7"/>
    </row>
    <row r="10" spans="1:23">
      <c r="A10" s="112" t="str">
        <f>'3.3S_LC_SUM'!A32</f>
        <v>LC-4</v>
      </c>
      <c r="B10" s="226">
        <f>'3.3S_LC_SUM'!K32</f>
        <v>158.28200899471051</v>
      </c>
      <c r="C10" s="226">
        <f>'3.3S_LC_SUM'!L32</f>
        <v>156.90451296957824</v>
      </c>
      <c r="D10" s="226">
        <f>'3.3S_LC_SUM'!M32</f>
        <v>155.52701694444596</v>
      </c>
      <c r="E10" s="226">
        <f>'3.3S_LC_SUM'!N32</f>
        <v>216.1218333968269</v>
      </c>
      <c r="F10" s="226">
        <f>'3.3S_LC_SUM'!O32</f>
        <v>214.74433737169463</v>
      </c>
      <c r="G10" s="226">
        <f>'3.3S_LC_SUM'!P32</f>
        <v>213.36684134656235</v>
      </c>
      <c r="H10" s="226"/>
      <c r="I10" s="226"/>
      <c r="J10" s="226">
        <f>'3.3S_LC_SUM'!R32</f>
        <v>4.9997042857142855</v>
      </c>
      <c r="K10" s="1"/>
      <c r="L10" s="226">
        <f t="shared" si="0"/>
        <v>470.71353890873473</v>
      </c>
      <c r="M10" s="1012">
        <f t="shared" si="1"/>
        <v>644.23301211508397</v>
      </c>
      <c r="O10" s="226">
        <f t="shared" si="2"/>
        <v>374.40384239153741</v>
      </c>
      <c r="P10" s="1012">
        <f t="shared" si="3"/>
        <v>368.89385829100831</v>
      </c>
      <c r="R10" s="226">
        <f t="shared" si="4"/>
        <v>216.1218333968269</v>
      </c>
      <c r="S10" s="226">
        <f t="shared" si="5"/>
        <v>155.52701694444596</v>
      </c>
      <c r="T10" s="226">
        <f>J10</f>
        <v>4.9997042857142855</v>
      </c>
      <c r="W10" s="7"/>
    </row>
    <row r="11" spans="1:23">
      <c r="A11" s="112" t="str">
        <f>'3.3S_LC_SUM'!A33</f>
        <v>LC-5</v>
      </c>
      <c r="B11" s="226">
        <f>'3.3S_LC_SUM'!K33</f>
        <v>154.65394733169666</v>
      </c>
      <c r="C11" s="226">
        <f>'3.3S_LC_SUM'!L33</f>
        <v>153.51252594290332</v>
      </c>
      <c r="D11" s="226">
        <f>'3.3S_LC_SUM'!M33</f>
        <v>152.37110455410999</v>
      </c>
      <c r="E11" s="226">
        <f>'3.3S_LC_SUM'!N33</f>
        <v>206.035408096038</v>
      </c>
      <c r="F11" s="226">
        <f>'3.3S_LC_SUM'!O33</f>
        <v>204.89398670724466</v>
      </c>
      <c r="G11" s="226">
        <f>'3.3S_LC_SUM'!P33</f>
        <v>203.75256531845133</v>
      </c>
      <c r="H11" s="256"/>
      <c r="I11" s="260"/>
      <c r="J11" s="226">
        <f>'3.3S_LC_SUM'!R33</f>
        <v>5.9189579521053011</v>
      </c>
      <c r="K11" s="1"/>
      <c r="L11" s="226">
        <f t="shared" si="0"/>
        <v>460.53757782870997</v>
      </c>
      <c r="M11" s="1012">
        <f t="shared" si="1"/>
        <v>614.68196012173394</v>
      </c>
      <c r="O11" s="226">
        <f t="shared" si="2"/>
        <v>360.68935542773465</v>
      </c>
      <c r="P11" s="1012">
        <f t="shared" si="3"/>
        <v>356.12366987256132</v>
      </c>
      <c r="R11" s="226">
        <f t="shared" si="4"/>
        <v>206.035408096038</v>
      </c>
      <c r="S11" s="226">
        <f t="shared" si="5"/>
        <v>152.37110455410999</v>
      </c>
      <c r="T11" s="226">
        <f>J11</f>
        <v>5.9189579521053011</v>
      </c>
      <c r="W11" s="7"/>
    </row>
    <row r="12" spans="1:23">
      <c r="A12" s="112" t="str">
        <f>'3.3S_LC_SUM'!A34</f>
        <v>LC-6</v>
      </c>
      <c r="B12" s="226">
        <f>'3.3S_LC_SUM'!K34</f>
        <v>148.56237866357856</v>
      </c>
      <c r="C12" s="226">
        <f>'3.3S_LC_SUM'!L34</f>
        <v>147.55500496300914</v>
      </c>
      <c r="D12" s="226">
        <f>'3.3S_LC_SUM'!M34</f>
        <v>146.54763126243972</v>
      </c>
      <c r="E12" s="226">
        <f>'3.3S_LC_SUM'!N34</f>
        <v>207.71013853056536</v>
      </c>
      <c r="F12" s="226">
        <f>'3.3S_LC_SUM'!O34</f>
        <v>206.70276482999594</v>
      </c>
      <c r="G12" s="226">
        <f>'3.3S_LC_SUM'!P34</f>
        <v>205.69539112942653</v>
      </c>
      <c r="H12" s="256"/>
      <c r="I12" s="260"/>
      <c r="J12" s="226">
        <f>'3.3S_LC_SUM'!R34</f>
        <v>5.5785907788764328</v>
      </c>
      <c r="K12" s="1"/>
      <c r="L12" s="226">
        <f t="shared" si="0"/>
        <v>442.66501488902742</v>
      </c>
      <c r="M12" s="1012">
        <f t="shared" si="1"/>
        <v>620.10829448998788</v>
      </c>
      <c r="O12" s="226">
        <f t="shared" si="2"/>
        <v>356.27251719414392</v>
      </c>
      <c r="P12" s="1012">
        <f t="shared" si="3"/>
        <v>352.24302239186625</v>
      </c>
      <c r="R12" s="226">
        <f t="shared" si="4"/>
        <v>207.71013853056536</v>
      </c>
      <c r="S12" s="226">
        <f t="shared" si="5"/>
        <v>146.54763126243972</v>
      </c>
      <c r="T12" s="226">
        <f>J12</f>
        <v>5.5785907788764328</v>
      </c>
      <c r="W12" s="7"/>
    </row>
    <row r="13" spans="1:23">
      <c r="A13" s="112"/>
      <c r="B13" s="226"/>
      <c r="C13" s="226"/>
      <c r="D13" s="226"/>
      <c r="E13" s="226"/>
      <c r="F13" s="226"/>
      <c r="G13" s="226"/>
      <c r="H13" s="256"/>
      <c r="I13" s="260"/>
      <c r="J13" s="226"/>
      <c r="K13" s="1"/>
      <c r="L13" s="226"/>
      <c r="M13" s="1012"/>
      <c r="O13" s="196"/>
      <c r="P13" s="1012"/>
      <c r="R13" s="226"/>
      <c r="S13" s="226"/>
      <c r="T13" s="226"/>
      <c r="W13" s="7"/>
    </row>
    <row r="14" spans="1:23">
      <c r="A14" s="112"/>
      <c r="B14" s="226"/>
      <c r="C14" s="226"/>
      <c r="D14" s="226"/>
      <c r="E14" s="226"/>
      <c r="F14" s="226"/>
      <c r="G14" s="226"/>
      <c r="H14" s="256"/>
      <c r="I14" s="260"/>
      <c r="J14" s="226"/>
      <c r="K14" s="1"/>
      <c r="L14" s="226"/>
      <c r="M14" s="1012"/>
      <c r="O14" s="196"/>
      <c r="P14" s="1012"/>
      <c r="R14" s="226"/>
      <c r="S14" s="226"/>
      <c r="T14" s="226"/>
      <c r="W14" s="7"/>
    </row>
    <row r="15" spans="1:23">
      <c r="A15" s="112"/>
      <c r="B15" s="226"/>
      <c r="C15" s="226"/>
      <c r="D15" s="226"/>
      <c r="E15" s="255"/>
      <c r="F15" s="255"/>
      <c r="G15" s="255"/>
      <c r="H15" s="256"/>
      <c r="I15" s="260"/>
      <c r="J15" s="210"/>
      <c r="K15" s="1"/>
      <c r="L15" s="196"/>
      <c r="M15" s="1012"/>
      <c r="O15" s="196"/>
      <c r="P15" s="1012"/>
      <c r="R15" s="226"/>
      <c r="S15" s="226"/>
      <c r="T15" s="226"/>
      <c r="W15" s="7"/>
    </row>
    <row r="16" spans="1:23" s="11" customFormat="1">
      <c r="A16" s="1"/>
      <c r="B16" s="1"/>
      <c r="C16" s="1"/>
      <c r="D16" s="1"/>
      <c r="E16" s="224"/>
      <c r="F16" s="224"/>
      <c r="T16" s="26"/>
    </row>
    <row r="17" spans="1:20" s="11" customFormat="1">
      <c r="A17" s="1"/>
      <c r="B17" s="1"/>
      <c r="C17" s="1"/>
      <c r="D17" s="1"/>
      <c r="E17" s="224"/>
      <c r="F17" s="224"/>
      <c r="T17" s="26"/>
    </row>
    <row r="18" spans="1:20" s="11" customFormat="1">
      <c r="A18" s="1"/>
      <c r="B18" s="1"/>
      <c r="C18" s="498">
        <f>'3.4_LC_sum'!C7</f>
        <v>0.75</v>
      </c>
      <c r="D18" s="1000">
        <f>'3.3S_LC_SUM'!C3</f>
        <v>3.6</v>
      </c>
      <c r="E18" s="78"/>
      <c r="F18" s="224"/>
      <c r="G18" s="78"/>
      <c r="H18" s="1"/>
      <c r="I18" s="1"/>
      <c r="J18" s="224"/>
      <c r="T18" s="26"/>
    </row>
    <row r="19" spans="1:20" s="11" customFormat="1">
      <c r="A19" s="1"/>
      <c r="B19" s="1"/>
      <c r="C19" s="78"/>
      <c r="D19" s="78"/>
      <c r="E19" s="78"/>
      <c r="F19" s="224"/>
      <c r="H19" s="78"/>
      <c r="L19" s="7" t="s">
        <v>689</v>
      </c>
      <c r="M19" s="7"/>
      <c r="N19" s="1"/>
      <c r="O19" s="7" t="s">
        <v>1</v>
      </c>
      <c r="P19" s="478">
        <f>GEN!F97</f>
        <v>1.2</v>
      </c>
      <c r="Q19" s="7" t="s">
        <v>2</v>
      </c>
      <c r="T19" s="26"/>
    </row>
    <row r="20" spans="1:20" s="11" customFormat="1">
      <c r="A20" s="1"/>
      <c r="B20" s="498">
        <f>'3.3S_LC_SUM'!E5</f>
        <v>0.75</v>
      </c>
      <c r="C20" s="78"/>
      <c r="D20" s="78"/>
      <c r="E20" s="78"/>
      <c r="I20" s="1"/>
      <c r="L20" s="7" t="s">
        <v>696</v>
      </c>
      <c r="M20" s="7"/>
      <c r="N20" s="1"/>
      <c r="O20" s="7" t="s">
        <v>1</v>
      </c>
      <c r="P20" s="478">
        <f>GEN!H146</f>
        <v>1.8</v>
      </c>
      <c r="Q20" s="7" t="s">
        <v>2</v>
      </c>
      <c r="T20" s="26"/>
    </row>
    <row r="21" spans="1:20" s="11" customFormat="1" ht="17.25">
      <c r="A21" s="1"/>
      <c r="B21" s="1"/>
      <c r="C21" s="78"/>
      <c r="D21" s="78"/>
      <c r="E21" s="78"/>
      <c r="F21" s="224"/>
      <c r="H21" s="78"/>
      <c r="L21" s="7" t="s">
        <v>49</v>
      </c>
      <c r="M21" s="7"/>
      <c r="N21" s="1"/>
      <c r="O21" s="224" t="s">
        <v>1</v>
      </c>
      <c r="P21" s="478">
        <f>GEN!H32</f>
        <v>2.5</v>
      </c>
      <c r="Q21" s="1" t="s">
        <v>21</v>
      </c>
      <c r="T21" s="26"/>
    </row>
    <row r="22" spans="1:20" s="11" customFormat="1">
      <c r="A22" s="1"/>
      <c r="B22" s="1"/>
      <c r="C22" s="78"/>
      <c r="D22" s="78"/>
      <c r="F22" s="224"/>
      <c r="H22" s="401">
        <f>(I27-E26)/2</f>
        <v>0.99999999999999956</v>
      </c>
      <c r="L22" s="7" t="s">
        <v>698</v>
      </c>
      <c r="M22" s="7"/>
      <c r="N22" s="1"/>
      <c r="O22" s="224" t="s">
        <v>1</v>
      </c>
      <c r="P22" s="581">
        <f>GEN!K141-GEN!K144</f>
        <v>0.5</v>
      </c>
      <c r="Q22" s="1" t="s">
        <v>2</v>
      </c>
      <c r="T22" s="26"/>
    </row>
    <row r="23" spans="1:20" s="11" customFormat="1" ht="17.25">
      <c r="A23" s="1"/>
      <c r="B23" s="1"/>
      <c r="C23" s="78"/>
      <c r="D23" s="78"/>
      <c r="E23" s="78"/>
      <c r="F23" s="224"/>
      <c r="H23" s="78"/>
      <c r="L23" s="1" t="s">
        <v>699</v>
      </c>
      <c r="M23" s="1"/>
      <c r="N23" s="1"/>
      <c r="O23" s="1" t="s">
        <v>1</v>
      </c>
      <c r="P23" s="478">
        <f>GEN!H33</f>
        <v>2</v>
      </c>
      <c r="Q23" s="1" t="s">
        <v>21</v>
      </c>
      <c r="T23" s="26"/>
    </row>
    <row r="24" spans="1:20" s="11" customFormat="1">
      <c r="A24" s="1"/>
      <c r="B24" s="1"/>
      <c r="C24" s="78"/>
      <c r="D24" s="78"/>
      <c r="E24" s="78"/>
      <c r="L24" s="1"/>
      <c r="M24" s="1"/>
      <c r="N24" s="1"/>
      <c r="O24" s="1"/>
      <c r="P24" s="1"/>
      <c r="Q24" s="1"/>
      <c r="T24" s="26"/>
    </row>
    <row r="25" spans="1:20" s="11" customFormat="1">
      <c r="A25" s="1"/>
      <c r="B25" s="1002">
        <f>'3.3S_LC_SUM'!E8</f>
        <v>3.6</v>
      </c>
      <c r="D25" s="78">
        <f>GEN!F203</f>
        <v>1.2</v>
      </c>
      <c r="H25" s="78"/>
      <c r="L25" s="26" t="s">
        <v>714</v>
      </c>
      <c r="M25" s="26"/>
      <c r="N25" s="26"/>
      <c r="O25" s="26" t="s">
        <v>1</v>
      </c>
      <c r="P25" s="4">
        <f>P20*0.9</f>
        <v>1.62</v>
      </c>
      <c r="Q25" s="26" t="s">
        <v>2</v>
      </c>
      <c r="T25" s="26"/>
    </row>
    <row r="26" spans="1:20" s="11" customFormat="1">
      <c r="A26" s="1"/>
      <c r="B26" s="1"/>
      <c r="C26" s="78"/>
      <c r="D26" s="78"/>
      <c r="E26" s="78">
        <f>GEN!H194</f>
        <v>6.7</v>
      </c>
      <c r="F26" s="224"/>
      <c r="H26" s="78"/>
      <c r="T26" s="26"/>
    </row>
    <row r="27" spans="1:20" s="11" customFormat="1">
      <c r="A27" s="1"/>
      <c r="B27" s="1"/>
      <c r="E27" s="1027"/>
      <c r="F27" s="224"/>
      <c r="I27" s="497">
        <f>'3.4_LC_sum'!G15</f>
        <v>8.6999999999999993</v>
      </c>
      <c r="T27" s="26"/>
    </row>
    <row r="28" spans="1:20" s="11" customFormat="1">
      <c r="A28" s="1"/>
      <c r="B28" s="1"/>
      <c r="C28" s="78"/>
      <c r="D28" s="78"/>
      <c r="E28" s="78"/>
      <c r="F28" s="224"/>
      <c r="H28" s="78"/>
      <c r="T28" s="26"/>
    </row>
    <row r="29" spans="1:20" s="11" customFormat="1">
      <c r="A29" s="1"/>
      <c r="B29" s="1"/>
      <c r="C29" s="78"/>
      <c r="D29" s="78"/>
      <c r="E29" s="78"/>
      <c r="F29" s="224"/>
      <c r="H29" s="78"/>
      <c r="T29" s="26"/>
    </row>
    <row r="30" spans="1:20" s="11" customFormat="1">
      <c r="A30" s="1"/>
      <c r="B30" s="1"/>
      <c r="C30" s="78"/>
      <c r="D30" s="78"/>
      <c r="E30" s="78"/>
      <c r="F30" s="224"/>
      <c r="H30" s="78"/>
      <c r="T30" s="26"/>
    </row>
    <row r="31" spans="1:20" s="11" customFormat="1">
      <c r="A31" s="1"/>
      <c r="B31" s="1"/>
      <c r="C31" s="78"/>
      <c r="D31" s="78"/>
      <c r="E31" s="78"/>
      <c r="F31" s="224"/>
      <c r="H31" s="78"/>
      <c r="T31" s="26"/>
    </row>
    <row r="32" spans="1:20" s="11" customFormat="1">
      <c r="A32" s="1"/>
      <c r="B32" s="1"/>
      <c r="C32" s="78"/>
      <c r="D32" s="78"/>
      <c r="E32" s="78"/>
      <c r="F32" s="224"/>
      <c r="H32" s="224"/>
      <c r="T32" s="26"/>
    </row>
    <row r="33" spans="1:20" s="11" customFormat="1">
      <c r="A33" s="1"/>
      <c r="B33" s="1"/>
      <c r="C33" s="78"/>
      <c r="D33" s="78"/>
      <c r="E33" s="78"/>
      <c r="F33" s="224"/>
      <c r="H33" s="224"/>
      <c r="T33" s="26"/>
    </row>
    <row r="34" spans="1:20" s="11" customFormat="1">
      <c r="A34" s="1"/>
      <c r="B34" s="1"/>
      <c r="C34" s="78"/>
      <c r="D34" s="526"/>
      <c r="E34" s="78"/>
      <c r="F34" s="224"/>
      <c r="H34" s="224"/>
      <c r="T34" s="26"/>
    </row>
    <row r="35" spans="1:20" s="11" customFormat="1">
      <c r="A35" s="1"/>
      <c r="B35" s="1"/>
      <c r="C35" s="1005">
        <f>GEN!E203</f>
        <v>1.9499999999999997</v>
      </c>
      <c r="D35" s="78"/>
      <c r="E35" s="78"/>
      <c r="F35" s="401">
        <f>GEN!G203</f>
        <v>1.9499999999999997</v>
      </c>
      <c r="H35" s="224"/>
      <c r="T35" s="26"/>
    </row>
    <row r="36" spans="1:20" s="11" customFormat="1">
      <c r="A36" s="1"/>
      <c r="B36" s="1"/>
      <c r="C36" s="78"/>
      <c r="D36" s="78"/>
      <c r="E36" s="78"/>
      <c r="F36" s="224"/>
      <c r="G36" s="224"/>
      <c r="T36" s="26"/>
    </row>
    <row r="37" spans="1:20" s="11" customFormat="1">
      <c r="A37" s="1"/>
      <c r="B37" s="1"/>
      <c r="C37" s="78"/>
      <c r="D37" s="1000">
        <f>'3.3S_LC_SUM'!C18</f>
        <v>5.0999999999999996</v>
      </c>
      <c r="E37" s="78"/>
      <c r="F37" s="224"/>
      <c r="G37" s="224"/>
      <c r="T37" s="26"/>
    </row>
    <row r="38" spans="1:20" s="11" customFormat="1">
      <c r="A38" s="1"/>
      <c r="B38" s="1"/>
      <c r="C38" s="1"/>
      <c r="D38" s="1"/>
      <c r="E38" s="1"/>
      <c r="F38" s="224"/>
      <c r="G38" s="224"/>
      <c r="T38" s="26"/>
    </row>
    <row r="39" spans="1:20" s="11" customFormat="1">
      <c r="T39" s="26"/>
    </row>
    <row r="40" spans="1:20" s="11" customFormat="1">
      <c r="A40" s="502" t="s">
        <v>861</v>
      </c>
      <c r="M40" s="26"/>
    </row>
    <row r="41" spans="1:20" s="11" customFormat="1">
      <c r="A41" s="502"/>
      <c r="G41" s="371"/>
      <c r="H41" s="499" t="s">
        <v>1572</v>
      </c>
      <c r="I41" s="227"/>
      <c r="J41" s="227"/>
      <c r="K41" s="657"/>
      <c r="M41" s="30"/>
      <c r="N41" s="227"/>
      <c r="O41" s="499" t="s">
        <v>1456</v>
      </c>
      <c r="P41" s="227"/>
      <c r="Q41" s="227"/>
      <c r="R41" s="657"/>
    </row>
    <row r="42" spans="1:20" s="372" customFormat="1">
      <c r="A42" s="374" t="s">
        <v>687</v>
      </c>
      <c r="B42" s="499"/>
      <c r="C42" s="499"/>
      <c r="D42" s="499"/>
      <c r="E42" s="499"/>
      <c r="F42" s="501"/>
      <c r="G42" s="1148" t="s">
        <v>1546</v>
      </c>
      <c r="H42" s="1149"/>
      <c r="I42" s="1162"/>
      <c r="J42" s="1149" t="s">
        <v>1547</v>
      </c>
      <c r="K42" s="501"/>
      <c r="M42" s="1148" t="s">
        <v>1548</v>
      </c>
      <c r="N42" s="1149"/>
      <c r="O42" s="1162"/>
      <c r="P42" s="1149" t="s">
        <v>1549</v>
      </c>
      <c r="Q42" s="499"/>
      <c r="R42" s="501"/>
    </row>
    <row r="43" spans="1:20" s="11" customFormat="1">
      <c r="A43" s="112" t="s">
        <v>686</v>
      </c>
      <c r="F43" s="191" t="s">
        <v>1</v>
      </c>
      <c r="G43" s="294">
        <f>MAX(L6:L7)</f>
        <v>480.06117265476649</v>
      </c>
      <c r="H43" s="11" t="s">
        <v>51</v>
      </c>
      <c r="I43" s="191"/>
      <c r="J43" s="186">
        <f>MAX(M6:M7)</f>
        <v>506.98589265476642</v>
      </c>
      <c r="K43" s="191" t="s">
        <v>51</v>
      </c>
      <c r="M43" s="294">
        <f>MAX(O6:O7)</f>
        <v>329.01568843651097</v>
      </c>
      <c r="N43" s="11" t="s">
        <v>51</v>
      </c>
      <c r="O43" s="191"/>
      <c r="P43" s="186">
        <f>MAX(P6:P7)</f>
        <v>329.01568843651097</v>
      </c>
      <c r="Q43" s="11" t="s">
        <v>51</v>
      </c>
      <c r="R43" s="191"/>
    </row>
    <row r="44" spans="1:20" s="11" customFormat="1">
      <c r="A44" s="112" t="s">
        <v>691</v>
      </c>
      <c r="F44" s="191" t="s">
        <v>1</v>
      </c>
      <c r="G44" s="112">
        <f>C35-C18</f>
        <v>1.1999999999999997</v>
      </c>
      <c r="H44" s="11" t="s">
        <v>2</v>
      </c>
      <c r="I44" s="191"/>
      <c r="J44" s="11">
        <f>F35-C18</f>
        <v>1.1999999999999997</v>
      </c>
      <c r="K44" s="191" t="s">
        <v>2</v>
      </c>
      <c r="M44" s="112">
        <f>H22-B20</f>
        <v>0.24999999999999956</v>
      </c>
      <c r="N44" s="11" t="s">
        <v>2</v>
      </c>
      <c r="O44" s="191"/>
      <c r="P44" s="11">
        <f>H22-B20</f>
        <v>0.24999999999999956</v>
      </c>
      <c r="Q44" s="11" t="s">
        <v>2</v>
      </c>
      <c r="R44" s="191"/>
    </row>
    <row r="45" spans="1:20" s="11" customFormat="1">
      <c r="A45" s="112" t="s">
        <v>692</v>
      </c>
      <c r="F45" s="191" t="s">
        <v>1</v>
      </c>
      <c r="G45" s="112">
        <f>P19</f>
        <v>1.2</v>
      </c>
      <c r="H45" s="11" t="s">
        <v>2</v>
      </c>
      <c r="I45" s="191"/>
      <c r="J45" s="11">
        <f>P19</f>
        <v>1.2</v>
      </c>
      <c r="K45" s="191" t="s">
        <v>2</v>
      </c>
      <c r="M45" s="112">
        <f>P19</f>
        <v>1.2</v>
      </c>
      <c r="N45" s="11" t="s">
        <v>2</v>
      </c>
      <c r="O45" s="191"/>
      <c r="P45" s="11">
        <f>P19</f>
        <v>1.2</v>
      </c>
      <c r="Q45" s="11" t="s">
        <v>2</v>
      </c>
      <c r="R45" s="191"/>
    </row>
    <row r="46" spans="1:20" s="11" customFormat="1">
      <c r="A46" s="112" t="s">
        <v>690</v>
      </c>
      <c r="F46" s="191" t="s">
        <v>1</v>
      </c>
      <c r="G46" s="112">
        <f>MIN(G45,G44+G45/2)</f>
        <v>1.2</v>
      </c>
      <c r="H46" s="11" t="s">
        <v>2</v>
      </c>
      <c r="I46" s="191"/>
      <c r="J46" s="11">
        <f>MIN(J45,J44+J45/2)</f>
        <v>1.2</v>
      </c>
      <c r="K46" s="191" t="s">
        <v>2</v>
      </c>
      <c r="M46" s="112">
        <f>MIN(M45,M44+M45/2)</f>
        <v>0.84999999999999953</v>
      </c>
      <c r="N46" s="11" t="s">
        <v>2</v>
      </c>
      <c r="O46" s="191"/>
      <c r="P46" s="11">
        <f>MIN(P45,P44+P45/2)</f>
        <v>0.84999999999999953</v>
      </c>
      <c r="Q46" s="11" t="s">
        <v>2</v>
      </c>
      <c r="R46" s="191"/>
    </row>
    <row r="47" spans="1:20" s="11" customFormat="1">
      <c r="A47" s="112" t="s">
        <v>693</v>
      </c>
      <c r="F47" s="191" t="s">
        <v>1</v>
      </c>
      <c r="G47" s="112">
        <f>G43*G46/G45</f>
        <v>480.06117265476655</v>
      </c>
      <c r="H47" s="11" t="s">
        <v>51</v>
      </c>
      <c r="I47" s="191"/>
      <c r="J47" s="186">
        <f>J43*J46/J45</f>
        <v>506.98589265476642</v>
      </c>
      <c r="K47" s="191" t="s">
        <v>51</v>
      </c>
      <c r="M47" s="112">
        <f>M43*M46/M45</f>
        <v>233.05277930919516</v>
      </c>
      <c r="N47" s="11" t="s">
        <v>51</v>
      </c>
      <c r="O47" s="191"/>
      <c r="P47" s="186">
        <f>P43*P46/P45</f>
        <v>233.05277930919516</v>
      </c>
      <c r="Q47" s="11" t="s">
        <v>51</v>
      </c>
      <c r="R47" s="191"/>
    </row>
    <row r="48" spans="1:20" s="11" customFormat="1">
      <c r="A48" s="112" t="s">
        <v>707</v>
      </c>
      <c r="F48" s="191" t="s">
        <v>1</v>
      </c>
      <c r="G48" s="294">
        <f>G47/$I$27</f>
        <v>55.179445132731793</v>
      </c>
      <c r="H48" s="11" t="s">
        <v>602</v>
      </c>
      <c r="I48" s="191"/>
      <c r="J48" s="186">
        <f>J47/$I$27</f>
        <v>58.274240535030629</v>
      </c>
      <c r="K48" s="191" t="s">
        <v>602</v>
      </c>
      <c r="M48" s="294">
        <f>M47/$I$27</f>
        <v>26.787675782666113</v>
      </c>
      <c r="N48" s="11" t="s">
        <v>602</v>
      </c>
      <c r="O48" s="191"/>
      <c r="P48" s="186">
        <f>P47/$I$27</f>
        <v>26.787675782666113</v>
      </c>
      <c r="Q48" s="11" t="s">
        <v>602</v>
      </c>
      <c r="R48" s="191"/>
    </row>
    <row r="49" spans="1:18" s="11" customFormat="1">
      <c r="A49" s="112" t="s">
        <v>688</v>
      </c>
      <c r="F49" s="191" t="s">
        <v>1</v>
      </c>
      <c r="G49" s="112">
        <f>MAX((G44-G45/2),0)+G46/2</f>
        <v>1.1999999999999997</v>
      </c>
      <c r="H49" s="11" t="s">
        <v>2</v>
      </c>
      <c r="I49" s="191"/>
      <c r="J49" s="11">
        <f>MAX((J44-J45/2),0)+J46/2</f>
        <v>1.1999999999999997</v>
      </c>
      <c r="K49" s="191" t="s">
        <v>2</v>
      </c>
      <c r="M49" s="112">
        <f>MAX((M44-M45/2),0)+M46/2</f>
        <v>0.42499999999999977</v>
      </c>
      <c r="N49" s="11" t="s">
        <v>2</v>
      </c>
      <c r="O49" s="191"/>
      <c r="P49" s="11">
        <f>MAX((P44-P45/2),0)+P46/2</f>
        <v>0.42499999999999977</v>
      </c>
      <c r="Q49" s="11" t="s">
        <v>2</v>
      </c>
      <c r="R49" s="191"/>
    </row>
    <row r="50" spans="1:18" s="11" customFormat="1">
      <c r="A50" s="112" t="s">
        <v>701</v>
      </c>
      <c r="F50" s="191" t="s">
        <v>1</v>
      </c>
      <c r="G50" s="294">
        <f>G48*G49</f>
        <v>66.215334159278143</v>
      </c>
      <c r="H50" s="186" t="s">
        <v>602</v>
      </c>
      <c r="I50" s="211"/>
      <c r="J50" s="186">
        <f>J48*J49</f>
        <v>69.929088642036746</v>
      </c>
      <c r="K50" s="745" t="s">
        <v>602</v>
      </c>
      <c r="M50" s="294">
        <f>M48*M49</f>
        <v>11.384762207633091</v>
      </c>
      <c r="N50" s="186" t="s">
        <v>602</v>
      </c>
      <c r="O50" s="211"/>
      <c r="P50" s="186">
        <f>P48*P49</f>
        <v>11.384762207633091</v>
      </c>
      <c r="Q50" s="417" t="s">
        <v>602</v>
      </c>
      <c r="R50" s="191"/>
    </row>
    <row r="51" spans="1:18" s="11" customFormat="1">
      <c r="A51" s="112"/>
      <c r="F51" s="191"/>
      <c r="G51" s="112"/>
      <c r="I51" s="191"/>
      <c r="K51" s="191"/>
      <c r="M51" s="112"/>
      <c r="O51" s="191"/>
      <c r="R51" s="191"/>
    </row>
    <row r="52" spans="1:18" s="11" customFormat="1">
      <c r="A52" s="112" t="s">
        <v>694</v>
      </c>
      <c r="F52" s="191"/>
      <c r="G52" s="112"/>
      <c r="I52" s="191"/>
      <c r="K52" s="191"/>
      <c r="M52" s="112"/>
      <c r="O52" s="191"/>
      <c r="R52" s="191"/>
    </row>
    <row r="53" spans="1:18" s="11" customFormat="1" ht="17.25">
      <c r="A53" s="112" t="s">
        <v>695</v>
      </c>
      <c r="F53" s="191" t="s">
        <v>1</v>
      </c>
      <c r="G53" s="112">
        <f>P20*P21</f>
        <v>4.5</v>
      </c>
      <c r="H53" s="11" t="s">
        <v>71</v>
      </c>
      <c r="I53" s="191"/>
      <c r="J53" s="11">
        <f>P20*P21</f>
        <v>4.5</v>
      </c>
      <c r="K53" s="191" t="s">
        <v>71</v>
      </c>
      <c r="M53" s="112">
        <f>P20*P21</f>
        <v>4.5</v>
      </c>
      <c r="N53" s="11" t="s">
        <v>71</v>
      </c>
      <c r="O53" s="191"/>
      <c r="P53" s="11">
        <f>P20*P21</f>
        <v>4.5</v>
      </c>
      <c r="Q53" s="11" t="s">
        <v>71</v>
      </c>
      <c r="R53" s="191"/>
    </row>
    <row r="54" spans="1:18" s="11" customFormat="1">
      <c r="A54" s="112" t="s">
        <v>579</v>
      </c>
      <c r="C54" s="11" t="s">
        <v>1</v>
      </c>
      <c r="D54" s="77">
        <v>1</v>
      </c>
      <c r="F54" s="191"/>
      <c r="G54" s="112"/>
      <c r="I54" s="191"/>
      <c r="K54" s="191"/>
      <c r="M54" s="112"/>
      <c r="O54" s="191"/>
      <c r="R54" s="191"/>
    </row>
    <row r="55" spans="1:18" s="11" customFormat="1" ht="17.25">
      <c r="A55" s="112" t="s">
        <v>697</v>
      </c>
      <c r="F55" s="191" t="s">
        <v>1</v>
      </c>
      <c r="G55" s="744">
        <f>G53*D54</f>
        <v>4.5</v>
      </c>
      <c r="H55" s="11" t="s">
        <v>71</v>
      </c>
      <c r="I55" s="191"/>
      <c r="J55" s="417">
        <f>J53*D54</f>
        <v>4.5</v>
      </c>
      <c r="K55" s="191" t="s">
        <v>71</v>
      </c>
      <c r="M55" s="744">
        <f>M53*D54</f>
        <v>4.5</v>
      </c>
      <c r="N55" s="11" t="s">
        <v>71</v>
      </c>
      <c r="O55" s="191"/>
      <c r="P55" s="417">
        <f>P53*D54</f>
        <v>4.5</v>
      </c>
      <c r="Q55" s="11" t="s">
        <v>71</v>
      </c>
      <c r="R55" s="191"/>
    </row>
    <row r="56" spans="1:18" s="11" customFormat="1">
      <c r="A56" s="112" t="s">
        <v>708</v>
      </c>
      <c r="F56" s="191" t="s">
        <v>1</v>
      </c>
      <c r="G56" s="744">
        <f>G55*C35</f>
        <v>8.7749999999999986</v>
      </c>
      <c r="H56" s="11" t="s">
        <v>48</v>
      </c>
      <c r="I56" s="191"/>
      <c r="J56" s="417">
        <f>J55*F35</f>
        <v>8.7749999999999986</v>
      </c>
      <c r="K56" s="191" t="s">
        <v>48</v>
      </c>
      <c r="M56" s="744">
        <f>M55*H22</f>
        <v>4.4999999999999982</v>
      </c>
      <c r="N56" s="11" t="s">
        <v>48</v>
      </c>
      <c r="O56" s="191"/>
      <c r="P56" s="417">
        <f>P55*H22</f>
        <v>4.4999999999999982</v>
      </c>
      <c r="Q56" s="11" t="s">
        <v>48</v>
      </c>
      <c r="R56" s="191"/>
    </row>
    <row r="57" spans="1:18" s="11" customFormat="1">
      <c r="A57" s="112" t="s">
        <v>709</v>
      </c>
      <c r="F57" s="191" t="s">
        <v>1</v>
      </c>
      <c r="G57" s="112">
        <f>C35/2</f>
        <v>0.97499999999999987</v>
      </c>
      <c r="H57" s="11" t="s">
        <v>2</v>
      </c>
      <c r="I57" s="191"/>
      <c r="J57" s="11">
        <f>F35/2</f>
        <v>0.97499999999999987</v>
      </c>
      <c r="K57" s="191" t="s">
        <v>2</v>
      </c>
      <c r="M57" s="112">
        <f>H22/2</f>
        <v>0.49999999999999978</v>
      </c>
      <c r="N57" s="11" t="s">
        <v>2</v>
      </c>
      <c r="O57" s="191"/>
      <c r="P57" s="11">
        <f>H22/2</f>
        <v>0.49999999999999978</v>
      </c>
      <c r="Q57" s="11" t="s">
        <v>2</v>
      </c>
      <c r="R57" s="191"/>
    </row>
    <row r="58" spans="1:18" s="11" customFormat="1">
      <c r="A58" s="112" t="s">
        <v>702</v>
      </c>
      <c r="F58" s="191" t="s">
        <v>1</v>
      </c>
      <c r="G58" s="744">
        <f>G56*G57</f>
        <v>8.5556249999999974</v>
      </c>
      <c r="H58" s="417" t="s">
        <v>577</v>
      </c>
      <c r="I58" s="745"/>
      <c r="J58" s="417">
        <f>J56*J57</f>
        <v>8.5556249999999974</v>
      </c>
      <c r="K58" s="745" t="s">
        <v>577</v>
      </c>
      <c r="M58" s="744">
        <f>M56*M57</f>
        <v>2.2499999999999982</v>
      </c>
      <c r="N58" s="417" t="s">
        <v>577</v>
      </c>
      <c r="O58" s="745"/>
      <c r="P58" s="417">
        <f>P56*P57</f>
        <v>2.2499999999999982</v>
      </c>
      <c r="Q58" s="417" t="s">
        <v>577</v>
      </c>
      <c r="R58" s="191"/>
    </row>
    <row r="59" spans="1:18" s="11" customFormat="1">
      <c r="A59" s="112"/>
      <c r="F59" s="191"/>
      <c r="G59" s="112"/>
      <c r="I59" s="191"/>
      <c r="K59" s="191"/>
      <c r="M59" s="112"/>
      <c r="O59" s="191"/>
      <c r="R59" s="191"/>
    </row>
    <row r="60" spans="1:18" s="11" customFormat="1" ht="17.25">
      <c r="A60" s="112" t="s">
        <v>700</v>
      </c>
      <c r="F60" s="191" t="s">
        <v>1</v>
      </c>
      <c r="G60" s="112">
        <f>P22*P23</f>
        <v>1</v>
      </c>
      <c r="H60" s="11" t="s">
        <v>71</v>
      </c>
      <c r="I60" s="191"/>
      <c r="J60" s="11">
        <f>P22*P23</f>
        <v>1</v>
      </c>
      <c r="K60" s="191" t="s">
        <v>71</v>
      </c>
      <c r="M60" s="112">
        <f>P22*P23</f>
        <v>1</v>
      </c>
      <c r="N60" s="11" t="s">
        <v>71</v>
      </c>
      <c r="O60" s="191"/>
      <c r="P60" s="11">
        <f>P22*P23</f>
        <v>1</v>
      </c>
      <c r="Q60" s="11" t="s">
        <v>71</v>
      </c>
      <c r="R60" s="191"/>
    </row>
    <row r="61" spans="1:18" s="11" customFormat="1">
      <c r="A61" s="112" t="s">
        <v>579</v>
      </c>
      <c r="C61" s="11" t="s">
        <v>1</v>
      </c>
      <c r="D61" s="77">
        <v>1</v>
      </c>
      <c r="F61" s="191"/>
      <c r="G61" s="112"/>
      <c r="I61" s="191"/>
      <c r="K61" s="191"/>
      <c r="M61" s="112"/>
      <c r="O61" s="191"/>
      <c r="R61" s="191"/>
    </row>
    <row r="62" spans="1:18" s="11" customFormat="1" ht="17.25">
      <c r="A62" s="112" t="s">
        <v>697</v>
      </c>
      <c r="F62" s="191" t="s">
        <v>1</v>
      </c>
      <c r="G62" s="112">
        <f>G60*D61</f>
        <v>1</v>
      </c>
      <c r="H62" s="11" t="s">
        <v>71</v>
      </c>
      <c r="I62" s="191"/>
      <c r="J62" s="11">
        <f>J60*D61</f>
        <v>1</v>
      </c>
      <c r="K62" s="191" t="s">
        <v>71</v>
      </c>
      <c r="M62" s="112">
        <f>M60*D61</f>
        <v>1</v>
      </c>
      <c r="N62" s="11" t="s">
        <v>71</v>
      </c>
      <c r="O62" s="191"/>
      <c r="P62" s="11">
        <f>P60*D61</f>
        <v>1</v>
      </c>
      <c r="Q62" s="11" t="s">
        <v>71</v>
      </c>
      <c r="R62" s="191"/>
    </row>
    <row r="63" spans="1:18" s="11" customFormat="1">
      <c r="A63" s="112" t="s">
        <v>708</v>
      </c>
      <c r="F63" s="191" t="s">
        <v>1</v>
      </c>
      <c r="G63" s="744">
        <f>G62*C35</f>
        <v>1.9499999999999997</v>
      </c>
      <c r="H63" s="11" t="s">
        <v>48</v>
      </c>
      <c r="I63" s="191"/>
      <c r="J63" s="417">
        <f>J62*F35</f>
        <v>1.9499999999999997</v>
      </c>
      <c r="K63" s="191" t="s">
        <v>48</v>
      </c>
      <c r="M63" s="744">
        <f>M62*H22</f>
        <v>0.99999999999999956</v>
      </c>
      <c r="N63" s="11" t="s">
        <v>48</v>
      </c>
      <c r="O63" s="191"/>
      <c r="P63" s="417">
        <f>P62*H22</f>
        <v>0.99999999999999956</v>
      </c>
      <c r="Q63" s="11" t="s">
        <v>48</v>
      </c>
      <c r="R63" s="191"/>
    </row>
    <row r="64" spans="1:18" s="11" customFormat="1">
      <c r="A64" s="112" t="s">
        <v>709</v>
      </c>
      <c r="F64" s="191" t="s">
        <v>1</v>
      </c>
      <c r="G64" s="744">
        <f>C35/2</f>
        <v>0.97499999999999987</v>
      </c>
      <c r="H64" s="11" t="s">
        <v>2</v>
      </c>
      <c r="I64" s="191"/>
      <c r="J64" s="417">
        <f>F35/2</f>
        <v>0.97499999999999987</v>
      </c>
      <c r="K64" s="191" t="s">
        <v>2</v>
      </c>
      <c r="M64" s="744">
        <f>H22/2</f>
        <v>0.49999999999999978</v>
      </c>
      <c r="N64" s="11" t="s">
        <v>2</v>
      </c>
      <c r="O64" s="191"/>
      <c r="P64" s="417">
        <f>H22/2</f>
        <v>0.49999999999999978</v>
      </c>
      <c r="Q64" s="11" t="s">
        <v>2</v>
      </c>
      <c r="R64" s="191"/>
    </row>
    <row r="65" spans="1:25" s="11" customFormat="1">
      <c r="A65" s="112" t="s">
        <v>702</v>
      </c>
      <c r="F65" s="191" t="s">
        <v>1</v>
      </c>
      <c r="G65" s="744">
        <f>G63*G64</f>
        <v>1.9012499999999994</v>
      </c>
      <c r="H65" s="417" t="s">
        <v>577</v>
      </c>
      <c r="I65" s="745"/>
      <c r="J65" s="417">
        <f>J63*J64</f>
        <v>1.9012499999999994</v>
      </c>
      <c r="K65" s="745" t="s">
        <v>577</v>
      </c>
      <c r="M65" s="744">
        <f>M63*M64</f>
        <v>0.49999999999999956</v>
      </c>
      <c r="N65" s="417" t="s">
        <v>577</v>
      </c>
      <c r="O65" s="745"/>
      <c r="P65" s="417">
        <f>P63*P64</f>
        <v>0.49999999999999956</v>
      </c>
      <c r="Q65" s="417" t="s">
        <v>577</v>
      </c>
      <c r="R65" s="191"/>
    </row>
    <row r="66" spans="1:25" s="11" customFormat="1">
      <c r="A66" s="112"/>
      <c r="F66" s="191"/>
      <c r="G66" s="112"/>
      <c r="I66" s="191"/>
      <c r="K66" s="191"/>
      <c r="M66" s="112"/>
      <c r="O66" s="191"/>
      <c r="R66" s="191"/>
    </row>
    <row r="67" spans="1:25" s="11" customFormat="1">
      <c r="A67" s="112" t="s">
        <v>710</v>
      </c>
      <c r="F67" s="191" t="s">
        <v>1</v>
      </c>
      <c r="G67" s="744">
        <f>G56+G63</f>
        <v>10.724999999999998</v>
      </c>
      <c r="H67" s="11" t="s">
        <v>48</v>
      </c>
      <c r="I67" s="191"/>
      <c r="J67" s="417">
        <f>J56+J63</f>
        <v>10.724999999999998</v>
      </c>
      <c r="K67" s="191" t="s">
        <v>48</v>
      </c>
      <c r="M67" s="744">
        <f>M56+M63</f>
        <v>5.4999999999999982</v>
      </c>
      <c r="N67" s="11" t="s">
        <v>48</v>
      </c>
      <c r="O67" s="191"/>
      <c r="P67" s="417">
        <f>P56+P63</f>
        <v>5.4999999999999982</v>
      </c>
      <c r="Q67" s="11" t="s">
        <v>48</v>
      </c>
      <c r="R67" s="191"/>
    </row>
    <row r="68" spans="1:25" s="11" customFormat="1">
      <c r="A68" s="112" t="s">
        <v>703</v>
      </c>
      <c r="F68" s="191" t="s">
        <v>1</v>
      </c>
      <c r="G68" s="744">
        <f>G58+G65</f>
        <v>10.456874999999997</v>
      </c>
      <c r="H68" s="417" t="s">
        <v>577</v>
      </c>
      <c r="I68" s="191"/>
      <c r="J68" s="417">
        <f>J58+J65</f>
        <v>10.456874999999997</v>
      </c>
      <c r="K68" s="745" t="s">
        <v>577</v>
      </c>
      <c r="M68" s="744">
        <f>M58+M65</f>
        <v>2.7499999999999978</v>
      </c>
      <c r="N68" s="417" t="s">
        <v>577</v>
      </c>
      <c r="O68" s="191"/>
      <c r="P68" s="417">
        <f>P58+P65</f>
        <v>2.7499999999999978</v>
      </c>
      <c r="Q68" s="417" t="s">
        <v>577</v>
      </c>
      <c r="R68" s="191"/>
    </row>
    <row r="69" spans="1:25" s="11" customFormat="1">
      <c r="A69" s="112"/>
      <c r="F69" s="191"/>
      <c r="G69" s="112"/>
      <c r="I69" s="191"/>
      <c r="K69" s="191"/>
      <c r="M69" s="112"/>
      <c r="O69" s="191"/>
      <c r="R69" s="191"/>
    </row>
    <row r="70" spans="1:25" s="11" customFormat="1">
      <c r="A70" s="112" t="s">
        <v>711</v>
      </c>
      <c r="F70" s="191" t="s">
        <v>1</v>
      </c>
      <c r="G70" s="744">
        <f>G48-G67</f>
        <v>44.454445132731792</v>
      </c>
      <c r="H70" s="11" t="s">
        <v>48</v>
      </c>
      <c r="I70" s="191"/>
      <c r="J70" s="417">
        <f>J48-J67</f>
        <v>47.549240535030634</v>
      </c>
      <c r="K70" s="191" t="s">
        <v>48</v>
      </c>
      <c r="M70" s="744">
        <f>M48-M67</f>
        <v>21.287675782666113</v>
      </c>
      <c r="N70" s="11" t="s">
        <v>48</v>
      </c>
      <c r="O70" s="191"/>
      <c r="P70" s="417">
        <f>P48-P67</f>
        <v>21.287675782666113</v>
      </c>
      <c r="Q70" s="11" t="s">
        <v>48</v>
      </c>
      <c r="R70" s="191"/>
    </row>
    <row r="71" spans="1:25" s="11" customFormat="1">
      <c r="A71" s="113" t="s">
        <v>704</v>
      </c>
      <c r="B71" s="651"/>
      <c r="C71" s="651"/>
      <c r="D71" s="651"/>
      <c r="E71" s="651"/>
      <c r="F71" s="652" t="s">
        <v>1</v>
      </c>
      <c r="G71" s="749">
        <f>G50-G68</f>
        <v>55.758459159278146</v>
      </c>
      <c r="H71" s="651" t="s">
        <v>577</v>
      </c>
      <c r="I71" s="652"/>
      <c r="J71" s="750">
        <f>J50-J68</f>
        <v>59.472213642036749</v>
      </c>
      <c r="K71" s="652" t="s">
        <v>577</v>
      </c>
      <c r="M71" s="749">
        <f>M50-M68</f>
        <v>8.6347622076330932</v>
      </c>
      <c r="N71" s="651" t="s">
        <v>577</v>
      </c>
      <c r="O71" s="652"/>
      <c r="P71" s="750">
        <f>P50-P68</f>
        <v>8.6347622076330932</v>
      </c>
      <c r="Q71" s="651" t="s">
        <v>577</v>
      </c>
      <c r="R71" s="652"/>
    </row>
    <row r="72" spans="1:25" s="11" customFormat="1">
      <c r="M72" s="26"/>
    </row>
    <row r="73" spans="1:25" s="11" customFormat="1">
      <c r="A73" s="374" t="s">
        <v>712</v>
      </c>
      <c r="B73" s="499"/>
      <c r="C73" s="499" t="s">
        <v>1</v>
      </c>
      <c r="D73" s="500">
        <f>MAX(G70,J70)</f>
        <v>47.549240535030634</v>
      </c>
      <c r="E73" s="501" t="s">
        <v>48</v>
      </c>
      <c r="N73" s="374" t="s">
        <v>712</v>
      </c>
      <c r="O73" s="499"/>
      <c r="P73" s="499" t="s">
        <v>1</v>
      </c>
      <c r="Q73" s="500">
        <f>MAX(M70,P70)</f>
        <v>21.287675782666113</v>
      </c>
      <c r="R73" s="501" t="s">
        <v>48</v>
      </c>
    </row>
    <row r="74" spans="1:25" s="11" customFormat="1">
      <c r="A74" s="374" t="s">
        <v>705</v>
      </c>
      <c r="B74" s="499"/>
      <c r="C74" s="499" t="s">
        <v>1</v>
      </c>
      <c r="D74" s="500">
        <f>MAX(G71,J71)</f>
        <v>59.472213642036749</v>
      </c>
      <c r="E74" s="501" t="s">
        <v>577</v>
      </c>
      <c r="N74" s="374" t="s">
        <v>705</v>
      </c>
      <c r="O74" s="499"/>
      <c r="P74" s="499" t="s">
        <v>1</v>
      </c>
      <c r="Q74" s="500">
        <f>MAX(M71,P71)</f>
        <v>8.6347622076330932</v>
      </c>
      <c r="R74" s="501" t="s">
        <v>577</v>
      </c>
    </row>
    <row r="75" spans="1:25" s="11" customFormat="1">
      <c r="M75" s="26"/>
    </row>
    <row r="76" spans="1:25" s="11" customFormat="1">
      <c r="A76" s="115"/>
      <c r="B76" s="26"/>
      <c r="C76" s="26"/>
      <c r="D76" s="26"/>
      <c r="E76" s="26"/>
      <c r="F76" s="26"/>
      <c r="G76" s="26"/>
      <c r="H76" s="115"/>
      <c r="I76" s="115"/>
      <c r="J76" s="115"/>
      <c r="K76" s="26"/>
      <c r="L76" s="26"/>
      <c r="M76" s="26"/>
      <c r="N76" s="115"/>
      <c r="O76" s="26"/>
      <c r="P76" s="26"/>
      <c r="Q76" s="26"/>
      <c r="R76" s="26"/>
      <c r="S76" s="26"/>
      <c r="T76" s="26"/>
      <c r="U76" s="115"/>
      <c r="V76" s="115"/>
      <c r="W76" s="115"/>
      <c r="X76" s="26"/>
      <c r="Y76" s="26"/>
    </row>
    <row r="77" spans="1:25">
      <c r="A77" s="502" t="s">
        <v>862</v>
      </c>
      <c r="B77" s="11"/>
      <c r="C77" s="11"/>
      <c r="D77" s="11"/>
      <c r="E77" s="11"/>
      <c r="F77" s="11"/>
      <c r="G77" s="11"/>
      <c r="H77" s="11"/>
      <c r="I77" s="11"/>
      <c r="J77" s="11"/>
      <c r="K77" s="11"/>
    </row>
    <row r="78" spans="1:25">
      <c r="A78" s="502"/>
      <c r="B78" s="11"/>
      <c r="C78" s="11"/>
      <c r="D78" s="11"/>
      <c r="E78" s="11"/>
      <c r="F78" s="11"/>
      <c r="G78" s="308"/>
      <c r="H78" s="1177" t="s">
        <v>1572</v>
      </c>
      <c r="I78" s="661"/>
      <c r="J78" s="661"/>
      <c r="K78" s="584"/>
      <c r="L78" s="11"/>
      <c r="M78" s="30"/>
      <c r="N78" s="227"/>
      <c r="O78" s="499" t="s">
        <v>1456</v>
      </c>
      <c r="P78" s="227"/>
      <c r="Q78" s="227"/>
      <c r="R78" s="657"/>
    </row>
    <row r="79" spans="1:25" s="1179" customFormat="1">
      <c r="A79" s="990" t="s">
        <v>687</v>
      </c>
      <c r="B79" s="1177"/>
      <c r="C79" s="1177"/>
      <c r="D79" s="1177"/>
      <c r="E79" s="1177"/>
      <c r="F79" s="1178"/>
      <c r="G79" s="1148" t="s">
        <v>1546</v>
      </c>
      <c r="H79" s="1149"/>
      <c r="I79" s="1162"/>
      <c r="J79" s="1149" t="s">
        <v>1547</v>
      </c>
      <c r="K79" s="501"/>
      <c r="L79" s="372"/>
      <c r="M79" s="1148" t="s">
        <v>1548</v>
      </c>
      <c r="N79" s="1149"/>
      <c r="O79" s="1162"/>
      <c r="P79" s="1149" t="s">
        <v>1549</v>
      </c>
      <c r="Q79" s="499"/>
      <c r="R79" s="501"/>
    </row>
    <row r="80" spans="1:25">
      <c r="A80" s="112" t="s">
        <v>686</v>
      </c>
      <c r="B80" s="11"/>
      <c r="C80" s="11"/>
      <c r="D80" s="11"/>
      <c r="E80" s="11"/>
      <c r="F80" s="191" t="s">
        <v>1</v>
      </c>
      <c r="G80" s="1158">
        <f>MAX(L9:L15)</f>
        <v>488.58610184841734</v>
      </c>
      <c r="H80" s="661" t="s">
        <v>51</v>
      </c>
      <c r="I80" s="584"/>
      <c r="J80" s="186">
        <f>MAX(M9:M15)</f>
        <v>644.23301211508397</v>
      </c>
      <c r="K80" s="191" t="s">
        <v>51</v>
      </c>
      <c r="M80" s="294">
        <f>MAX(O9:O15)</f>
        <v>378.8206806251282</v>
      </c>
      <c r="N80" s="11" t="s">
        <v>51</v>
      </c>
      <c r="O80" s="191"/>
      <c r="P80" s="186">
        <f>MAX(P9:P15)</f>
        <v>372.77450577170333</v>
      </c>
      <c r="Q80" s="11" t="s">
        <v>51</v>
      </c>
      <c r="R80" s="1180"/>
    </row>
    <row r="81" spans="1:23">
      <c r="A81" s="112" t="s">
        <v>691</v>
      </c>
      <c r="B81" s="11"/>
      <c r="C81" s="11"/>
      <c r="D81" s="11"/>
      <c r="E81" s="11"/>
      <c r="F81" s="191" t="s">
        <v>1</v>
      </c>
      <c r="G81" s="112">
        <f>C35-C18</f>
        <v>1.1999999999999997</v>
      </c>
      <c r="H81" s="11" t="s">
        <v>2</v>
      </c>
      <c r="I81" s="191"/>
      <c r="J81" s="11">
        <f>F35-C18</f>
        <v>1.1999999999999997</v>
      </c>
      <c r="K81" s="191" t="s">
        <v>2</v>
      </c>
      <c r="M81" s="112">
        <f>H22-B20</f>
        <v>0.24999999999999956</v>
      </c>
      <c r="N81" s="11" t="s">
        <v>2</v>
      </c>
      <c r="O81" s="191"/>
      <c r="P81" s="11">
        <f>H22-B20</f>
        <v>0.24999999999999956</v>
      </c>
      <c r="Q81" s="11" t="s">
        <v>2</v>
      </c>
      <c r="R81" s="1180"/>
    </row>
    <row r="82" spans="1:23">
      <c r="A82" s="112" t="s">
        <v>692</v>
      </c>
      <c r="B82" s="11"/>
      <c r="C82" s="11"/>
      <c r="D82" s="11"/>
      <c r="E82" s="11"/>
      <c r="F82" s="191" t="s">
        <v>1</v>
      </c>
      <c r="G82" s="112">
        <f>P19</f>
        <v>1.2</v>
      </c>
      <c r="H82" s="11" t="s">
        <v>2</v>
      </c>
      <c r="I82" s="191"/>
      <c r="J82" s="11">
        <f>P19</f>
        <v>1.2</v>
      </c>
      <c r="K82" s="191" t="s">
        <v>2</v>
      </c>
      <c r="M82" s="112">
        <f>P19</f>
        <v>1.2</v>
      </c>
      <c r="N82" s="11" t="s">
        <v>2</v>
      </c>
      <c r="O82" s="191"/>
      <c r="P82" s="11">
        <f>P19</f>
        <v>1.2</v>
      </c>
      <c r="Q82" s="11" t="s">
        <v>2</v>
      </c>
      <c r="R82" s="1180"/>
    </row>
    <row r="83" spans="1:23">
      <c r="A83" s="112" t="s">
        <v>690</v>
      </c>
      <c r="B83" s="11"/>
      <c r="C83" s="11"/>
      <c r="D83" s="11"/>
      <c r="E83" s="11"/>
      <c r="F83" s="191" t="s">
        <v>1</v>
      </c>
      <c r="G83" s="112">
        <f>MIN(G82,G81+G82/2)</f>
        <v>1.2</v>
      </c>
      <c r="H83" s="11" t="s">
        <v>2</v>
      </c>
      <c r="I83" s="191"/>
      <c r="J83" s="11">
        <f>MIN(J82,J81+J82/2)</f>
        <v>1.2</v>
      </c>
      <c r="K83" s="191" t="s">
        <v>2</v>
      </c>
      <c r="M83" s="112">
        <f>MIN(M82,M81+M82/2)</f>
        <v>0.84999999999999953</v>
      </c>
      <c r="N83" s="11" t="s">
        <v>2</v>
      </c>
      <c r="O83" s="191"/>
      <c r="P83" s="11">
        <f>MIN(P82,P81+P82/2)</f>
        <v>0.84999999999999953</v>
      </c>
      <c r="Q83" s="11" t="s">
        <v>2</v>
      </c>
      <c r="R83" s="1180"/>
    </row>
    <row r="84" spans="1:23">
      <c r="A84" s="112" t="s">
        <v>693</v>
      </c>
      <c r="B84" s="11"/>
      <c r="C84" s="11"/>
      <c r="D84" s="11"/>
      <c r="E84" s="11"/>
      <c r="F84" s="191" t="s">
        <v>1</v>
      </c>
      <c r="G84" s="294">
        <f>G80*G83/G82</f>
        <v>488.58610184841734</v>
      </c>
      <c r="H84" s="11" t="s">
        <v>51</v>
      </c>
      <c r="I84" s="191"/>
      <c r="J84" s="186">
        <f>J80*J83/J82</f>
        <v>644.23301211508397</v>
      </c>
      <c r="K84" s="191" t="s">
        <v>51</v>
      </c>
      <c r="M84" s="112">
        <f>M80*M83/M82</f>
        <v>268.331315442799</v>
      </c>
      <c r="N84" s="11" t="s">
        <v>51</v>
      </c>
      <c r="O84" s="191"/>
      <c r="P84" s="186">
        <f>P80*P83/P82</f>
        <v>264.04860825495638</v>
      </c>
      <c r="Q84" s="11" t="s">
        <v>51</v>
      </c>
      <c r="R84" s="1180"/>
    </row>
    <row r="85" spans="1:23">
      <c r="A85" s="112" t="s">
        <v>707</v>
      </c>
      <c r="B85" s="11"/>
      <c r="C85" s="11"/>
      <c r="D85" s="11"/>
      <c r="E85" s="11"/>
      <c r="F85" s="191" t="s">
        <v>1</v>
      </c>
      <c r="G85" s="294">
        <f>G84/$I$27</f>
        <v>56.159322051542226</v>
      </c>
      <c r="H85" s="11" t="s">
        <v>602</v>
      </c>
      <c r="I85" s="191"/>
      <c r="J85" s="186">
        <f>J84/$I$27</f>
        <v>74.049771507480926</v>
      </c>
      <c r="K85" s="191" t="s">
        <v>602</v>
      </c>
      <c r="M85" s="294">
        <f>M84/$D$37</f>
        <v>52.613983420156671</v>
      </c>
      <c r="N85" s="11" t="s">
        <v>602</v>
      </c>
      <c r="O85" s="191"/>
      <c r="P85" s="186">
        <f>P84/$D$37</f>
        <v>51.774236912736548</v>
      </c>
      <c r="Q85" s="11" t="s">
        <v>602</v>
      </c>
      <c r="R85" s="1180"/>
    </row>
    <row r="86" spans="1:23">
      <c r="A86" s="112" t="s">
        <v>688</v>
      </c>
      <c r="B86" s="11"/>
      <c r="C86" s="11"/>
      <c r="D86" s="11"/>
      <c r="E86" s="11"/>
      <c r="F86" s="191" t="s">
        <v>1</v>
      </c>
      <c r="G86" s="112">
        <f>MAX((G81-G82/2),0)+G83/2</f>
        <v>1.1999999999999997</v>
      </c>
      <c r="H86" s="11" t="s">
        <v>2</v>
      </c>
      <c r="I86" s="191"/>
      <c r="J86" s="11">
        <f>MAX((J81-J82/2),0)+J83/2</f>
        <v>1.1999999999999997</v>
      </c>
      <c r="K86" s="191" t="s">
        <v>2</v>
      </c>
      <c r="M86" s="112">
        <f>MAX((M81-M82/2),0)+M83/2</f>
        <v>0.42499999999999977</v>
      </c>
      <c r="N86" s="11" t="s">
        <v>2</v>
      </c>
      <c r="O86" s="191"/>
      <c r="P86" s="11">
        <f>MAX((P81-P82/2),0)+P83/2</f>
        <v>0.42499999999999977</v>
      </c>
      <c r="Q86" s="11" t="s">
        <v>2</v>
      </c>
      <c r="R86" s="1180"/>
    </row>
    <row r="87" spans="1:23">
      <c r="A87" s="112" t="s">
        <v>701</v>
      </c>
      <c r="B87" s="11"/>
      <c r="C87" s="11"/>
      <c r="D87" s="11"/>
      <c r="E87" s="11"/>
      <c r="F87" s="191" t="s">
        <v>1</v>
      </c>
      <c r="G87" s="294">
        <f>G85*G86</f>
        <v>67.391186461850651</v>
      </c>
      <c r="H87" s="186" t="s">
        <v>602</v>
      </c>
      <c r="I87" s="211"/>
      <c r="J87" s="186">
        <f>J85*J86</f>
        <v>88.859725808977089</v>
      </c>
      <c r="K87" s="745" t="s">
        <v>602</v>
      </c>
      <c r="M87" s="294">
        <f>M85*M86</f>
        <v>22.360942953566575</v>
      </c>
      <c r="N87" s="186" t="s">
        <v>602</v>
      </c>
      <c r="O87" s="211"/>
      <c r="P87" s="186">
        <f>P85*P86</f>
        <v>22.004050687913022</v>
      </c>
      <c r="Q87" s="417" t="s">
        <v>602</v>
      </c>
      <c r="R87" s="1180"/>
    </row>
    <row r="88" spans="1:23">
      <c r="A88" s="112"/>
      <c r="B88" s="11"/>
      <c r="C88" s="11"/>
      <c r="D88" s="11"/>
      <c r="E88" s="11"/>
      <c r="F88" s="191"/>
      <c r="G88" s="112"/>
      <c r="H88" s="11"/>
      <c r="I88" s="191"/>
      <c r="J88" s="11"/>
      <c r="K88" s="191"/>
      <c r="M88" s="112"/>
      <c r="N88" s="11"/>
      <c r="O88" s="191"/>
      <c r="P88" s="11"/>
      <c r="Q88" s="11"/>
      <c r="R88" s="1180"/>
    </row>
    <row r="89" spans="1:23">
      <c r="A89" s="112"/>
      <c r="B89" s="11"/>
      <c r="C89" s="11"/>
      <c r="D89" s="11"/>
      <c r="E89" s="11"/>
      <c r="F89" s="191"/>
      <c r="G89" s="112"/>
      <c r="H89" s="11"/>
      <c r="I89" s="191"/>
      <c r="J89" s="11"/>
      <c r="K89" s="191"/>
      <c r="M89" s="112"/>
      <c r="N89" s="11"/>
      <c r="O89" s="191"/>
      <c r="P89" s="11"/>
      <c r="Q89" s="11"/>
      <c r="R89" s="1180"/>
    </row>
    <row r="90" spans="1:23">
      <c r="A90" s="112" t="s">
        <v>694</v>
      </c>
      <c r="B90" s="11"/>
      <c r="C90" s="11"/>
      <c r="D90" s="11"/>
      <c r="E90" s="11"/>
      <c r="F90" s="191"/>
      <c r="G90" s="112"/>
      <c r="H90" s="11"/>
      <c r="I90" s="191"/>
      <c r="J90" s="11"/>
      <c r="K90" s="191"/>
      <c r="M90" s="112"/>
      <c r="N90" s="11"/>
      <c r="O90" s="191"/>
      <c r="P90" s="11"/>
      <c r="Q90" s="11"/>
      <c r="R90" s="1180"/>
    </row>
    <row r="91" spans="1:23" ht="17.25">
      <c r="A91" s="112" t="s">
        <v>695</v>
      </c>
      <c r="B91" s="11"/>
      <c r="C91" s="11"/>
      <c r="D91" s="11"/>
      <c r="E91" s="11"/>
      <c r="F91" s="191" t="s">
        <v>1</v>
      </c>
      <c r="G91" s="112">
        <f>P20*P21</f>
        <v>4.5</v>
      </c>
      <c r="H91" s="11" t="s">
        <v>71</v>
      </c>
      <c r="I91" s="191"/>
      <c r="J91" s="11">
        <f>P20*P21</f>
        <v>4.5</v>
      </c>
      <c r="K91" s="191" t="s">
        <v>71</v>
      </c>
      <c r="L91" s="7"/>
      <c r="M91" s="112">
        <f>P20*P21</f>
        <v>4.5</v>
      </c>
      <c r="N91" s="11" t="s">
        <v>71</v>
      </c>
      <c r="O91" s="191"/>
      <c r="P91" s="11">
        <f>P20*P21</f>
        <v>4.5</v>
      </c>
      <c r="Q91" s="11" t="s">
        <v>71</v>
      </c>
      <c r="R91" s="191"/>
      <c r="S91" s="7"/>
      <c r="T91" s="1"/>
      <c r="U91" s="7"/>
      <c r="V91" s="7"/>
      <c r="W91" s="7"/>
    </row>
    <row r="92" spans="1:23">
      <c r="A92" s="112" t="s">
        <v>579</v>
      </c>
      <c r="B92" s="11"/>
      <c r="C92" s="11" t="s">
        <v>1</v>
      </c>
      <c r="D92" s="77">
        <v>1</v>
      </c>
      <c r="E92" s="11"/>
      <c r="F92" s="191"/>
      <c r="G92" s="112"/>
      <c r="H92" s="11"/>
      <c r="I92" s="191"/>
      <c r="J92" s="11"/>
      <c r="K92" s="191"/>
      <c r="L92" s="1"/>
      <c r="M92" s="112"/>
      <c r="N92" s="11"/>
      <c r="O92" s="191"/>
      <c r="P92" s="11"/>
      <c r="Q92" s="11"/>
      <c r="R92" s="27"/>
      <c r="S92" s="1"/>
      <c r="T92" s="1"/>
      <c r="U92" s="7"/>
      <c r="V92" s="7"/>
      <c r="W92" s="7"/>
    </row>
    <row r="93" spans="1:23" ht="17.25">
      <c r="A93" s="112" t="s">
        <v>697</v>
      </c>
      <c r="B93" s="11"/>
      <c r="C93" s="11"/>
      <c r="D93" s="11"/>
      <c r="E93" s="11"/>
      <c r="F93" s="191" t="s">
        <v>1</v>
      </c>
      <c r="G93" s="744">
        <f>G91*D92</f>
        <v>4.5</v>
      </c>
      <c r="H93" s="11" t="s">
        <v>71</v>
      </c>
      <c r="I93" s="191"/>
      <c r="J93" s="417">
        <f>J91*D92</f>
        <v>4.5</v>
      </c>
      <c r="K93" s="191" t="s">
        <v>71</v>
      </c>
      <c r="M93" s="744">
        <f>M91*D92</f>
        <v>4.5</v>
      </c>
      <c r="N93" s="11" t="s">
        <v>71</v>
      </c>
      <c r="O93" s="191"/>
      <c r="P93" s="417">
        <f>P91*D92</f>
        <v>4.5</v>
      </c>
      <c r="Q93" s="11" t="s">
        <v>71</v>
      </c>
      <c r="R93" s="1180"/>
    </row>
    <row r="94" spans="1:23">
      <c r="A94" s="112" t="s">
        <v>708</v>
      </c>
      <c r="B94" s="11"/>
      <c r="C94" s="11"/>
      <c r="D94" s="11"/>
      <c r="E94" s="11"/>
      <c r="F94" s="191" t="s">
        <v>1</v>
      </c>
      <c r="G94" s="744">
        <f>G93*C35</f>
        <v>8.7749999999999986</v>
      </c>
      <c r="H94" s="11" t="s">
        <v>48</v>
      </c>
      <c r="I94" s="191"/>
      <c r="J94" s="417">
        <f>J93*F35</f>
        <v>8.7749999999999986</v>
      </c>
      <c r="K94" s="191" t="s">
        <v>48</v>
      </c>
      <c r="M94" s="744">
        <f>M93*H22</f>
        <v>4.4999999999999982</v>
      </c>
      <c r="N94" s="11" t="s">
        <v>48</v>
      </c>
      <c r="O94" s="191"/>
      <c r="P94" s="417">
        <f>P93*H22</f>
        <v>4.4999999999999982</v>
      </c>
      <c r="Q94" s="11" t="s">
        <v>48</v>
      </c>
      <c r="R94" s="1180"/>
    </row>
    <row r="95" spans="1:23">
      <c r="A95" s="112" t="s">
        <v>709</v>
      </c>
      <c r="B95" s="11"/>
      <c r="C95" s="11"/>
      <c r="D95" s="11"/>
      <c r="E95" s="11"/>
      <c r="F95" s="191" t="s">
        <v>1</v>
      </c>
      <c r="G95" s="112">
        <f>C35/2</f>
        <v>0.97499999999999987</v>
      </c>
      <c r="H95" s="11" t="s">
        <v>2</v>
      </c>
      <c r="I95" s="191"/>
      <c r="J95" s="11">
        <f>F35/2</f>
        <v>0.97499999999999987</v>
      </c>
      <c r="K95" s="191" t="s">
        <v>2</v>
      </c>
      <c r="M95" s="112">
        <f>H22/2</f>
        <v>0.49999999999999978</v>
      </c>
      <c r="N95" s="11" t="s">
        <v>2</v>
      </c>
      <c r="O95" s="191"/>
      <c r="P95" s="11">
        <f>H22/2</f>
        <v>0.49999999999999978</v>
      </c>
      <c r="Q95" s="11" t="s">
        <v>2</v>
      </c>
      <c r="R95" s="1180"/>
    </row>
    <row r="96" spans="1:23">
      <c r="A96" s="112" t="s">
        <v>702</v>
      </c>
      <c r="B96" s="11"/>
      <c r="C96" s="11"/>
      <c r="D96" s="11"/>
      <c r="E96" s="11"/>
      <c r="F96" s="191" t="s">
        <v>1</v>
      </c>
      <c r="G96" s="744">
        <f>G94*G95</f>
        <v>8.5556249999999974</v>
      </c>
      <c r="H96" s="417" t="s">
        <v>577</v>
      </c>
      <c r="I96" s="745"/>
      <c r="J96" s="417">
        <f>J94*J95</f>
        <v>8.5556249999999974</v>
      </c>
      <c r="K96" s="745" t="s">
        <v>577</v>
      </c>
      <c r="M96" s="744">
        <f>M94*M95</f>
        <v>2.2499999999999982</v>
      </c>
      <c r="N96" s="417" t="s">
        <v>577</v>
      </c>
      <c r="O96" s="745"/>
      <c r="P96" s="417">
        <f>P94*P95</f>
        <v>2.2499999999999982</v>
      </c>
      <c r="Q96" s="417" t="s">
        <v>577</v>
      </c>
      <c r="R96" s="1180"/>
    </row>
    <row r="97" spans="1:18">
      <c r="A97" s="112"/>
      <c r="B97" s="11"/>
      <c r="C97" s="11"/>
      <c r="D97" s="11"/>
      <c r="E97" s="11"/>
      <c r="F97" s="191"/>
      <c r="G97" s="112"/>
      <c r="H97" s="11"/>
      <c r="I97" s="191"/>
      <c r="J97" s="11"/>
      <c r="K97" s="191"/>
      <c r="M97" s="112"/>
      <c r="N97" s="11"/>
      <c r="O97" s="191"/>
      <c r="P97" s="11"/>
      <c r="Q97" s="11"/>
      <c r="R97" s="1180"/>
    </row>
    <row r="98" spans="1:18" ht="17.25">
      <c r="A98" s="112" t="s">
        <v>700</v>
      </c>
      <c r="B98" s="11"/>
      <c r="C98" s="11"/>
      <c r="D98" s="11"/>
      <c r="E98" s="11"/>
      <c r="F98" s="191" t="s">
        <v>1</v>
      </c>
      <c r="G98" s="112">
        <f>P22*P23</f>
        <v>1</v>
      </c>
      <c r="H98" s="11" t="s">
        <v>71</v>
      </c>
      <c r="I98" s="191"/>
      <c r="J98" s="11">
        <f>P22*P23</f>
        <v>1</v>
      </c>
      <c r="K98" s="191" t="s">
        <v>71</v>
      </c>
      <c r="M98" s="112">
        <f>P22*P23</f>
        <v>1</v>
      </c>
      <c r="N98" s="11" t="s">
        <v>71</v>
      </c>
      <c r="O98" s="191"/>
      <c r="P98" s="11">
        <f>P22*P23</f>
        <v>1</v>
      </c>
      <c r="Q98" s="11" t="s">
        <v>71</v>
      </c>
      <c r="R98" s="1180"/>
    </row>
    <row r="99" spans="1:18">
      <c r="A99" s="112" t="s">
        <v>579</v>
      </c>
      <c r="B99" s="11"/>
      <c r="C99" s="11" t="s">
        <v>1</v>
      </c>
      <c r="D99" s="77">
        <v>1</v>
      </c>
      <c r="E99" s="11"/>
      <c r="F99" s="191"/>
      <c r="G99" s="112"/>
      <c r="H99" s="11"/>
      <c r="I99" s="191"/>
      <c r="J99" s="11"/>
      <c r="K99" s="191"/>
      <c r="M99" s="112"/>
      <c r="N99" s="11"/>
      <c r="O99" s="191"/>
      <c r="P99" s="11"/>
      <c r="Q99" s="11"/>
      <c r="R99" s="1180"/>
    </row>
    <row r="100" spans="1:18" ht="17.25">
      <c r="A100" s="112" t="s">
        <v>697</v>
      </c>
      <c r="B100" s="11"/>
      <c r="C100" s="11"/>
      <c r="D100" s="11"/>
      <c r="E100" s="11"/>
      <c r="F100" s="191" t="s">
        <v>1</v>
      </c>
      <c r="G100" s="112">
        <f>G98*D99</f>
        <v>1</v>
      </c>
      <c r="H100" s="11" t="s">
        <v>71</v>
      </c>
      <c r="I100" s="191"/>
      <c r="J100" s="11">
        <f>J98*D99</f>
        <v>1</v>
      </c>
      <c r="K100" s="191" t="s">
        <v>71</v>
      </c>
      <c r="M100" s="112">
        <f>M98*D99</f>
        <v>1</v>
      </c>
      <c r="N100" s="11" t="s">
        <v>71</v>
      </c>
      <c r="O100" s="191"/>
      <c r="P100" s="11">
        <f>P98*D99</f>
        <v>1</v>
      </c>
      <c r="Q100" s="11" t="s">
        <v>71</v>
      </c>
      <c r="R100" s="1180"/>
    </row>
    <row r="101" spans="1:18">
      <c r="A101" s="112" t="s">
        <v>708</v>
      </c>
      <c r="B101" s="11"/>
      <c r="C101" s="11"/>
      <c r="D101" s="11"/>
      <c r="E101" s="11"/>
      <c r="F101" s="191" t="s">
        <v>1</v>
      </c>
      <c r="G101" s="744">
        <f>G100*C35</f>
        <v>1.9499999999999997</v>
      </c>
      <c r="H101" s="11" t="s">
        <v>48</v>
      </c>
      <c r="I101" s="191"/>
      <c r="J101" s="417">
        <f>J100*F35</f>
        <v>1.9499999999999997</v>
      </c>
      <c r="K101" s="191" t="s">
        <v>48</v>
      </c>
      <c r="M101" s="744">
        <f>M100*H22</f>
        <v>0.99999999999999956</v>
      </c>
      <c r="N101" s="11" t="s">
        <v>48</v>
      </c>
      <c r="O101" s="191"/>
      <c r="P101" s="417">
        <f>P100*H22</f>
        <v>0.99999999999999956</v>
      </c>
      <c r="Q101" s="11" t="s">
        <v>48</v>
      </c>
      <c r="R101" s="1180"/>
    </row>
    <row r="102" spans="1:18">
      <c r="A102" s="112" t="s">
        <v>709</v>
      </c>
      <c r="B102" s="11"/>
      <c r="C102" s="11"/>
      <c r="D102" s="11"/>
      <c r="E102" s="11"/>
      <c r="F102" s="191" t="s">
        <v>1</v>
      </c>
      <c r="G102" s="744">
        <f>C35/2</f>
        <v>0.97499999999999987</v>
      </c>
      <c r="H102" s="11" t="s">
        <v>2</v>
      </c>
      <c r="I102" s="191"/>
      <c r="J102" s="417">
        <f>F35/2</f>
        <v>0.97499999999999987</v>
      </c>
      <c r="K102" s="191" t="s">
        <v>2</v>
      </c>
      <c r="M102" s="744">
        <f>H22/2</f>
        <v>0.49999999999999978</v>
      </c>
      <c r="N102" s="11" t="s">
        <v>2</v>
      </c>
      <c r="O102" s="191"/>
      <c r="P102" s="417">
        <f>H22/2</f>
        <v>0.49999999999999978</v>
      </c>
      <c r="Q102" s="11" t="s">
        <v>2</v>
      </c>
      <c r="R102" s="1180"/>
    </row>
    <row r="103" spans="1:18">
      <c r="A103" s="112" t="s">
        <v>702</v>
      </c>
      <c r="B103" s="11"/>
      <c r="C103" s="11"/>
      <c r="D103" s="11"/>
      <c r="E103" s="11"/>
      <c r="F103" s="191" t="s">
        <v>1</v>
      </c>
      <c r="G103" s="744">
        <f>G101*G102</f>
        <v>1.9012499999999994</v>
      </c>
      <c r="H103" s="417" t="s">
        <v>577</v>
      </c>
      <c r="I103" s="745"/>
      <c r="J103" s="417">
        <f>J101*J102</f>
        <v>1.9012499999999994</v>
      </c>
      <c r="K103" s="745" t="s">
        <v>577</v>
      </c>
      <c r="M103" s="744">
        <f>M101*M102</f>
        <v>0.49999999999999956</v>
      </c>
      <c r="N103" s="417" t="s">
        <v>577</v>
      </c>
      <c r="O103" s="745"/>
      <c r="P103" s="417">
        <f>P101*P102</f>
        <v>0.49999999999999956</v>
      </c>
      <c r="Q103" s="417" t="s">
        <v>577</v>
      </c>
      <c r="R103" s="1180"/>
    </row>
    <row r="104" spans="1:18">
      <c r="A104" s="112"/>
      <c r="B104" s="11"/>
      <c r="C104" s="11"/>
      <c r="D104" s="11"/>
      <c r="E104" s="11"/>
      <c r="F104" s="191"/>
      <c r="G104" s="112"/>
      <c r="H104" s="11"/>
      <c r="I104" s="191"/>
      <c r="J104" s="11"/>
      <c r="K104" s="191"/>
      <c r="M104" s="112"/>
      <c r="N104" s="11"/>
      <c r="O104" s="191"/>
      <c r="P104" s="11"/>
      <c r="Q104" s="11"/>
      <c r="R104" s="1180"/>
    </row>
    <row r="105" spans="1:18">
      <c r="A105" s="112" t="s">
        <v>710</v>
      </c>
      <c r="B105" s="11"/>
      <c r="C105" s="11"/>
      <c r="D105" s="11"/>
      <c r="E105" s="11"/>
      <c r="F105" s="191" t="s">
        <v>1</v>
      </c>
      <c r="G105" s="744">
        <f>G94+G101</f>
        <v>10.724999999999998</v>
      </c>
      <c r="H105" s="11" t="s">
        <v>48</v>
      </c>
      <c r="I105" s="191"/>
      <c r="J105" s="417">
        <f>J94+J101</f>
        <v>10.724999999999998</v>
      </c>
      <c r="K105" s="191" t="s">
        <v>48</v>
      </c>
      <c r="M105" s="744">
        <f>M94+M101</f>
        <v>5.4999999999999982</v>
      </c>
      <c r="N105" s="11" t="s">
        <v>48</v>
      </c>
      <c r="O105" s="191"/>
      <c r="P105" s="417">
        <f>P94+P101</f>
        <v>5.4999999999999982</v>
      </c>
      <c r="Q105" s="11" t="s">
        <v>48</v>
      </c>
      <c r="R105" s="1180"/>
    </row>
    <row r="106" spans="1:18">
      <c r="A106" s="112" t="s">
        <v>703</v>
      </c>
      <c r="B106" s="11"/>
      <c r="C106" s="11"/>
      <c r="D106" s="11"/>
      <c r="E106" s="11"/>
      <c r="F106" s="191" t="s">
        <v>1</v>
      </c>
      <c r="G106" s="744">
        <f>G96+G103</f>
        <v>10.456874999999997</v>
      </c>
      <c r="H106" s="417" t="s">
        <v>577</v>
      </c>
      <c r="I106" s="191"/>
      <c r="J106" s="417">
        <f>J96+J103</f>
        <v>10.456874999999997</v>
      </c>
      <c r="K106" s="745" t="s">
        <v>577</v>
      </c>
      <c r="M106" s="744">
        <f>M96+M103</f>
        <v>2.7499999999999978</v>
      </c>
      <c r="N106" s="417" t="s">
        <v>577</v>
      </c>
      <c r="O106" s="191"/>
      <c r="P106" s="417">
        <f>P96+P103</f>
        <v>2.7499999999999978</v>
      </c>
      <c r="Q106" s="417" t="s">
        <v>577</v>
      </c>
      <c r="R106" s="1180"/>
    </row>
    <row r="107" spans="1:18">
      <c r="A107" s="112"/>
      <c r="B107" s="11"/>
      <c r="C107" s="11"/>
      <c r="D107" s="11"/>
      <c r="E107" s="11"/>
      <c r="F107" s="191"/>
      <c r="G107" s="112"/>
      <c r="H107" s="11"/>
      <c r="I107" s="191"/>
      <c r="J107" s="11"/>
      <c r="K107" s="191"/>
      <c r="M107" s="112"/>
      <c r="N107" s="11"/>
      <c r="O107" s="191"/>
      <c r="P107" s="11"/>
      <c r="Q107" s="11"/>
      <c r="R107" s="1180"/>
    </row>
    <row r="108" spans="1:18">
      <c r="A108" s="112" t="s">
        <v>711</v>
      </c>
      <c r="B108" s="11"/>
      <c r="C108" s="11"/>
      <c r="D108" s="11"/>
      <c r="E108" s="11"/>
      <c r="F108" s="191" t="s">
        <v>1</v>
      </c>
      <c r="G108" s="744">
        <f>G85-G105</f>
        <v>45.434322051542225</v>
      </c>
      <c r="H108" s="11" t="s">
        <v>48</v>
      </c>
      <c r="I108" s="191"/>
      <c r="J108" s="417">
        <f>J85-J105</f>
        <v>63.324771507480932</v>
      </c>
      <c r="K108" s="191" t="s">
        <v>48</v>
      </c>
      <c r="M108" s="744">
        <f>M85-M105</f>
        <v>47.113983420156671</v>
      </c>
      <c r="N108" s="11" t="s">
        <v>48</v>
      </c>
      <c r="O108" s="191"/>
      <c r="P108" s="417">
        <f>P85-P105</f>
        <v>46.274236912736548</v>
      </c>
      <c r="Q108" s="11" t="s">
        <v>48</v>
      </c>
      <c r="R108" s="1180"/>
    </row>
    <row r="109" spans="1:18">
      <c r="A109" s="112" t="s">
        <v>704</v>
      </c>
      <c r="B109" s="11"/>
      <c r="C109" s="11"/>
      <c r="D109" s="11"/>
      <c r="E109" s="11"/>
      <c r="F109" s="191" t="s">
        <v>1</v>
      </c>
      <c r="G109" s="744">
        <f>G87-G106</f>
        <v>56.934311461850655</v>
      </c>
      <c r="H109" s="11" t="s">
        <v>577</v>
      </c>
      <c r="I109" s="191"/>
      <c r="J109" s="417">
        <f>J87-J106</f>
        <v>78.402850808977092</v>
      </c>
      <c r="K109" s="191" t="s">
        <v>577</v>
      </c>
      <c r="M109" s="744">
        <f>M87-M106</f>
        <v>19.610942953566578</v>
      </c>
      <c r="N109" s="11" t="s">
        <v>577</v>
      </c>
      <c r="O109" s="191"/>
      <c r="P109" s="417">
        <f>P87-P106</f>
        <v>19.254050687913026</v>
      </c>
      <c r="Q109" s="11" t="s">
        <v>577</v>
      </c>
      <c r="R109" s="1180"/>
    </row>
    <row r="110" spans="1:18">
      <c r="A110" s="113"/>
      <c r="B110" s="651"/>
      <c r="C110" s="651"/>
      <c r="D110" s="651"/>
      <c r="E110" s="651"/>
      <c r="F110" s="652"/>
      <c r="G110" s="113"/>
      <c r="H110" s="651"/>
      <c r="I110" s="652"/>
      <c r="J110" s="651"/>
      <c r="K110" s="652"/>
      <c r="M110" s="113"/>
      <c r="N110" s="651"/>
      <c r="O110" s="652"/>
      <c r="P110" s="651"/>
      <c r="Q110" s="651"/>
      <c r="R110" s="1181"/>
    </row>
    <row r="111" spans="1:18">
      <c r="A111" s="1155" t="s">
        <v>712</v>
      </c>
      <c r="B111" s="1153"/>
      <c r="C111" s="1153" t="s">
        <v>1</v>
      </c>
      <c r="D111" s="1156">
        <f>MAX(G108,J108)</f>
        <v>63.324771507480932</v>
      </c>
      <c r="E111" s="1157" t="s">
        <v>48</v>
      </c>
      <c r="F111" s="11"/>
      <c r="G111" s="11"/>
      <c r="H111" s="11"/>
      <c r="I111" s="11"/>
      <c r="J111" s="11"/>
      <c r="K111" s="11"/>
      <c r="L111" s="374" t="s">
        <v>712</v>
      </c>
      <c r="M111" s="1153"/>
      <c r="N111" s="1153" t="s">
        <v>1</v>
      </c>
      <c r="O111" s="1156">
        <f>MAX(M108,P108)</f>
        <v>47.113983420156671</v>
      </c>
      <c r="P111" s="1157" t="s">
        <v>48</v>
      </c>
      <c r="Q111" s="11"/>
    </row>
    <row r="112" spans="1:18">
      <c r="A112" s="374" t="s">
        <v>705</v>
      </c>
      <c r="B112" s="499"/>
      <c r="C112" s="499" t="s">
        <v>1</v>
      </c>
      <c r="D112" s="500">
        <f>MAX(G109,J109)</f>
        <v>78.402850808977092</v>
      </c>
      <c r="E112" s="501" t="s">
        <v>577</v>
      </c>
      <c r="F112" s="11"/>
      <c r="G112" s="11"/>
      <c r="H112" s="11"/>
      <c r="I112" s="11"/>
      <c r="J112" s="11"/>
      <c r="K112" s="11"/>
      <c r="L112" s="374" t="s">
        <v>705</v>
      </c>
      <c r="M112" s="499"/>
      <c r="N112" s="499" t="s">
        <v>1</v>
      </c>
      <c r="O112" s="1126">
        <f>MAX(M109,P109)</f>
        <v>19.610942953566578</v>
      </c>
      <c r="P112" s="501" t="s">
        <v>577</v>
      </c>
    </row>
    <row r="113" spans="1:11">
      <c r="A113" s="11"/>
      <c r="B113" s="11"/>
      <c r="C113" s="11"/>
      <c r="D113" s="11"/>
      <c r="E113" s="11"/>
      <c r="F113" s="11"/>
      <c r="G113" s="11"/>
      <c r="H113" s="11"/>
      <c r="I113" s="11"/>
      <c r="J113" s="11"/>
      <c r="K113" s="11"/>
    </row>
  </sheetData>
  <mergeCells count="4">
    <mergeCell ref="B3:I3"/>
    <mergeCell ref="R2:T2"/>
    <mergeCell ref="R3:S3"/>
    <mergeCell ref="T3:T4"/>
  </mergeCells>
  <pageMargins left="0.70866141732283505" right="0.70866141732283505" top="0.74803149606299202" bottom="0.74803149606299202" header="0.31496062992126" footer="0.31496062992126"/>
  <pageSetup paperSize="9" scale="84" orientation="landscape" blackAndWhite="1" r:id="rId1"/>
  <rowBreaks count="2" manualBreakCount="2">
    <brk id="39" max="16383" man="1"/>
    <brk id="76" max="16383" man="1"/>
  </rowBreaks>
  <drawing r:id="rId2"/>
</worksheet>
</file>

<file path=xl/worksheets/sheet35.xml><?xml version="1.0" encoding="utf-8"?>
<worksheet xmlns="http://schemas.openxmlformats.org/spreadsheetml/2006/main" xmlns:r="http://schemas.openxmlformats.org/officeDocument/2006/relationships">
  <sheetPr codeName="Sheet26">
    <tabColor theme="6" tint="0.39997558519241921"/>
  </sheetPr>
  <dimension ref="A1:AG112"/>
  <sheetViews>
    <sheetView view="pageBreakPreview" topLeftCell="A79" zoomScaleSheetLayoutView="100" workbookViewId="0">
      <selection activeCell="S98" sqref="S98"/>
    </sheetView>
  </sheetViews>
  <sheetFormatPr defaultColWidth="7.7109375" defaultRowHeight="15"/>
  <cols>
    <col min="1" max="2" width="7.7109375" style="1"/>
    <col min="3" max="4" width="7.7109375" style="1" customWidth="1"/>
    <col min="5" max="5" width="7.7109375" style="1"/>
    <col min="6" max="6" width="7.7109375" style="1" customWidth="1"/>
    <col min="7" max="8" width="7.7109375" style="1"/>
    <col min="9" max="9" width="7.7109375" style="1" customWidth="1"/>
    <col min="10" max="11" width="7.7109375" style="1"/>
    <col min="12" max="13" width="7.7109375" style="1" customWidth="1"/>
    <col min="14" max="16384" width="7.7109375" style="1"/>
  </cols>
  <sheetData>
    <row r="1" spans="1:19">
      <c r="A1" s="9" t="s">
        <v>867</v>
      </c>
    </row>
    <row r="2" spans="1:19">
      <c r="E2" s="1" t="s">
        <v>797</v>
      </c>
      <c r="H2" s="1" t="s">
        <v>1</v>
      </c>
      <c r="I2" s="1">
        <f>C5*1000</f>
        <v>1200</v>
      </c>
      <c r="J2" s="1" t="s">
        <v>5</v>
      </c>
    </row>
    <row r="3" spans="1:19">
      <c r="E3" s="1" t="s">
        <v>606</v>
      </c>
      <c r="H3" s="1" t="s">
        <v>1</v>
      </c>
      <c r="I3" s="398">
        <f>U_PILE!K5</f>
        <v>85</v>
      </c>
      <c r="J3" s="1" t="s">
        <v>5</v>
      </c>
    </row>
    <row r="4" spans="1:19">
      <c r="E4" s="1" t="s">
        <v>748</v>
      </c>
      <c r="H4" s="1" t="s">
        <v>1</v>
      </c>
      <c r="I4" s="398">
        <f>U_PILE!K6</f>
        <v>25</v>
      </c>
      <c r="J4" s="1" t="s">
        <v>5</v>
      </c>
    </row>
    <row r="5" spans="1:19">
      <c r="C5" s="10">
        <f>GEN!F97</f>
        <v>1.2</v>
      </c>
      <c r="E5" s="1" t="s">
        <v>749</v>
      </c>
      <c r="H5" s="1" t="s">
        <v>1</v>
      </c>
      <c r="I5" s="398">
        <f>U_PILE!K7</f>
        <v>25</v>
      </c>
      <c r="J5" s="1" t="s">
        <v>604</v>
      </c>
    </row>
    <row r="6" spans="1:19">
      <c r="E6" s="1" t="s">
        <v>753</v>
      </c>
      <c r="H6" s="1" t="s">
        <v>1</v>
      </c>
      <c r="I6" s="7">
        <f>I3+I4/2</f>
        <v>97.5</v>
      </c>
      <c r="J6" s="1" t="s">
        <v>5</v>
      </c>
    </row>
    <row r="7" spans="1:19">
      <c r="E7" s="1" t="s">
        <v>752</v>
      </c>
      <c r="H7" s="1" t="s">
        <v>1</v>
      </c>
      <c r="I7" s="150">
        <f>I2-I6*2</f>
        <v>1005</v>
      </c>
      <c r="J7" s="1" t="s">
        <v>5</v>
      </c>
    </row>
    <row r="8" spans="1:19">
      <c r="E8" s="1" t="s">
        <v>561</v>
      </c>
      <c r="H8" s="1" t="s">
        <v>1</v>
      </c>
      <c r="I8" s="254">
        <f>PI()*I7/I5</f>
        <v>126.29202467430969</v>
      </c>
      <c r="J8" s="1" t="s">
        <v>5</v>
      </c>
    </row>
    <row r="9" spans="1:19" ht="17.25">
      <c r="E9" s="1" t="s">
        <v>777</v>
      </c>
      <c r="H9" s="1" t="s">
        <v>1</v>
      </c>
      <c r="I9" s="254">
        <f>PI()*I4^2/4*I5</f>
        <v>12271.846303085129</v>
      </c>
      <c r="J9" s="1" t="s">
        <v>570</v>
      </c>
    </row>
    <row r="11" spans="1:19">
      <c r="A11" s="1" t="s">
        <v>1242</v>
      </c>
      <c r="D11" s="1" t="s">
        <v>329</v>
      </c>
      <c r="F11" s="1" t="s">
        <v>1</v>
      </c>
      <c r="G11" s="1">
        <f>GEN!H19</f>
        <v>35</v>
      </c>
      <c r="H11" s="1" t="s">
        <v>293</v>
      </c>
    </row>
    <row r="12" spans="1:19" ht="18">
      <c r="A12" s="1336" t="s">
        <v>1840</v>
      </c>
      <c r="B12" s="1332"/>
      <c r="F12" s="1332" t="s">
        <v>1</v>
      </c>
      <c r="G12" s="1337">
        <f>GEN!H24</f>
        <v>2.7712675746635549</v>
      </c>
      <c r="H12" s="1332" t="s">
        <v>293</v>
      </c>
    </row>
    <row r="13" spans="1:19" ht="18">
      <c r="A13" s="1336" t="s">
        <v>512</v>
      </c>
      <c r="B13" s="1332"/>
      <c r="F13" s="1332" t="s">
        <v>1</v>
      </c>
      <c r="G13" s="1332" t="s">
        <v>1828</v>
      </c>
      <c r="H13" s="1332"/>
      <c r="I13" s="1332" t="s">
        <v>1</v>
      </c>
      <c r="J13" s="1337">
        <f>MIN(G12,2.9)</f>
        <v>2.7712675746635549</v>
      </c>
      <c r="K13" s="1" t="s">
        <v>293</v>
      </c>
      <c r="S13" s="528"/>
    </row>
    <row r="14" spans="1:19" ht="18">
      <c r="A14" s="1336" t="s">
        <v>522</v>
      </c>
      <c r="B14" s="1332"/>
      <c r="F14" s="1332" t="s">
        <v>1</v>
      </c>
      <c r="G14" s="1409">
        <f>GEN!G75</f>
        <v>0.3</v>
      </c>
      <c r="H14" s="1332" t="s">
        <v>5</v>
      </c>
      <c r="I14" s="1332"/>
      <c r="S14" s="528"/>
    </row>
    <row r="15" spans="1:19">
      <c r="S15" s="528"/>
    </row>
    <row r="16" spans="1:19">
      <c r="A16" s="1" t="s">
        <v>287</v>
      </c>
      <c r="C16" s="1" t="s">
        <v>295</v>
      </c>
      <c r="F16" s="1" t="s">
        <v>1</v>
      </c>
      <c r="G16" s="1">
        <f>GEN!H27</f>
        <v>500</v>
      </c>
      <c r="H16" s="1" t="s">
        <v>293</v>
      </c>
      <c r="S16" s="528"/>
    </row>
    <row r="17" spans="1:13">
      <c r="A17" s="26"/>
      <c r="B17" s="26"/>
      <c r="C17" s="26"/>
      <c r="D17" s="26"/>
      <c r="E17" s="26"/>
      <c r="F17" s="26"/>
      <c r="G17" s="26"/>
      <c r="H17" s="26"/>
      <c r="I17" s="26"/>
      <c r="J17" s="26"/>
      <c r="K17" s="26"/>
    </row>
    <row r="18" spans="1:13">
      <c r="A18" s="585" t="s">
        <v>1845</v>
      </c>
      <c r="B18" s="26"/>
      <c r="C18" s="26"/>
      <c r="D18" s="26"/>
      <c r="E18" s="26"/>
      <c r="F18" s="26" t="s">
        <v>1</v>
      </c>
      <c r="G18" s="408">
        <f>GEN!I71</f>
        <v>16.8</v>
      </c>
      <c r="H18" s="26" t="s">
        <v>293</v>
      </c>
      <c r="I18" s="26"/>
      <c r="J18" s="26"/>
      <c r="K18" s="26"/>
    </row>
    <row r="19" spans="1:13">
      <c r="A19" s="585" t="s">
        <v>1846</v>
      </c>
      <c r="B19" s="26"/>
      <c r="C19" s="26"/>
      <c r="D19" s="26"/>
      <c r="E19" s="26"/>
      <c r="F19" s="26" t="s">
        <v>1</v>
      </c>
      <c r="G19" s="408">
        <f>GEN!I72</f>
        <v>12.6</v>
      </c>
      <c r="H19" s="26" t="s">
        <v>293</v>
      </c>
      <c r="I19" s="26"/>
      <c r="J19" s="26"/>
      <c r="K19" s="26"/>
    </row>
    <row r="20" spans="1:13">
      <c r="A20" s="26"/>
      <c r="B20" s="26"/>
      <c r="C20" s="26"/>
      <c r="D20" s="26"/>
      <c r="E20" s="26"/>
      <c r="F20" s="26"/>
      <c r="G20" s="26"/>
      <c r="H20" s="26"/>
      <c r="I20" s="26"/>
      <c r="J20" s="26"/>
      <c r="K20" s="26"/>
    </row>
    <row r="21" spans="1:13">
      <c r="A21" s="585" t="s">
        <v>871</v>
      </c>
      <c r="B21" s="26"/>
      <c r="C21" s="26"/>
      <c r="D21" s="26"/>
      <c r="E21" s="26"/>
      <c r="F21" s="26" t="s">
        <v>1</v>
      </c>
      <c r="G21" s="408">
        <f>-GEN!G74</f>
        <v>-300</v>
      </c>
      <c r="H21" s="26" t="s">
        <v>293</v>
      </c>
      <c r="I21" s="26"/>
      <c r="J21" s="26"/>
      <c r="K21" s="26"/>
    </row>
    <row r="23" spans="1:13">
      <c r="A23" s="421" t="s">
        <v>464</v>
      </c>
      <c r="B23" s="26"/>
      <c r="C23" s="26"/>
      <c r="F23" s="26"/>
      <c r="G23" s="26"/>
      <c r="H23" s="416"/>
      <c r="I23" s="26"/>
      <c r="J23" s="415"/>
      <c r="K23" s="26"/>
    </row>
    <row r="24" spans="1:13" ht="18">
      <c r="A24" s="26" t="s">
        <v>257</v>
      </c>
      <c r="B24" s="26"/>
      <c r="C24" s="26"/>
      <c r="D24" s="26" t="s">
        <v>445</v>
      </c>
      <c r="E24" s="26" t="s">
        <v>1</v>
      </c>
      <c r="F24" s="418">
        <f>MAX(F56:F59)</f>
        <v>28.294448535978287</v>
      </c>
      <c r="G24" s="26" t="s">
        <v>77</v>
      </c>
      <c r="H24" s="26"/>
      <c r="I24" s="26"/>
      <c r="J24" s="26"/>
      <c r="K24" s="26"/>
      <c r="L24" s="26"/>
      <c r="M24" s="26"/>
    </row>
    <row r="25" spans="1:13" ht="18">
      <c r="A25" s="26"/>
      <c r="B25" s="26"/>
      <c r="C25" s="26"/>
      <c r="D25" s="26" t="s">
        <v>467</v>
      </c>
      <c r="E25" s="26" t="s">
        <v>1</v>
      </c>
      <c r="F25" s="418">
        <f>MAX(F53:F54)</f>
        <v>4.663350866568261</v>
      </c>
      <c r="G25" s="26" t="s">
        <v>77</v>
      </c>
      <c r="H25" s="26"/>
      <c r="I25" s="26"/>
      <c r="J25" s="26"/>
      <c r="K25" s="26"/>
      <c r="L25" s="26"/>
      <c r="M25" s="26"/>
    </row>
    <row r="26" spans="1:13" ht="18">
      <c r="A26" s="26"/>
      <c r="B26" s="26"/>
      <c r="C26" s="26"/>
      <c r="D26" s="26" t="s">
        <v>446</v>
      </c>
      <c r="E26" s="26" t="s">
        <v>1</v>
      </c>
      <c r="F26" s="26" t="s">
        <v>468</v>
      </c>
      <c r="G26" s="26"/>
      <c r="H26" s="26" t="s">
        <v>447</v>
      </c>
      <c r="I26" s="26"/>
      <c r="J26" s="26"/>
      <c r="K26" s="26"/>
      <c r="L26" s="26"/>
      <c r="M26" s="26"/>
    </row>
    <row r="27" spans="1:13">
      <c r="A27" s="26"/>
      <c r="B27" s="26"/>
      <c r="C27" s="26"/>
      <c r="D27" s="26"/>
      <c r="E27" s="26" t="s">
        <v>1</v>
      </c>
      <c r="F27" s="419">
        <f>F24-F25</f>
        <v>23.631097669410025</v>
      </c>
      <c r="G27" s="26" t="s">
        <v>77</v>
      </c>
      <c r="H27" s="26"/>
      <c r="I27" s="26"/>
      <c r="J27" s="26"/>
      <c r="K27" s="26"/>
      <c r="L27" s="26"/>
      <c r="M27" s="26"/>
    </row>
    <row r="28" spans="1:13">
      <c r="A28" s="26" t="s">
        <v>464</v>
      </c>
      <c r="B28" s="26"/>
      <c r="C28" s="26"/>
      <c r="D28" s="26"/>
      <c r="E28" s="26"/>
      <c r="F28" s="26"/>
      <c r="G28" s="26"/>
      <c r="H28" s="26"/>
      <c r="I28" s="26"/>
      <c r="J28" s="26"/>
      <c r="K28" s="26"/>
      <c r="L28" s="26"/>
      <c r="M28" s="26"/>
    </row>
    <row r="29" spans="1:13">
      <c r="A29" s="26" t="s">
        <v>465</v>
      </c>
      <c r="B29" s="26"/>
      <c r="C29" s="26"/>
      <c r="D29" s="26" t="s">
        <v>451</v>
      </c>
      <c r="E29" s="26" t="s">
        <v>1</v>
      </c>
      <c r="F29" s="72">
        <f>GEN!H41</f>
        <v>32308.249722965833</v>
      </c>
      <c r="G29" s="26" t="s">
        <v>293</v>
      </c>
      <c r="H29" s="26"/>
      <c r="I29" s="26"/>
      <c r="J29" s="26"/>
      <c r="K29" s="26"/>
      <c r="L29" s="26"/>
      <c r="M29" s="26"/>
    </row>
    <row r="30" spans="1:13">
      <c r="A30" s="26" t="s">
        <v>472</v>
      </c>
      <c r="B30" s="26"/>
      <c r="C30" s="26"/>
      <c r="D30" s="420" t="s">
        <v>60</v>
      </c>
      <c r="E30" s="26" t="s">
        <v>1</v>
      </c>
      <c r="F30" s="72">
        <f>GEN!G45</f>
        <v>1</v>
      </c>
      <c r="G30" s="26"/>
      <c r="H30" s="365"/>
      <c r="I30" s="365"/>
      <c r="J30" s="365"/>
      <c r="K30" s="365"/>
      <c r="L30" s="365"/>
      <c r="M30" s="26"/>
    </row>
    <row r="31" spans="1:13">
      <c r="A31" s="26" t="s">
        <v>466</v>
      </c>
      <c r="B31" s="26"/>
      <c r="C31" s="26"/>
      <c r="D31" s="26" t="s">
        <v>454</v>
      </c>
      <c r="E31" s="26" t="s">
        <v>1</v>
      </c>
      <c r="F31" s="11">
        <f>F29/(1+F30)</f>
        <v>16154.124861482916</v>
      </c>
      <c r="G31" s="26" t="s">
        <v>293</v>
      </c>
      <c r="H31" s="365"/>
      <c r="I31" s="365"/>
      <c r="J31" s="365"/>
      <c r="K31" s="365"/>
      <c r="L31" s="365"/>
      <c r="M31" s="26"/>
    </row>
    <row r="32" spans="1:13">
      <c r="A32" s="26"/>
      <c r="B32" s="26"/>
      <c r="C32" s="26"/>
      <c r="D32" s="26"/>
      <c r="E32" s="26"/>
      <c r="F32" s="26"/>
      <c r="G32" s="26"/>
      <c r="H32" s="365"/>
      <c r="I32" s="365"/>
      <c r="J32" s="365"/>
      <c r="K32" s="365"/>
      <c r="L32" s="365"/>
      <c r="M32" s="26"/>
    </row>
    <row r="33" spans="1:13" ht="18.75">
      <c r="A33" s="26" t="s">
        <v>475</v>
      </c>
      <c r="B33" s="26"/>
      <c r="C33" s="26"/>
      <c r="D33" s="26" t="s">
        <v>473</v>
      </c>
      <c r="E33" s="26" t="s">
        <v>1</v>
      </c>
      <c r="F33" s="355">
        <f>GEN!H30</f>
        <v>200000</v>
      </c>
      <c r="G33" s="26" t="s">
        <v>474</v>
      </c>
      <c r="H33" s="26"/>
      <c r="I33" s="26"/>
      <c r="J33" s="26"/>
      <c r="K33" s="26"/>
      <c r="L33" s="26"/>
      <c r="M33" s="26"/>
    </row>
    <row r="34" spans="1:13">
      <c r="A34" s="26"/>
      <c r="B34" s="26"/>
      <c r="C34" s="26"/>
      <c r="D34" s="26"/>
      <c r="E34" s="26"/>
      <c r="F34" s="26"/>
      <c r="G34" s="26"/>
      <c r="H34" s="26"/>
      <c r="I34" s="26"/>
      <c r="J34" s="26"/>
      <c r="K34" s="26"/>
      <c r="L34" s="26"/>
      <c r="M34" s="26"/>
    </row>
    <row r="35" spans="1:13">
      <c r="A35" s="26" t="s">
        <v>493</v>
      </c>
      <c r="B35" s="26"/>
      <c r="C35" s="26"/>
      <c r="D35" s="26"/>
      <c r="E35" s="26" t="s">
        <v>1</v>
      </c>
      <c r="F35" s="26" t="s">
        <v>494</v>
      </c>
      <c r="G35" s="26"/>
      <c r="H35" s="26" t="s">
        <v>1</v>
      </c>
      <c r="I35" s="154">
        <f>F33/F31</f>
        <v>12.380738771982006</v>
      </c>
      <c r="J35" s="26"/>
      <c r="K35" s="26"/>
      <c r="L35" s="26"/>
      <c r="M35" s="26"/>
    </row>
    <row r="36" spans="1:13">
      <c r="A36" s="26" t="s">
        <v>599</v>
      </c>
      <c r="B36" s="26"/>
      <c r="C36" s="26"/>
      <c r="D36" s="26"/>
      <c r="E36" s="26"/>
      <c r="F36" s="26"/>
      <c r="G36" s="26"/>
      <c r="H36" s="26"/>
      <c r="I36" s="26"/>
      <c r="J36" s="26"/>
      <c r="K36" s="26"/>
      <c r="L36" s="26"/>
      <c r="M36" s="26"/>
    </row>
    <row r="37" spans="1:13" ht="18">
      <c r="A37" s="26"/>
      <c r="B37" s="26"/>
      <c r="C37" s="26"/>
      <c r="D37" s="26" t="s">
        <v>471</v>
      </c>
      <c r="E37" s="26" t="s">
        <v>1</v>
      </c>
      <c r="F37" s="15" t="s">
        <v>469</v>
      </c>
      <c r="G37" s="15"/>
      <c r="H37" s="26" t="s">
        <v>1</v>
      </c>
      <c r="I37" s="26">
        <f>F29*(F25+F27)/(F27+(1+F30)*F25)</f>
        <v>27736.806632889402</v>
      </c>
      <c r="J37" s="26" t="s">
        <v>144</v>
      </c>
      <c r="K37" s="26"/>
      <c r="L37" s="26"/>
      <c r="M37" s="26"/>
    </row>
    <row r="38" spans="1:13" ht="18">
      <c r="A38" s="26"/>
      <c r="B38" s="26"/>
      <c r="C38" s="26"/>
      <c r="D38" s="26"/>
      <c r="E38" s="26"/>
      <c r="F38" s="26" t="s">
        <v>470</v>
      </c>
      <c r="G38" s="26"/>
      <c r="H38" s="26"/>
      <c r="I38" s="26"/>
      <c r="J38" s="26"/>
      <c r="K38" s="26"/>
      <c r="L38" s="26"/>
      <c r="M38" s="26"/>
    </row>
    <row r="39" spans="1:13">
      <c r="A39" s="26"/>
      <c r="B39" s="26"/>
      <c r="C39" s="26"/>
      <c r="D39" s="26"/>
      <c r="E39" s="26"/>
      <c r="F39" s="26"/>
      <c r="G39" s="26"/>
      <c r="H39" s="26"/>
      <c r="I39" s="26"/>
      <c r="J39" s="26"/>
      <c r="K39" s="26"/>
      <c r="L39" s="26"/>
      <c r="M39" s="26"/>
    </row>
    <row r="40" spans="1:13" ht="18">
      <c r="A40" s="26" t="s">
        <v>495</v>
      </c>
      <c r="B40" s="26"/>
      <c r="C40" s="26"/>
      <c r="D40" s="26"/>
      <c r="E40" s="26" t="s">
        <v>1</v>
      </c>
      <c r="F40" s="26" t="s">
        <v>477</v>
      </c>
      <c r="G40" s="26"/>
      <c r="H40" s="26" t="s">
        <v>1</v>
      </c>
      <c r="I40" s="1017">
        <f>F33/I37</f>
        <v>7.2106354075687467</v>
      </c>
      <c r="J40" s="26"/>
      <c r="K40" s="26"/>
      <c r="L40" s="26"/>
      <c r="M40" s="26"/>
    </row>
    <row r="41" spans="1:13">
      <c r="J41" s="528"/>
    </row>
    <row r="42" spans="1:13">
      <c r="A42" s="270" t="s">
        <v>257</v>
      </c>
      <c r="E42" s="528" t="s">
        <v>1</v>
      </c>
      <c r="F42" s="1410" t="s">
        <v>1848</v>
      </c>
      <c r="J42" s="528"/>
    </row>
    <row r="43" spans="1:13" ht="18">
      <c r="A43" s="11" t="s">
        <v>767</v>
      </c>
      <c r="B43" s="26" t="s">
        <v>1418</v>
      </c>
      <c r="C43" s="26"/>
      <c r="E43" s="1087" t="s">
        <v>1</v>
      </c>
      <c r="F43" s="1411">
        <f>HC_P!F38</f>
        <v>9.1853099630036485</v>
      </c>
      <c r="G43" s="545" t="s">
        <v>2</v>
      </c>
    </row>
    <row r="44" spans="1:13" ht="18">
      <c r="A44" s="11" t="s">
        <v>767</v>
      </c>
      <c r="B44" s="26" t="s">
        <v>1034</v>
      </c>
      <c r="C44" s="26"/>
      <c r="E44" s="1087" t="s">
        <v>1</v>
      </c>
      <c r="F44" s="1411">
        <f>HC_P!H38</f>
        <v>11.659290477508057</v>
      </c>
      <c r="G44" s="545" t="s">
        <v>2</v>
      </c>
      <c r="J44" s="528"/>
    </row>
    <row r="45" spans="1:13">
      <c r="A45" s="11" t="s">
        <v>870</v>
      </c>
      <c r="B45" s="11"/>
      <c r="C45" s="11"/>
      <c r="E45" s="296" t="s">
        <v>1</v>
      </c>
      <c r="F45" s="555">
        <f>HC_P!F33</f>
        <v>0.82</v>
      </c>
      <c r="G45" s="26"/>
      <c r="J45" s="528"/>
    </row>
    <row r="46" spans="1:13">
      <c r="A46" s="26"/>
      <c r="B46" s="26"/>
      <c r="C46" s="26"/>
      <c r="D46" s="26"/>
      <c r="E46" s="26"/>
      <c r="F46" s="26"/>
      <c r="J46" s="528"/>
    </row>
    <row r="47" spans="1:13">
      <c r="A47" s="62" t="s">
        <v>868</v>
      </c>
    </row>
    <row r="48" spans="1:13" ht="15" customHeight="1">
      <c r="A48" s="1713" t="s">
        <v>73</v>
      </c>
      <c r="B48" s="1714" t="s">
        <v>74</v>
      </c>
      <c r="C48" s="1715"/>
      <c r="D48" s="1733" t="s">
        <v>869</v>
      </c>
      <c r="E48" s="1734"/>
      <c r="F48" s="1734"/>
      <c r="G48" s="1735"/>
      <c r="H48" s="1727" t="s">
        <v>476</v>
      </c>
      <c r="I48" s="1636" t="s">
        <v>865</v>
      </c>
      <c r="J48" s="1637"/>
      <c r="K48" s="1637"/>
      <c r="L48" s="1637"/>
      <c r="M48" s="1638"/>
    </row>
    <row r="49" spans="1:26" ht="15" customHeight="1">
      <c r="A49" s="1713"/>
      <c r="B49" s="1716"/>
      <c r="C49" s="1717"/>
      <c r="D49" s="1722" t="s">
        <v>1484</v>
      </c>
      <c r="E49" s="1723" t="s">
        <v>866</v>
      </c>
      <c r="F49" s="1724" t="s">
        <v>789</v>
      </c>
      <c r="G49" s="1724"/>
      <c r="H49" s="1727"/>
      <c r="I49" s="1636" t="s">
        <v>124</v>
      </c>
      <c r="J49" s="1637"/>
      <c r="K49" s="1638"/>
      <c r="L49" s="1725" t="s">
        <v>125</v>
      </c>
      <c r="M49" s="1720" t="s">
        <v>873</v>
      </c>
    </row>
    <row r="50" spans="1:26" ht="18">
      <c r="A50" s="1713"/>
      <c r="B50" s="1716"/>
      <c r="C50" s="1717"/>
      <c r="D50" s="1722"/>
      <c r="E50" s="1723"/>
      <c r="F50" s="1724"/>
      <c r="G50" s="1724"/>
      <c r="H50" s="1727"/>
      <c r="I50" s="204" t="s">
        <v>863</v>
      </c>
      <c r="J50" s="203" t="s">
        <v>864</v>
      </c>
      <c r="K50" s="1233" t="s">
        <v>1841</v>
      </c>
      <c r="L50" s="1726"/>
      <c r="M50" s="1721"/>
    </row>
    <row r="51" spans="1:26" ht="17.25">
      <c r="A51" s="1407"/>
      <c r="B51" s="1718"/>
      <c r="C51" s="1719"/>
      <c r="D51" s="1408" t="s">
        <v>34</v>
      </c>
      <c r="E51" s="409" t="s">
        <v>34</v>
      </c>
      <c r="F51" s="1713" t="s">
        <v>34</v>
      </c>
      <c r="G51" s="1722"/>
      <c r="H51" s="223"/>
      <c r="I51" s="223" t="s">
        <v>474</v>
      </c>
      <c r="J51" s="1406" t="s">
        <v>474</v>
      </c>
      <c r="K51" s="1322" t="s">
        <v>2</v>
      </c>
      <c r="L51" s="223"/>
      <c r="M51" s="223"/>
    </row>
    <row r="52" spans="1:26">
      <c r="A52" s="112" t="s">
        <v>1842</v>
      </c>
      <c r="B52" s="112"/>
      <c r="C52" s="27"/>
      <c r="D52" s="571"/>
      <c r="E52" s="310"/>
      <c r="F52" s="309"/>
      <c r="G52" s="27"/>
      <c r="H52" s="37"/>
      <c r="I52" s="196"/>
      <c r="J52" s="254"/>
      <c r="K52" s="34"/>
      <c r="L52" s="586"/>
      <c r="M52" s="1019"/>
    </row>
    <row r="53" spans="1:26">
      <c r="A53" s="112" t="str">
        <f>SL_PC!A6</f>
        <v>LC-1</v>
      </c>
      <c r="B53" s="112"/>
      <c r="C53" s="27"/>
      <c r="D53" s="571">
        <f>SL_PC!R6</f>
        <v>168.99529755158881</v>
      </c>
      <c r="E53" s="310">
        <f>SL_PC!T6</f>
        <v>0.97553333333333347</v>
      </c>
      <c r="F53" s="309">
        <f>E53*$F$43/2*$F$45</f>
        <v>3.6738361788226186</v>
      </c>
      <c r="G53" s="27"/>
      <c r="H53" s="37">
        <f>I35</f>
        <v>12.380738771982006</v>
      </c>
      <c r="I53" s="196">
        <f>p!T3</f>
        <v>1.0592652658273081</v>
      </c>
      <c r="J53" s="254">
        <f>p!U3</f>
        <v>10.633685221847085</v>
      </c>
      <c r="K53" s="1325">
        <f>p!Z3</f>
        <v>1.2</v>
      </c>
      <c r="L53" s="586" t="str">
        <f>IF(AND(I53&lt;$G$19,J53&gt;$G$21),"OK","REVISE")</f>
        <v>OK</v>
      </c>
      <c r="M53" s="1019" t="str">
        <f>p!W3</f>
        <v>Uncracked</v>
      </c>
    </row>
    <row r="54" spans="1:26">
      <c r="A54" s="112" t="str">
        <f>SL_PC!A7</f>
        <v>LC-2</v>
      </c>
      <c r="B54" s="112"/>
      <c r="C54" s="191"/>
      <c r="D54" s="571">
        <f>SL_PC!R7</f>
        <v>160.29975727745492</v>
      </c>
      <c r="E54" s="310">
        <f>SL_PC!T7</f>
        <v>0.97553333333333347</v>
      </c>
      <c r="F54" s="309">
        <f>E54*$F$44/2*$F$45</f>
        <v>4.663350866568261</v>
      </c>
      <c r="G54" s="27"/>
      <c r="H54" s="37">
        <f>H53</f>
        <v>12.380738771982006</v>
      </c>
      <c r="I54" s="196">
        <f>p!T4</f>
        <v>1.0335922054456359</v>
      </c>
      <c r="J54" s="254">
        <f>p!U4</f>
        <v>9.6262653220961596</v>
      </c>
      <c r="K54" s="480">
        <f>p!Z4</f>
        <v>1.2</v>
      </c>
      <c r="L54" s="586" t="str">
        <f>IF(AND(I54&lt;$G$19,J54&gt;$G$21),"OK","REVISE")</f>
        <v>OK</v>
      </c>
      <c r="M54" s="1019" t="str">
        <f>p!W4</f>
        <v>Uncracked</v>
      </c>
      <c r="Z54" s="254"/>
    </row>
    <row r="55" spans="1:26">
      <c r="A55" s="112"/>
      <c r="B55" s="112"/>
      <c r="C55" s="191"/>
      <c r="D55" s="571"/>
      <c r="E55" s="310"/>
      <c r="F55" s="309"/>
      <c r="G55" s="27"/>
      <c r="H55" s="37"/>
      <c r="I55" s="196"/>
      <c r="J55" s="254"/>
      <c r="K55" s="480"/>
      <c r="L55" s="586"/>
      <c r="M55" s="1019"/>
      <c r="Z55" s="254"/>
    </row>
    <row r="56" spans="1:26">
      <c r="A56" s="112" t="str">
        <f>SL_PC!A9</f>
        <v>LC-3</v>
      </c>
      <c r="B56" s="112"/>
      <c r="C56" s="191"/>
      <c r="D56" s="571">
        <f>SL_PC!R9</f>
        <v>214.44710296229954</v>
      </c>
      <c r="E56" s="310">
        <f>SL_PC!T9</f>
        <v>5.3418796190476199</v>
      </c>
      <c r="F56" s="309">
        <f>E56*$F$43/2*$F$45</f>
        <v>20.117396235261737</v>
      </c>
      <c r="G56" s="27"/>
      <c r="H56" s="37">
        <f>I40</f>
        <v>7.2106354075687467</v>
      </c>
      <c r="I56" s="196">
        <f>p!T5</f>
        <v>2.3558268058064931</v>
      </c>
      <c r="J56" s="254">
        <f>p!U5</f>
        <v>4.3193438093897001</v>
      </c>
      <c r="K56" s="480">
        <f>p!Z5</f>
        <v>1.2</v>
      </c>
      <c r="L56" s="586" t="str">
        <f>IF(AND(I56&lt;$G$18,J56&gt;$G$21),"OK","REVISE")</f>
        <v>OK</v>
      </c>
      <c r="M56" s="1019" t="str">
        <f>p!W5</f>
        <v>Uncracked</v>
      </c>
      <c r="Z56" s="254"/>
    </row>
    <row r="57" spans="1:26">
      <c r="A57" s="112" t="str">
        <f>SL_PC!A10</f>
        <v>LC-4</v>
      </c>
      <c r="B57" s="112"/>
      <c r="C57" s="191"/>
      <c r="D57" s="571">
        <f>SL_PC!R10</f>
        <v>216.1218333968269</v>
      </c>
      <c r="E57" s="310">
        <f>SL_PC!T10</f>
        <v>4.9997042857142855</v>
      </c>
      <c r="F57" s="309">
        <f>E57*$F$43/2*$F$45</f>
        <v>18.82877177093382</v>
      </c>
      <c r="G57" s="27"/>
      <c r="H57" s="37">
        <f>H56</f>
        <v>7.2106354075687467</v>
      </c>
      <c r="I57" s="196">
        <f>p!T6</f>
        <v>2.3332358089380669</v>
      </c>
      <c r="J57" s="254">
        <f>p!U6</f>
        <v>4.3207835513214699</v>
      </c>
      <c r="K57" s="480">
        <f>p!Z6</f>
        <v>1.2</v>
      </c>
      <c r="L57" s="586" t="str">
        <f>IF(AND(I57&lt;$G$18,J57&gt;$G$21),"OK","REVISE")</f>
        <v>OK</v>
      </c>
      <c r="M57" s="1019" t="str">
        <f>p!W6</f>
        <v>Uncracked</v>
      </c>
      <c r="Z57" s="254"/>
    </row>
    <row r="58" spans="1:26">
      <c r="A58" s="112" t="str">
        <f>SL_PC!A11</f>
        <v>LC-5</v>
      </c>
      <c r="B58" s="112"/>
      <c r="C58" s="27"/>
      <c r="D58" s="571">
        <f>SL_PC!R11</f>
        <v>206.035408096038</v>
      </c>
      <c r="E58" s="310">
        <f>SL_PC!T11</f>
        <v>5.9189579521053011</v>
      </c>
      <c r="F58" s="309">
        <f>E58*$F$44/2*$F$45</f>
        <v>28.294448535978287</v>
      </c>
      <c r="G58" s="27"/>
      <c r="H58" s="37">
        <f>H57</f>
        <v>7.2106354075687467</v>
      </c>
      <c r="I58" s="196">
        <f>p!T7</f>
        <v>2.7102499564088136</v>
      </c>
      <c r="J58" s="254">
        <f>p!U7</f>
        <v>1.4963254637424142</v>
      </c>
      <c r="K58" s="480">
        <f>p!Z7</f>
        <v>1.1944139888359078</v>
      </c>
      <c r="L58" s="586" t="str">
        <f>IF(AND(I58&lt;$G$18,J58&gt;$G$21),"OK","REVISE")</f>
        <v>OK</v>
      </c>
      <c r="M58" s="1019" t="str">
        <f>p!W7</f>
        <v>Craked</v>
      </c>
      <c r="Z58" s="254"/>
    </row>
    <row r="59" spans="1:26">
      <c r="A59" s="112" t="str">
        <f>SL_PC!A12</f>
        <v>LC-6</v>
      </c>
      <c r="B59" s="112"/>
      <c r="C59" s="27"/>
      <c r="D59" s="571">
        <f>SL_PC!R12</f>
        <v>207.71013853056536</v>
      </c>
      <c r="E59" s="310">
        <f>SL_PC!T12</f>
        <v>5.5785907788764328</v>
      </c>
      <c r="F59" s="309">
        <f>E59*$F$44/2*$F$45</f>
        <v>26.667388241887981</v>
      </c>
      <c r="G59" s="27"/>
      <c r="H59" s="37">
        <f>H58</f>
        <v>7.2106354075687467</v>
      </c>
      <c r="I59" s="196">
        <f>p!T8</f>
        <v>2.6843091433244299</v>
      </c>
      <c r="J59" s="254">
        <f>p!U8</f>
        <v>1.5179181233596948</v>
      </c>
      <c r="K59" s="480">
        <f>p!Z8</f>
        <v>1.1968319948024435</v>
      </c>
      <c r="L59" s="586" t="str">
        <f>IF(AND(I59&lt;$G$18,J59&gt;$G$21),"OK","REVISE")</f>
        <v>OK</v>
      </c>
      <c r="M59" s="1019" t="str">
        <f>p!W8</f>
        <v>Craked</v>
      </c>
    </row>
    <row r="60" spans="1:26">
      <c r="A60" s="112"/>
      <c r="B60" s="112"/>
      <c r="C60" s="27"/>
      <c r="D60" s="571"/>
      <c r="E60" s="310"/>
      <c r="F60" s="309"/>
      <c r="G60" s="27"/>
      <c r="H60" s="37"/>
      <c r="I60" s="196"/>
      <c r="J60" s="254"/>
      <c r="K60" s="1325"/>
      <c r="L60" s="586"/>
      <c r="M60" s="1019"/>
    </row>
    <row r="61" spans="1:26">
      <c r="A61" s="112" t="s">
        <v>1843</v>
      </c>
      <c r="B61" s="112"/>
      <c r="C61" s="27"/>
      <c r="D61" s="571"/>
      <c r="E61" s="310"/>
      <c r="F61" s="309"/>
      <c r="G61" s="27"/>
      <c r="H61" s="37"/>
      <c r="I61" s="196"/>
      <c r="J61" s="254"/>
      <c r="K61" s="1325"/>
      <c r="L61" s="586"/>
      <c r="M61" s="1019"/>
    </row>
    <row r="62" spans="1:26">
      <c r="A62" s="112" t="str">
        <f>A53</f>
        <v>LC-1</v>
      </c>
      <c r="B62" s="112"/>
      <c r="C62" s="27"/>
      <c r="D62" s="310">
        <f>SL_PC!S6</f>
        <v>160.02039088492216</v>
      </c>
      <c r="E62" s="310">
        <f>E53</f>
        <v>0.97553333333333347</v>
      </c>
      <c r="F62" s="309">
        <f>F53</f>
        <v>3.6738361788226186</v>
      </c>
      <c r="G62" s="27"/>
      <c r="H62" s="37">
        <f>H53</f>
        <v>12.380738771982006</v>
      </c>
      <c r="I62" s="196">
        <f>p!T9</f>
        <v>1.0235282094511429</v>
      </c>
      <c r="J62" s="254">
        <f>p!U9</f>
        <v>10.191234062374189</v>
      </c>
      <c r="K62" s="1325">
        <f>p!Z9</f>
        <v>1.2</v>
      </c>
      <c r="L62" s="586" t="str">
        <f>IF(AND(I62&lt;$G$19,J62&gt;$G$21),"OK","REVISE")</f>
        <v>OK</v>
      </c>
      <c r="M62" s="1019" t="str">
        <f>p!W9</f>
        <v>Uncracked</v>
      </c>
    </row>
    <row r="63" spans="1:26">
      <c r="A63" s="112" t="str">
        <f>A54</f>
        <v>LC-2</v>
      </c>
      <c r="B63" s="112"/>
      <c r="C63" s="191"/>
      <c r="D63" s="310">
        <f>SL_PC!S7</f>
        <v>151.32485061078827</v>
      </c>
      <c r="E63" s="310">
        <f>E54</f>
        <v>0.97553333333333347</v>
      </c>
      <c r="F63" s="309">
        <f>F54</f>
        <v>4.663350866568261</v>
      </c>
      <c r="G63" s="27"/>
      <c r="H63" s="37">
        <f t="shared" ref="H63:H68" si="0">H54</f>
        <v>12.380738771982006</v>
      </c>
      <c r="I63" s="196">
        <f>p!T10</f>
        <v>0.99785514906947048</v>
      </c>
      <c r="J63" s="254">
        <f>p!U10</f>
        <v>9.1838141626232606</v>
      </c>
      <c r="K63" s="480">
        <f>p!Z10</f>
        <v>1.2</v>
      </c>
      <c r="L63" s="586" t="str">
        <f>IF(AND(I63&lt;$G$19,J63&gt;$G$21),"OK","REVISE")</f>
        <v>OK</v>
      </c>
      <c r="M63" s="1019" t="str">
        <f>p!W10</f>
        <v>Uncracked</v>
      </c>
    </row>
    <row r="64" spans="1:26">
      <c r="A64" s="112"/>
      <c r="B64" s="112"/>
      <c r="C64" s="191"/>
      <c r="D64" s="310"/>
      <c r="E64" s="310"/>
      <c r="F64" s="309"/>
      <c r="G64" s="27"/>
      <c r="H64" s="37"/>
      <c r="I64" s="196"/>
      <c r="J64" s="254"/>
      <c r="K64" s="480"/>
      <c r="L64" s="586"/>
      <c r="M64" s="1019"/>
    </row>
    <row r="65" spans="1:33">
      <c r="A65" s="112" t="str">
        <f t="shared" ref="A65:A68" si="1">A56</f>
        <v>LC-3</v>
      </c>
      <c r="B65" s="112"/>
      <c r="C65" s="191"/>
      <c r="D65" s="310">
        <f>SL_PC!S9</f>
        <v>161.35049023611623</v>
      </c>
      <c r="E65" s="310">
        <f t="shared" ref="E65:F68" si="2">E56</f>
        <v>5.3418796190476199</v>
      </c>
      <c r="F65" s="309">
        <f t="shared" si="2"/>
        <v>20.117396235261737</v>
      </c>
      <c r="G65" s="27"/>
      <c r="H65" s="37">
        <f t="shared" si="0"/>
        <v>7.2106354075687467</v>
      </c>
      <c r="I65" s="196">
        <f>p!T11</f>
        <v>1.8590572341158482</v>
      </c>
      <c r="J65" s="254">
        <f>p!U11</f>
        <v>0.74844786332489988</v>
      </c>
      <c r="K65" s="480">
        <f>p!Z11</f>
        <v>1.1680448099624763</v>
      </c>
      <c r="L65" s="586" t="str">
        <f>IF(AND(I65&lt;$G$18,J65&gt;$G$21),"OK","REVISE")</f>
        <v>OK</v>
      </c>
      <c r="M65" s="1019" t="str">
        <f>p!W11</f>
        <v>Craked</v>
      </c>
    </row>
    <row r="66" spans="1:33">
      <c r="A66" s="112" t="str">
        <f t="shared" si="1"/>
        <v>LC-4</v>
      </c>
      <c r="B66" s="112"/>
      <c r="C66" s="191"/>
      <c r="D66" s="310">
        <f>SL_PC!S10</f>
        <v>155.52701694444596</v>
      </c>
      <c r="E66" s="310">
        <f t="shared" si="2"/>
        <v>4.9997042857142855</v>
      </c>
      <c r="F66" s="309">
        <f t="shared" si="2"/>
        <v>18.82877177093382</v>
      </c>
      <c r="G66" s="27"/>
      <c r="H66" s="37">
        <f t="shared" si="0"/>
        <v>7.2106354075687467</v>
      </c>
      <c r="I66" s="196">
        <f>p!T12</f>
        <v>1.8120435200315734</v>
      </c>
      <c r="J66" s="254">
        <f>p!U12</f>
        <v>0.56352529408751539</v>
      </c>
      <c r="K66" s="480">
        <f>p!Z12</f>
        <v>1.1524549778356326</v>
      </c>
      <c r="L66" s="586" t="str">
        <f>IF(AND(I66&lt;$G$18,J66&gt;$G$21),"OK","REVISE")</f>
        <v>OK</v>
      </c>
      <c r="M66" s="1019" t="str">
        <f>p!W12</f>
        <v>Craked</v>
      </c>
    </row>
    <row r="67" spans="1:33">
      <c r="A67" s="112" t="str">
        <f t="shared" si="1"/>
        <v>LC-5</v>
      </c>
      <c r="B67" s="112"/>
      <c r="C67" s="27"/>
      <c r="D67" s="310">
        <f>SL_PC!S11</f>
        <v>152.37110455410999</v>
      </c>
      <c r="E67" s="310">
        <f t="shared" si="2"/>
        <v>5.9189579521053011</v>
      </c>
      <c r="F67" s="309">
        <f t="shared" si="2"/>
        <v>28.294448535978287</v>
      </c>
      <c r="G67" s="27"/>
      <c r="H67" s="37">
        <f t="shared" si="0"/>
        <v>7.2106354075687467</v>
      </c>
      <c r="I67" s="196">
        <f>p!T13</f>
        <v>2.3144281885408966</v>
      </c>
      <c r="J67" s="254">
        <f>p!U13</f>
        <v>-3.6001034500237079</v>
      </c>
      <c r="K67" s="480">
        <f>p!Z13</f>
        <v>0.90605690907082292</v>
      </c>
      <c r="L67" s="586" t="str">
        <f>IF(AND(I67&lt;$G$18,J67&gt;$G$21),"OK","REVISE")</f>
        <v>OK</v>
      </c>
      <c r="M67" s="1019" t="str">
        <f>p!W13</f>
        <v>Craked</v>
      </c>
    </row>
    <row r="68" spans="1:33">
      <c r="A68" s="112" t="str">
        <f t="shared" si="1"/>
        <v>LC-6</v>
      </c>
      <c r="B68" s="112"/>
      <c r="C68" s="27"/>
      <c r="D68" s="310">
        <f>SL_PC!S12</f>
        <v>146.54763126243972</v>
      </c>
      <c r="E68" s="310">
        <f t="shared" si="2"/>
        <v>5.5785907788764328</v>
      </c>
      <c r="F68" s="309">
        <f t="shared" si="2"/>
        <v>26.667388241887981</v>
      </c>
      <c r="G68" s="27"/>
      <c r="H68" s="37">
        <f t="shared" si="0"/>
        <v>7.2106354075687467</v>
      </c>
      <c r="I68" s="196">
        <f>p!T14</f>
        <v>2.2811871321021959</v>
      </c>
      <c r="J68" s="254">
        <f>p!U14</f>
        <v>-3.9997268408532416</v>
      </c>
      <c r="K68" s="480">
        <f>p!Z14</f>
        <v>0.88597786402337375</v>
      </c>
      <c r="L68" s="586" t="str">
        <f>IF(AND(I68&lt;$G$18,J68&gt;$G$21),"OK","REVISE")</f>
        <v>OK</v>
      </c>
      <c r="M68" s="1019" t="str">
        <f>p!W14</f>
        <v>Craked</v>
      </c>
    </row>
    <row r="69" spans="1:33">
      <c r="A69" s="112"/>
      <c r="B69" s="112"/>
      <c r="C69" s="27"/>
      <c r="E69" s="310"/>
      <c r="F69" s="309"/>
      <c r="G69" s="27"/>
      <c r="H69" s="37"/>
      <c r="I69" s="196"/>
      <c r="J69" s="254"/>
      <c r="K69" s="1325"/>
      <c r="L69" s="586"/>
      <c r="M69" s="1019"/>
    </row>
    <row r="72" spans="1:33" s="1335" customFormat="1">
      <c r="A72" s="1331" t="s">
        <v>1847</v>
      </c>
      <c r="B72" s="1332"/>
      <c r="C72" s="1332"/>
      <c r="D72" s="1332"/>
      <c r="E72" s="1332"/>
      <c r="G72" s="1332"/>
      <c r="H72" s="1333" t="s">
        <v>521</v>
      </c>
      <c r="I72" s="1334"/>
      <c r="J72" s="1334"/>
      <c r="K72" s="1334"/>
      <c r="L72" s="1334"/>
      <c r="M72" s="1334"/>
      <c r="N72" s="1327"/>
      <c r="O72" s="1327"/>
      <c r="P72" s="1327"/>
      <c r="Q72" s="1327"/>
      <c r="R72" s="1327"/>
      <c r="S72" s="1327"/>
      <c r="T72" s="1327"/>
      <c r="U72" s="1327"/>
      <c r="V72" s="1327"/>
      <c r="W72" s="1327"/>
      <c r="X72" s="1327"/>
      <c r="Y72" s="1327"/>
      <c r="Z72" s="1327"/>
      <c r="AA72" s="1327"/>
      <c r="AB72" s="1327"/>
      <c r="AC72" s="1327"/>
      <c r="AD72" s="1327"/>
      <c r="AE72" s="1327"/>
      <c r="AF72" s="1327"/>
      <c r="AG72" s="1327"/>
    </row>
    <row r="73" spans="1:33" s="1335" customFormat="1">
      <c r="A73" s="1336" t="s">
        <v>527</v>
      </c>
      <c r="B73" s="1332"/>
      <c r="C73" s="1338" t="s">
        <v>1</v>
      </c>
      <c r="D73" s="1404">
        <f>U_PILE!K5</f>
        <v>85</v>
      </c>
      <c r="E73" s="1338" t="s">
        <v>5</v>
      </c>
      <c r="F73" s="1332"/>
      <c r="G73" s="1332"/>
      <c r="H73" s="1332"/>
      <c r="I73" s="1332"/>
      <c r="J73" s="1332"/>
      <c r="K73" s="1332"/>
      <c r="L73" s="1332"/>
      <c r="M73" s="1334"/>
    </row>
    <row r="74" spans="1:33" s="1335" customFormat="1" ht="18">
      <c r="A74" s="1336" t="s">
        <v>528</v>
      </c>
      <c r="B74" s="1339" t="s">
        <v>550</v>
      </c>
      <c r="C74" s="1338" t="s">
        <v>1</v>
      </c>
      <c r="D74" s="1404">
        <f>U_PILE!K6</f>
        <v>25</v>
      </c>
      <c r="E74" s="1338" t="s">
        <v>5</v>
      </c>
      <c r="F74" s="1332"/>
      <c r="G74" s="1332"/>
      <c r="H74" s="1332"/>
      <c r="I74" s="1332"/>
      <c r="J74" s="1332"/>
      <c r="K74" s="1332"/>
      <c r="L74" s="1332"/>
      <c r="M74" s="1334"/>
    </row>
    <row r="75" spans="1:33" s="1335" customFormat="1" ht="18">
      <c r="A75" s="1336" t="s">
        <v>551</v>
      </c>
      <c r="B75" s="1332"/>
      <c r="C75" s="1332" t="s">
        <v>1</v>
      </c>
      <c r="D75" s="1332">
        <f>5*(D73+D74/2)</f>
        <v>487.5</v>
      </c>
      <c r="E75" s="1332" t="s">
        <v>5</v>
      </c>
      <c r="F75" s="1332"/>
      <c r="G75" s="1332"/>
      <c r="H75" s="1332"/>
      <c r="I75" s="1332"/>
      <c r="J75" s="1332"/>
      <c r="K75" s="1332"/>
      <c r="L75" s="1332"/>
      <c r="M75" s="1332"/>
    </row>
    <row r="76" spans="1:33" s="1335" customFormat="1">
      <c r="A76" s="1336"/>
      <c r="B76" s="1332"/>
      <c r="C76" s="1332"/>
      <c r="D76" s="1332"/>
      <c r="E76" s="1332"/>
      <c r="F76" s="1332"/>
      <c r="G76" s="1332"/>
      <c r="H76" s="1332"/>
      <c r="I76" s="1332"/>
      <c r="J76" s="1332"/>
      <c r="K76" s="1332"/>
      <c r="L76" s="1332"/>
      <c r="M76" s="1332"/>
    </row>
    <row r="77" spans="1:33" s="1335" customFormat="1">
      <c r="A77" s="1336" t="s">
        <v>529</v>
      </c>
      <c r="B77" s="1332"/>
      <c r="C77" s="1332" t="s">
        <v>1</v>
      </c>
      <c r="D77" s="1340">
        <f>U_PILE!K10</f>
        <v>126.29202467430969</v>
      </c>
      <c r="E77" s="1332" t="s">
        <v>5</v>
      </c>
      <c r="F77" s="1341" t="str">
        <f>IF(D77&lt;G77,"&lt;","&gt;")</f>
        <v>&lt;</v>
      </c>
      <c r="G77" s="1332">
        <f>D75</f>
        <v>487.5</v>
      </c>
      <c r="H77" s="1332" t="s">
        <v>5</v>
      </c>
      <c r="I77" s="1736" t="str">
        <f>IF(D77&lt;G77,"The Following formula can be used for calculation of maximum crack spacing.","Check bar spacing")</f>
        <v>The Following formula can be used for calculation of maximum crack spacing.</v>
      </c>
      <c r="J77" s="1736"/>
      <c r="K77" s="1736"/>
      <c r="L77" s="1736"/>
      <c r="M77" s="1332"/>
    </row>
    <row r="78" spans="1:33" s="1335" customFormat="1">
      <c r="A78" s="1336"/>
      <c r="B78" s="1332"/>
      <c r="C78" s="1332"/>
      <c r="D78" s="1332"/>
      <c r="E78" s="1332"/>
      <c r="F78" s="1332"/>
      <c r="G78" s="1332"/>
      <c r="H78" s="1332"/>
      <c r="I78" s="1736"/>
      <c r="J78" s="1736"/>
      <c r="K78" s="1736"/>
      <c r="L78" s="1736"/>
      <c r="M78" s="1334"/>
    </row>
    <row r="79" spans="1:33" s="1335" customFormat="1" ht="18">
      <c r="A79" s="1336" t="s">
        <v>525</v>
      </c>
      <c r="B79" s="1332"/>
      <c r="C79" s="1332" t="s">
        <v>1</v>
      </c>
      <c r="D79" s="1332" t="s">
        <v>526</v>
      </c>
      <c r="E79" s="1332"/>
      <c r="F79" s="1332"/>
      <c r="G79" s="1332"/>
      <c r="H79" s="1332"/>
      <c r="I79" s="1736"/>
      <c r="J79" s="1736"/>
      <c r="K79" s="1736"/>
      <c r="L79" s="1736"/>
      <c r="M79" s="1334"/>
    </row>
    <row r="80" spans="1:33" s="1335" customFormat="1" ht="18">
      <c r="A80" s="1336"/>
      <c r="B80" s="1332"/>
      <c r="C80" s="1332" t="s">
        <v>1</v>
      </c>
      <c r="D80" s="1737" t="s">
        <v>558</v>
      </c>
      <c r="E80" s="1737"/>
      <c r="F80" s="1737"/>
      <c r="G80" s="1332"/>
      <c r="H80" s="1332"/>
      <c r="I80" s="1332"/>
      <c r="J80" s="1332"/>
      <c r="K80" s="1332"/>
      <c r="L80" s="1332"/>
      <c r="M80" s="1334"/>
    </row>
    <row r="81" spans="1:13" s="1335" customFormat="1">
      <c r="A81" s="1336"/>
      <c r="B81" s="1332"/>
      <c r="C81" s="1332" t="s">
        <v>1</v>
      </c>
      <c r="D81" s="1337">
        <f>3.4*D73+0.17*D74/H95</f>
        <v>364.45857153260204</v>
      </c>
      <c r="E81" s="1332" t="s">
        <v>5</v>
      </c>
      <c r="F81" s="1332"/>
      <c r="G81" s="1332"/>
      <c r="H81" s="1332"/>
      <c r="I81" s="1332"/>
      <c r="J81" s="1332"/>
      <c r="K81" s="1332"/>
      <c r="L81" s="1332"/>
      <c r="M81" s="1332"/>
    </row>
    <row r="82" spans="1:13" s="1335" customFormat="1">
      <c r="A82" s="1336"/>
      <c r="B82" s="1332"/>
      <c r="C82" s="1332"/>
      <c r="D82" s="1332"/>
      <c r="E82" s="1332"/>
      <c r="F82" s="1332"/>
      <c r="G82" s="1332"/>
      <c r="H82" s="1332"/>
      <c r="I82" s="1332"/>
      <c r="J82" s="1332"/>
      <c r="K82" s="1332"/>
      <c r="L82" s="1332"/>
      <c r="M82" s="1332"/>
    </row>
    <row r="83" spans="1:13" s="1335" customFormat="1" ht="18">
      <c r="A83" s="1342" t="s">
        <v>552</v>
      </c>
      <c r="B83" s="1338"/>
      <c r="C83" s="1338" t="s">
        <v>1</v>
      </c>
      <c r="D83" s="1338" t="s">
        <v>425</v>
      </c>
      <c r="E83" s="1338" t="s">
        <v>532</v>
      </c>
      <c r="F83" s="1332"/>
      <c r="G83" s="1343" t="s">
        <v>169</v>
      </c>
      <c r="H83" s="1344" t="s">
        <v>1</v>
      </c>
      <c r="I83" s="1345">
        <f>I2/1000/SQRT(2)</f>
        <v>0.84852813742385691</v>
      </c>
      <c r="J83" s="1344" t="s">
        <v>2</v>
      </c>
      <c r="K83" s="1344"/>
      <c r="L83" s="1346"/>
      <c r="M83" s="1347"/>
    </row>
    <row r="84" spans="1:13" s="1335" customFormat="1">
      <c r="A84" s="1342"/>
      <c r="B84" s="1338"/>
      <c r="C84" s="1338"/>
      <c r="D84" s="1338"/>
      <c r="E84" s="1338" t="s">
        <v>533</v>
      </c>
      <c r="F84" s="1332"/>
      <c r="G84" s="1348" t="s">
        <v>61</v>
      </c>
      <c r="H84" s="1338" t="s">
        <v>1</v>
      </c>
      <c r="I84" s="1349">
        <f>I83-(D73/1000+D74+32/2)/1000</f>
        <v>0.80744313742385687</v>
      </c>
      <c r="J84" s="1338" t="s">
        <v>2</v>
      </c>
      <c r="K84" s="1338"/>
      <c r="L84" s="1350"/>
      <c r="M84" s="1351"/>
    </row>
    <row r="85" spans="1:13" s="1335" customFormat="1">
      <c r="A85" s="1336"/>
      <c r="B85" s="1332"/>
      <c r="C85" s="1332"/>
      <c r="D85" s="1332"/>
      <c r="E85" s="1332" t="s">
        <v>534</v>
      </c>
      <c r="F85" s="1332"/>
      <c r="G85" s="1348" t="s">
        <v>30</v>
      </c>
      <c r="H85" s="1338" t="s">
        <v>1</v>
      </c>
      <c r="I85" s="1352">
        <f>MIN(SLS_P!K53:K54,SLS_P!K62:K63)/SQRT(2)</f>
        <v>0.84852813742385691</v>
      </c>
      <c r="J85" s="1338" t="s">
        <v>2</v>
      </c>
      <c r="K85" s="1728" t="s">
        <v>553</v>
      </c>
      <c r="L85" s="1728"/>
      <c r="M85" s="1729"/>
    </row>
    <row r="86" spans="1:13" s="1335" customFormat="1">
      <c r="A86" s="1336"/>
      <c r="B86" s="1332"/>
      <c r="C86" s="1332" t="s">
        <v>1</v>
      </c>
      <c r="D86" s="1353">
        <f>MIN(2.5*(I83-I84),(I83-I85/3),I83/2)</f>
        <v>0.1027125000000001</v>
      </c>
      <c r="E86" s="1332" t="s">
        <v>2</v>
      </c>
      <c r="F86" s="1332"/>
      <c r="G86" s="1354"/>
      <c r="H86" s="1355"/>
      <c r="I86" s="1355"/>
      <c r="J86" s="1355"/>
      <c r="K86" s="1730"/>
      <c r="L86" s="1730"/>
      <c r="M86" s="1731"/>
    </row>
    <row r="87" spans="1:13" s="1335" customFormat="1">
      <c r="A87" s="1336"/>
      <c r="B87" s="1332"/>
      <c r="C87" s="1332"/>
      <c r="D87" s="1332"/>
      <c r="E87" s="1332"/>
      <c r="F87" s="1332"/>
      <c r="G87" s="1332"/>
      <c r="H87" s="1332"/>
      <c r="I87" s="1332"/>
      <c r="J87" s="1332"/>
      <c r="K87" s="1332"/>
      <c r="L87" s="1332"/>
      <c r="M87" s="1332"/>
    </row>
    <row r="88" spans="1:13" s="1335" customFormat="1">
      <c r="A88" s="1336" t="s">
        <v>482</v>
      </c>
      <c r="B88" s="1332"/>
      <c r="C88" s="1332" t="s">
        <v>1</v>
      </c>
      <c r="D88" s="1353">
        <f>I2/1000/SQRT(2)</f>
        <v>0.84852813742385691</v>
      </c>
      <c r="E88" s="1332" t="s">
        <v>2</v>
      </c>
      <c r="F88" s="1332"/>
      <c r="G88" s="1332"/>
      <c r="H88" s="1332"/>
      <c r="I88" s="1332"/>
      <c r="J88" s="1356"/>
      <c r="K88" s="1332"/>
      <c r="L88" s="1332"/>
      <c r="M88" s="1332"/>
    </row>
    <row r="89" spans="1:13" s="1335" customFormat="1">
      <c r="A89" s="1336"/>
      <c r="B89" s="1332"/>
      <c r="C89" s="1332"/>
      <c r="D89" s="1332"/>
      <c r="E89" s="1332"/>
      <c r="F89" s="1332"/>
      <c r="G89" s="1332"/>
      <c r="H89" s="1332"/>
      <c r="I89" s="1332"/>
      <c r="J89" s="1332"/>
      <c r="K89" s="1332"/>
      <c r="L89" s="1332"/>
      <c r="M89" s="1332"/>
    </row>
    <row r="90" spans="1:13" s="1335" customFormat="1" ht="18.75">
      <c r="A90" s="1342" t="s">
        <v>554</v>
      </c>
      <c r="B90" s="1332"/>
      <c r="C90" s="1332" t="s">
        <v>1</v>
      </c>
      <c r="D90" s="1338" t="s">
        <v>555</v>
      </c>
      <c r="E90" s="1332" t="s">
        <v>1</v>
      </c>
      <c r="F90" s="1353">
        <f>D86*D88</f>
        <v>8.7154446315147988E-2</v>
      </c>
      <c r="G90" s="1332" t="s">
        <v>458</v>
      </c>
      <c r="H90" s="1332"/>
      <c r="I90" s="1332"/>
      <c r="J90" s="1332"/>
      <c r="K90" s="1332"/>
      <c r="L90" s="1332"/>
      <c r="M90" s="1332"/>
    </row>
    <row r="91" spans="1:13" s="1335" customFormat="1">
      <c r="A91" s="1336"/>
      <c r="B91" s="1332"/>
      <c r="C91" s="1332"/>
      <c r="D91" s="1332"/>
      <c r="E91" s="1332"/>
      <c r="F91" s="1332"/>
      <c r="G91" s="1332"/>
      <c r="H91" s="1332"/>
      <c r="I91" s="1332"/>
      <c r="J91" s="1332"/>
      <c r="K91" s="1332"/>
      <c r="L91" s="1334"/>
      <c r="M91" s="1334"/>
    </row>
    <row r="92" spans="1:13" s="1335" customFormat="1" ht="18">
      <c r="A92" s="1357" t="s">
        <v>530</v>
      </c>
      <c r="B92" s="1350"/>
      <c r="C92" s="1338" t="s">
        <v>1</v>
      </c>
      <c r="D92" s="1338" t="s">
        <v>531</v>
      </c>
      <c r="E92" s="1338"/>
      <c r="F92" s="1332"/>
      <c r="G92" s="1332"/>
      <c r="H92" s="1332"/>
      <c r="I92" s="1332"/>
      <c r="J92" s="1332"/>
      <c r="K92" s="1332"/>
      <c r="L92" s="1334"/>
      <c r="M92" s="1334"/>
    </row>
    <row r="93" spans="1:13" s="1335" customFormat="1" ht="18" customHeight="1">
      <c r="A93" s="1357" t="s">
        <v>1829</v>
      </c>
      <c r="B93" s="1350"/>
      <c r="C93" s="1338" t="s">
        <v>1</v>
      </c>
      <c r="D93" s="1358">
        <f>U_PILE!K11</f>
        <v>12271.846303085129</v>
      </c>
      <c r="E93" s="1338" t="s">
        <v>570</v>
      </c>
      <c r="F93" s="1332"/>
      <c r="G93" s="1332"/>
      <c r="H93" s="1332"/>
      <c r="I93" s="1332"/>
      <c r="J93" s="1332"/>
      <c r="K93" s="1332"/>
      <c r="L93" s="1334"/>
      <c r="M93" s="1334"/>
    </row>
    <row r="94" spans="1:13" s="1335" customFormat="1">
      <c r="A94" s="1357" t="s">
        <v>1830</v>
      </c>
      <c r="B94" s="1350"/>
      <c r="C94" s="1338"/>
      <c r="D94" s="1359">
        <v>0.4</v>
      </c>
      <c r="E94" s="1338" t="s">
        <v>1831</v>
      </c>
      <c r="F94" s="1332"/>
      <c r="G94" s="1332"/>
      <c r="H94" s="1332"/>
      <c r="I94" s="1332"/>
      <c r="J94" s="1332"/>
      <c r="K94" s="1332"/>
      <c r="L94" s="1334"/>
      <c r="M94" s="1334"/>
    </row>
    <row r="95" spans="1:13" s="1335" customFormat="1" ht="18">
      <c r="A95" s="1357" t="s">
        <v>530</v>
      </c>
      <c r="B95" s="1338"/>
      <c r="C95" s="1338" t="s">
        <v>1</v>
      </c>
      <c r="D95" s="1360">
        <f>D93*D94</f>
        <v>4908.7385212340514</v>
      </c>
      <c r="E95" s="1361" t="s">
        <v>556</v>
      </c>
      <c r="F95" s="1332">
        <f>F90*10^6</f>
        <v>87154.446315147987</v>
      </c>
      <c r="G95" s="1341" t="s">
        <v>1</v>
      </c>
      <c r="H95" s="1332">
        <f>D95/F95</f>
        <v>5.6322295978844195E-2</v>
      </c>
      <c r="I95" s="1332"/>
      <c r="J95" s="1332"/>
      <c r="K95" s="1332"/>
      <c r="L95" s="1334"/>
      <c r="M95" s="1334"/>
    </row>
    <row r="96" spans="1:13" s="1335" customFormat="1">
      <c r="A96" s="1336"/>
      <c r="B96" s="1332"/>
      <c r="C96" s="1332"/>
      <c r="D96" s="1332"/>
      <c r="E96" s="1332"/>
      <c r="F96" s="1332"/>
      <c r="G96" s="1332"/>
      <c r="H96" s="1332"/>
      <c r="I96" s="1332"/>
      <c r="J96" s="1332"/>
      <c r="K96" s="1332"/>
      <c r="L96" s="1334"/>
      <c r="M96" s="1334"/>
    </row>
    <row r="97" spans="1:13" s="1335" customFormat="1" ht="18">
      <c r="A97" s="1336" t="s">
        <v>538</v>
      </c>
      <c r="B97" s="1332"/>
      <c r="C97" s="1332" t="s">
        <v>1</v>
      </c>
      <c r="D97" s="1332" t="s">
        <v>539</v>
      </c>
      <c r="E97" s="1332"/>
      <c r="F97" s="1332"/>
      <c r="G97" s="1332"/>
      <c r="H97" s="1332"/>
      <c r="I97" s="1332"/>
      <c r="J97" s="1332"/>
      <c r="K97" s="1332"/>
      <c r="L97" s="1334"/>
      <c r="M97" s="1334"/>
    </row>
    <row r="98" spans="1:13" s="1335" customFormat="1">
      <c r="A98" s="1336"/>
      <c r="B98" s="1332"/>
      <c r="C98" s="1332" t="s">
        <v>1</v>
      </c>
      <c r="D98" s="1337">
        <f>-MIN(SLS_P!J53:J54,SLS_P!J62:J63)</f>
        <v>-9.1838141626232606</v>
      </c>
      <c r="E98" s="1332" t="s">
        <v>293</v>
      </c>
      <c r="F98" s="1332" t="s">
        <v>553</v>
      </c>
      <c r="G98" s="1332"/>
      <c r="H98" s="1332"/>
      <c r="I98" s="1332"/>
      <c r="J98" s="1332"/>
      <c r="K98" s="1332"/>
      <c r="L98" s="1332"/>
      <c r="M98" s="1332"/>
    </row>
    <row r="99" spans="1:13" s="1335" customFormat="1">
      <c r="A99" s="1336"/>
      <c r="B99" s="1332"/>
      <c r="C99" s="1332"/>
      <c r="D99" s="1332"/>
      <c r="E99" s="1332"/>
      <c r="F99" s="1332"/>
      <c r="G99" s="1332"/>
      <c r="H99" s="1332"/>
      <c r="I99" s="1332"/>
      <c r="J99" s="1332"/>
      <c r="K99" s="1332"/>
      <c r="L99" s="1332"/>
      <c r="M99" s="1332"/>
    </row>
    <row r="100" spans="1:13" s="1335" customFormat="1" ht="18">
      <c r="A100" s="1336" t="s">
        <v>540</v>
      </c>
      <c r="B100" s="1332"/>
      <c r="C100" s="1332" t="s">
        <v>1</v>
      </c>
      <c r="D100" s="1332" t="s">
        <v>1844</v>
      </c>
      <c r="E100" s="1332"/>
      <c r="F100" s="1332" t="s">
        <v>1</v>
      </c>
      <c r="G100" s="1337">
        <f>F33/F31</f>
        <v>12.380738771982006</v>
      </c>
      <c r="H100" s="1332"/>
      <c r="I100" s="1332"/>
      <c r="J100" s="1332"/>
      <c r="K100" s="1332"/>
      <c r="L100" s="1332"/>
      <c r="M100" s="1332"/>
    </row>
    <row r="101" spans="1:13" s="1335" customFormat="1">
      <c r="A101" s="1336"/>
      <c r="B101" s="1332"/>
      <c r="C101" s="1332"/>
      <c r="D101" s="1332"/>
      <c r="E101" s="1332"/>
      <c r="F101" s="1332"/>
      <c r="G101" s="1332"/>
      <c r="H101" s="1332"/>
      <c r="I101" s="1332"/>
      <c r="J101" s="1332"/>
      <c r="K101" s="1332"/>
      <c r="L101" s="1332"/>
      <c r="M101" s="1332"/>
    </row>
    <row r="102" spans="1:13" s="1335" customFormat="1">
      <c r="A102" s="1336" t="s">
        <v>542</v>
      </c>
      <c r="B102" s="1332"/>
      <c r="C102" s="1332" t="s">
        <v>1</v>
      </c>
      <c r="D102" s="1362">
        <v>0.5</v>
      </c>
      <c r="E102" s="1332"/>
      <c r="F102" s="1332" t="s">
        <v>543</v>
      </c>
      <c r="G102" s="1332"/>
      <c r="H102" s="1332"/>
      <c r="I102" s="1332"/>
      <c r="J102" s="1332"/>
      <c r="K102" s="1332"/>
      <c r="L102" s="1332"/>
      <c r="M102" s="1332"/>
    </row>
    <row r="103" spans="1:13" s="1335" customFormat="1">
      <c r="A103" s="1336"/>
      <c r="B103" s="1332"/>
      <c r="C103" s="1332"/>
      <c r="D103" s="1332"/>
      <c r="E103" s="1332"/>
      <c r="F103" s="1332"/>
      <c r="G103" s="1332"/>
      <c r="H103" s="1332"/>
      <c r="I103" s="1332"/>
      <c r="J103" s="1332"/>
      <c r="K103" s="1332"/>
      <c r="L103" s="1332"/>
      <c r="M103" s="1332"/>
    </row>
    <row r="104" spans="1:13" s="1335" customFormat="1" ht="18">
      <c r="A104" s="1336" t="s">
        <v>535</v>
      </c>
      <c r="B104" s="1332"/>
      <c r="C104" s="1332" t="s">
        <v>1</v>
      </c>
      <c r="D104" s="1363" t="s">
        <v>420</v>
      </c>
      <c r="E104" s="1732" t="s">
        <v>536</v>
      </c>
      <c r="F104" s="1732"/>
      <c r="G104" s="1732"/>
      <c r="H104" s="1732"/>
      <c r="I104" s="1332"/>
      <c r="J104" s="1332"/>
      <c r="K104" s="1332"/>
      <c r="L104" s="1332"/>
      <c r="M104" s="1332"/>
    </row>
    <row r="105" spans="1:13" s="1335" customFormat="1">
      <c r="A105" s="1336"/>
      <c r="B105" s="1332"/>
      <c r="C105" s="1332"/>
      <c r="D105" s="1363"/>
      <c r="E105" s="1363"/>
      <c r="F105" s="1363" t="s">
        <v>294</v>
      </c>
      <c r="G105" s="1363"/>
      <c r="H105" s="1363"/>
      <c r="I105" s="1332"/>
      <c r="J105" s="1332"/>
      <c r="K105" s="1332"/>
      <c r="L105" s="1332"/>
      <c r="M105" s="1332"/>
    </row>
    <row r="106" spans="1:13" s="1335" customFormat="1" ht="18">
      <c r="A106" s="1336"/>
      <c r="B106" s="1332"/>
      <c r="C106" s="1332"/>
      <c r="D106" s="1363"/>
      <c r="E106" s="1363" t="s">
        <v>537</v>
      </c>
      <c r="F106" s="1363"/>
      <c r="G106" s="1363"/>
      <c r="H106" s="1363"/>
      <c r="I106" s="1332"/>
      <c r="J106" s="1332"/>
      <c r="K106" s="1332"/>
      <c r="L106" s="1332"/>
      <c r="M106" s="1332"/>
    </row>
    <row r="107" spans="1:13" s="1335" customFormat="1">
      <c r="A107" s="1336"/>
      <c r="B107" s="1332"/>
      <c r="C107" s="1332"/>
      <c r="D107" s="1363"/>
      <c r="E107" s="1363"/>
      <c r="F107" s="1363"/>
      <c r="G107" s="1363"/>
      <c r="H107" s="1363"/>
      <c r="I107" s="1332"/>
      <c r="J107" s="1332"/>
      <c r="K107" s="1332"/>
      <c r="L107" s="1332"/>
      <c r="M107" s="1332"/>
    </row>
    <row r="108" spans="1:13" s="1335" customFormat="1">
      <c r="A108" s="1336"/>
      <c r="B108" s="1332"/>
      <c r="C108" s="1332" t="s">
        <v>1</v>
      </c>
      <c r="D108" s="1364">
        <f>MAX((D98-D102*J13*(1+G100*H95)/H95)/F33,0.6*D98/F33)</f>
        <v>-2.7551442487869782E-5</v>
      </c>
      <c r="E108" s="1332"/>
      <c r="F108" s="1332"/>
      <c r="G108" s="1332"/>
      <c r="H108" s="1332"/>
      <c r="I108" s="1332"/>
      <c r="J108" s="1332"/>
      <c r="K108" s="1332"/>
      <c r="L108" s="1332"/>
      <c r="M108" s="1332"/>
    </row>
    <row r="109" spans="1:13" s="1335" customFormat="1">
      <c r="A109" s="1336"/>
      <c r="B109" s="1332"/>
      <c r="C109" s="1332"/>
      <c r="D109" s="1332"/>
      <c r="E109" s="1332"/>
      <c r="F109" s="1332"/>
      <c r="G109" s="1332"/>
      <c r="H109" s="1332"/>
      <c r="I109" s="1332"/>
      <c r="J109" s="1332"/>
      <c r="K109" s="1332"/>
      <c r="L109" s="1332"/>
      <c r="M109" s="1332"/>
    </row>
    <row r="110" spans="1:13" s="1335" customFormat="1" ht="18">
      <c r="A110" s="1336" t="s">
        <v>523</v>
      </c>
      <c r="B110" s="1332"/>
      <c r="C110" s="1332" t="s">
        <v>1</v>
      </c>
      <c r="D110" s="1332" t="s">
        <v>524</v>
      </c>
      <c r="E110" s="1332"/>
      <c r="F110" s="1332"/>
      <c r="G110" s="1332"/>
      <c r="H110" s="1332"/>
      <c r="I110" s="1332"/>
      <c r="J110" s="1332"/>
      <c r="K110" s="1332"/>
      <c r="L110" s="1332"/>
      <c r="M110" s="1332"/>
    </row>
    <row r="111" spans="1:13" s="1335" customFormat="1">
      <c r="A111" s="1336"/>
      <c r="B111" s="1332"/>
      <c r="C111" s="1332" t="s">
        <v>1</v>
      </c>
      <c r="D111" s="1337">
        <f>D81*D108</f>
        <v>-1.004135937279166E-2</v>
      </c>
      <c r="E111" s="1332" t="s">
        <v>5</v>
      </c>
      <c r="F111" s="1341" t="str">
        <f>IF(G111&lt;D111,"&gt;","&lt;")</f>
        <v>&lt;</v>
      </c>
      <c r="G111" s="1332">
        <f>G14</f>
        <v>0.3</v>
      </c>
      <c r="H111" s="1332" t="s">
        <v>5</v>
      </c>
      <c r="I111" s="1365" t="str">
        <f>IF(G111&lt;D111,"REVISE","OK")</f>
        <v>OK</v>
      </c>
      <c r="J111" s="1365"/>
      <c r="K111" s="1332"/>
      <c r="L111" s="1332"/>
      <c r="M111" s="1332"/>
    </row>
    <row r="112" spans="1:13" s="1327" customFormat="1" ht="13.5">
      <c r="A112" s="1328"/>
    </row>
  </sheetData>
  <mergeCells count="16">
    <mergeCell ref="K85:M86"/>
    <mergeCell ref="E104:H104"/>
    <mergeCell ref="D48:G48"/>
    <mergeCell ref="I48:M48"/>
    <mergeCell ref="I49:K49"/>
    <mergeCell ref="I77:L79"/>
    <mergeCell ref="D80:F80"/>
    <mergeCell ref="A48:A50"/>
    <mergeCell ref="B48:C51"/>
    <mergeCell ref="M49:M50"/>
    <mergeCell ref="D49:D50"/>
    <mergeCell ref="E49:E50"/>
    <mergeCell ref="F49:G50"/>
    <mergeCell ref="L49:L50"/>
    <mergeCell ref="F51:G51"/>
    <mergeCell ref="H48:H50"/>
  </mergeCells>
  <pageMargins left="0.70866141699999996" right="0.20866141699999999" top="0.74803149606299202" bottom="0.24803149599999999" header="0.31496062992126" footer="0.31496062992126"/>
  <pageSetup paperSize="9" scale="72" orientation="portrait" blackAndWhite="1" r:id="rId1"/>
  <drawing r:id="rId2"/>
</worksheet>
</file>

<file path=xl/worksheets/sheet36.xml><?xml version="1.0" encoding="utf-8"?>
<worksheet xmlns="http://schemas.openxmlformats.org/spreadsheetml/2006/main" xmlns:r="http://schemas.openxmlformats.org/officeDocument/2006/relationships">
  <sheetPr codeName="Sheet27">
    <tabColor theme="6" tint="0.39997558519241921"/>
  </sheetPr>
  <dimension ref="A1:Z94"/>
  <sheetViews>
    <sheetView view="pageBreakPreview" zoomScaleSheetLayoutView="100" workbookViewId="0">
      <selection activeCell="M33" sqref="M33"/>
    </sheetView>
  </sheetViews>
  <sheetFormatPr defaultColWidth="9.140625" defaultRowHeight="15"/>
  <cols>
    <col min="1" max="21" width="7.42578125" style="1" customWidth="1"/>
    <col min="22" max="22" width="10.5703125" style="1" customWidth="1"/>
    <col min="23" max="27" width="7.42578125" style="1" customWidth="1"/>
    <col min="28" max="16384" width="9.140625" style="1"/>
  </cols>
  <sheetData>
    <row r="1" spans="1:26">
      <c r="A1" s="568" t="s">
        <v>1532</v>
      </c>
    </row>
    <row r="2" spans="1:26">
      <c r="A2" s="568" t="s">
        <v>800</v>
      </c>
      <c r="B2" s="78"/>
      <c r="C2" s="78"/>
      <c r="D2" s="78"/>
      <c r="E2" s="78"/>
      <c r="F2" s="78"/>
      <c r="G2" s="78"/>
      <c r="H2" s="78"/>
      <c r="I2" s="78"/>
      <c r="J2" s="78"/>
      <c r="K2" s="78"/>
      <c r="L2" s="78"/>
      <c r="M2" s="78"/>
      <c r="N2" s="78"/>
      <c r="O2" s="78"/>
      <c r="P2" s="78"/>
      <c r="Q2" s="1321" t="s">
        <v>597</v>
      </c>
      <c r="R2" s="1326" t="s">
        <v>801</v>
      </c>
      <c r="S2" s="1089" t="s">
        <v>2</v>
      </c>
      <c r="T2" s="569" t="s">
        <v>802</v>
      </c>
      <c r="U2" s="589" t="s">
        <v>803</v>
      </c>
      <c r="V2" s="1323" t="s">
        <v>1841</v>
      </c>
      <c r="W2" s="30" t="s">
        <v>873</v>
      </c>
      <c r="X2" s="31"/>
      <c r="Y2" s="32"/>
      <c r="Z2" s="569" t="s">
        <v>1841</v>
      </c>
    </row>
    <row r="3" spans="1:26">
      <c r="A3" s="78" t="s">
        <v>804</v>
      </c>
      <c r="B3" s="78"/>
      <c r="C3" s="78"/>
      <c r="D3" s="78" t="s">
        <v>1</v>
      </c>
      <c r="E3" s="4">
        <f>SLS_P!I2/1000</f>
        <v>1.2</v>
      </c>
      <c r="F3" s="78" t="s">
        <v>2</v>
      </c>
      <c r="G3" s="78"/>
      <c r="H3" s="78"/>
      <c r="I3" s="78"/>
      <c r="J3" s="78"/>
      <c r="K3" s="78"/>
      <c r="L3" s="78"/>
      <c r="M3" s="78"/>
      <c r="N3" s="78"/>
      <c r="O3" s="78"/>
      <c r="P3" s="78"/>
      <c r="Q3" s="196">
        <f>SLS_P!D53</f>
        <v>168.99529755158881</v>
      </c>
      <c r="R3" s="196">
        <f>SLS_P!F53</f>
        <v>3.6738361788226186</v>
      </c>
      <c r="S3" s="150">
        <f>SLS_P!H53</f>
        <v>12.380738771982006</v>
      </c>
      <c r="T3" s="310">
        <v>1.0592652658273081</v>
      </c>
      <c r="U3" s="571">
        <v>10.633685221847085</v>
      </c>
      <c r="V3" s="1405">
        <v>-5.2282464113942435</v>
      </c>
      <c r="W3" s="25" t="s">
        <v>1624</v>
      </c>
      <c r="X3" s="26"/>
      <c r="Y3" s="27"/>
      <c r="Z3" s="35">
        <f>MIN($E$3,$E$3/2-V3)</f>
        <v>1.2</v>
      </c>
    </row>
    <row r="4" spans="1:26">
      <c r="A4" s="78" t="s">
        <v>805</v>
      </c>
      <c r="B4" s="78"/>
      <c r="C4" s="78"/>
      <c r="D4" s="78" t="s">
        <v>1</v>
      </c>
      <c r="E4" s="446">
        <v>98.813483556524972</v>
      </c>
      <c r="F4" s="78" t="s">
        <v>114</v>
      </c>
      <c r="G4" s="78"/>
      <c r="H4" s="78"/>
      <c r="I4" s="78"/>
      <c r="J4" s="78"/>
      <c r="K4" s="78"/>
      <c r="L4" s="78"/>
      <c r="M4" s="78"/>
      <c r="N4" s="78"/>
      <c r="O4" s="78"/>
      <c r="P4" s="78"/>
      <c r="Q4" s="196">
        <f>SLS_P!D54</f>
        <v>160.29975727745492</v>
      </c>
      <c r="R4" s="196">
        <f>SLS_P!F54</f>
        <v>4.663350866568261</v>
      </c>
      <c r="S4" s="150">
        <f>SLS_P!H54</f>
        <v>12.380738771982006</v>
      </c>
      <c r="T4" s="310">
        <v>1.0335922054456359</v>
      </c>
      <c r="U4" s="571">
        <v>9.6262653220961596</v>
      </c>
      <c r="V4" s="1405">
        <v>-3.8500456450190677</v>
      </c>
      <c r="W4" s="25" t="s">
        <v>1624</v>
      </c>
      <c r="X4" s="26"/>
      <c r="Y4" s="27"/>
      <c r="Z4" s="35">
        <f t="shared" ref="Z4:Z14" si="0">MIN($E$3,$E$3/2-V4)</f>
        <v>1.2</v>
      </c>
    </row>
    <row r="5" spans="1:26">
      <c r="A5" s="78" t="s">
        <v>806</v>
      </c>
      <c r="B5" s="78"/>
      <c r="C5" s="78"/>
      <c r="D5" s="78" t="s">
        <v>1</v>
      </c>
      <c r="E5" s="446">
        <v>25.678761682195251</v>
      </c>
      <c r="F5" s="78" t="s">
        <v>807</v>
      </c>
      <c r="G5" s="78"/>
      <c r="H5" s="78"/>
      <c r="I5" s="78"/>
      <c r="J5" s="78"/>
      <c r="K5" s="78"/>
      <c r="L5" s="78"/>
      <c r="M5" s="78"/>
      <c r="N5" s="78"/>
      <c r="O5" s="78"/>
      <c r="P5" s="78"/>
      <c r="Q5" s="196">
        <f>SLS_P!D56</f>
        <v>214.44710296229954</v>
      </c>
      <c r="R5" s="196">
        <f>SLS_P!F56</f>
        <v>20.117396235261737</v>
      </c>
      <c r="S5" s="150">
        <f>SLS_P!H56</f>
        <v>7.2106354075687467</v>
      </c>
      <c r="T5" s="310">
        <v>2.3558268058064931</v>
      </c>
      <c r="U5" s="571">
        <v>4.3193438093897001</v>
      </c>
      <c r="V5" s="1405">
        <v>-0.88096909650263711</v>
      </c>
      <c r="W5" s="25" t="s">
        <v>1624</v>
      </c>
      <c r="X5" s="26"/>
      <c r="Y5" s="27"/>
      <c r="Z5" s="35">
        <f t="shared" si="0"/>
        <v>1.2</v>
      </c>
    </row>
    <row r="6" spans="1:26">
      <c r="A6" s="78" t="s">
        <v>606</v>
      </c>
      <c r="B6" s="78"/>
      <c r="C6" s="78"/>
      <c r="D6" s="78" t="s">
        <v>1</v>
      </c>
      <c r="E6" s="446">
        <f>SLS_P!I3</f>
        <v>85</v>
      </c>
      <c r="F6" s="78" t="s">
        <v>5</v>
      </c>
      <c r="G6" s="78"/>
      <c r="H6" s="78"/>
      <c r="I6" s="78"/>
      <c r="J6" s="78"/>
      <c r="K6" s="78"/>
      <c r="L6" s="78"/>
      <c r="M6" s="78"/>
      <c r="N6" s="78"/>
      <c r="O6" s="78"/>
      <c r="P6" s="78"/>
      <c r="Q6" s="196">
        <f>SLS_P!D57</f>
        <v>216.1218333968269</v>
      </c>
      <c r="R6" s="196">
        <f>SLS_P!F57</f>
        <v>18.82877177093382</v>
      </c>
      <c r="S6" s="150">
        <f>SLS_P!H57</f>
        <v>7.2106354075687467</v>
      </c>
      <c r="T6" s="310">
        <v>2.3332358089380669</v>
      </c>
      <c r="U6" s="571">
        <v>4.3207835513214699</v>
      </c>
      <c r="V6" s="1405">
        <v>-0.88608014835594462</v>
      </c>
      <c r="W6" s="25" t="s">
        <v>1624</v>
      </c>
      <c r="X6" s="26"/>
      <c r="Y6" s="27"/>
      <c r="Z6" s="35">
        <f t="shared" si="0"/>
        <v>1.2</v>
      </c>
    </row>
    <row r="7" spans="1:26">
      <c r="A7" s="78" t="s">
        <v>808</v>
      </c>
      <c r="B7" s="78"/>
      <c r="C7" s="78"/>
      <c r="D7" s="78" t="s">
        <v>1</v>
      </c>
      <c r="E7" s="446">
        <v>7.1744727080078796</v>
      </c>
      <c r="F7" s="78"/>
      <c r="G7" s="78"/>
      <c r="H7" s="78"/>
      <c r="I7" s="78"/>
      <c r="J7" s="78"/>
      <c r="K7" s="78"/>
      <c r="L7" s="78"/>
      <c r="M7" s="78"/>
      <c r="N7" s="78"/>
      <c r="O7" s="78"/>
      <c r="P7" s="78"/>
      <c r="Q7" s="196">
        <f>SLS_P!D58</f>
        <v>206.035408096038</v>
      </c>
      <c r="R7" s="196">
        <f>SLS_P!F58</f>
        <v>28.294448535978287</v>
      </c>
      <c r="S7" s="150">
        <f>SLS_P!H58</f>
        <v>7.2106354075687467</v>
      </c>
      <c r="T7" s="310">
        <v>2.7102499564088136</v>
      </c>
      <c r="U7" s="571">
        <v>1.4963254637424142</v>
      </c>
      <c r="V7" s="1405">
        <v>-0.59441398883590768</v>
      </c>
      <c r="W7" s="25" t="s">
        <v>1780</v>
      </c>
      <c r="X7" s="26"/>
      <c r="Y7" s="27"/>
      <c r="Z7" s="35">
        <f t="shared" si="0"/>
        <v>1.1944139888359078</v>
      </c>
    </row>
    <row r="8" spans="1:26">
      <c r="G8" s="78"/>
      <c r="H8" s="78"/>
      <c r="I8" s="78"/>
      <c r="J8" s="78"/>
      <c r="K8" s="78"/>
      <c r="L8" s="78"/>
      <c r="M8" s="78"/>
      <c r="N8" s="78"/>
      <c r="O8" s="78"/>
      <c r="P8" s="78"/>
      <c r="Q8" s="196">
        <f>SLS_P!D59</f>
        <v>207.71013853056536</v>
      </c>
      <c r="R8" s="196">
        <f>SLS_P!F59</f>
        <v>26.667388241887981</v>
      </c>
      <c r="S8" s="150">
        <f>SLS_P!H59</f>
        <v>7.2106354075687467</v>
      </c>
      <c r="T8" s="310">
        <v>2.6843091433244299</v>
      </c>
      <c r="U8" s="571">
        <v>1.5179181233596948</v>
      </c>
      <c r="V8" s="1405">
        <v>-0.59683199480244353</v>
      </c>
      <c r="W8" s="25" t="s">
        <v>1780</v>
      </c>
      <c r="X8" s="26"/>
      <c r="Y8" s="27"/>
      <c r="Z8" s="35">
        <f t="shared" si="0"/>
        <v>1.1968319948024435</v>
      </c>
    </row>
    <row r="9" spans="1:26">
      <c r="A9" s="568" t="s">
        <v>809</v>
      </c>
      <c r="B9" s="78"/>
      <c r="C9" s="78"/>
      <c r="D9" s="78"/>
      <c r="E9" s="440" t="s">
        <v>810</v>
      </c>
      <c r="F9" s="78"/>
      <c r="G9" s="78"/>
      <c r="H9" s="78"/>
      <c r="I9" s="78"/>
      <c r="J9" s="78"/>
      <c r="K9" s="78"/>
      <c r="L9" s="78"/>
      <c r="M9" s="78"/>
      <c r="N9" s="78"/>
      <c r="O9" s="78"/>
      <c r="P9" s="78"/>
      <c r="Q9" s="196">
        <f>SLS_P!D62</f>
        <v>160.02039088492216</v>
      </c>
      <c r="R9" s="196">
        <f t="shared" ref="R9:S14" si="1">R3</f>
        <v>3.6738361788226186</v>
      </c>
      <c r="S9" s="150">
        <f t="shared" si="1"/>
        <v>12.380738771982006</v>
      </c>
      <c r="T9" s="310">
        <v>1.0235282094511429</v>
      </c>
      <c r="U9" s="571">
        <v>10.191234062374189</v>
      </c>
      <c r="V9" s="1405">
        <v>-5.0316154282990846</v>
      </c>
      <c r="W9" s="25" t="s">
        <v>1624</v>
      </c>
      <c r="X9" s="26"/>
      <c r="Y9" s="27"/>
      <c r="Z9" s="35">
        <f t="shared" si="0"/>
        <v>1.2</v>
      </c>
    </row>
    <row r="10" spans="1:26">
      <c r="A10" s="78" t="s">
        <v>811</v>
      </c>
      <c r="B10" s="78"/>
      <c r="C10" s="78"/>
      <c r="D10" s="78" t="s">
        <v>1</v>
      </c>
      <c r="E10" s="446">
        <f>SLS_P!I7/1000</f>
        <v>1.0049999999999999</v>
      </c>
      <c r="F10" s="78" t="s">
        <v>2</v>
      </c>
      <c r="G10" s="78"/>
      <c r="J10" s="78"/>
      <c r="K10" s="78"/>
      <c r="L10" s="78"/>
      <c r="M10" s="78"/>
      <c r="N10" s="78"/>
      <c r="O10" s="78"/>
      <c r="P10" s="78"/>
      <c r="Q10" s="196">
        <f>SLS_P!D63</f>
        <v>151.32485061078827</v>
      </c>
      <c r="R10" s="196">
        <f t="shared" si="1"/>
        <v>4.663350866568261</v>
      </c>
      <c r="S10" s="150">
        <f t="shared" si="1"/>
        <v>12.380738771982006</v>
      </c>
      <c r="T10" s="310">
        <v>0.99785514906947048</v>
      </c>
      <c r="U10" s="571">
        <v>9.1838141626232606</v>
      </c>
      <c r="V10" s="1405">
        <v>-3.6961827083070125</v>
      </c>
      <c r="W10" s="25" t="s">
        <v>1624</v>
      </c>
      <c r="X10" s="26"/>
      <c r="Y10" s="27"/>
      <c r="Z10" s="35">
        <f t="shared" si="0"/>
        <v>1.2</v>
      </c>
    </row>
    <row r="11" spans="1:26">
      <c r="A11" s="78" t="s">
        <v>812</v>
      </c>
      <c r="B11" s="78"/>
      <c r="C11" s="78"/>
      <c r="D11" s="78" t="s">
        <v>1</v>
      </c>
      <c r="E11" s="4">
        <f>SLS_P!I4</f>
        <v>25</v>
      </c>
      <c r="F11" s="78" t="s">
        <v>5</v>
      </c>
      <c r="G11" s="78"/>
      <c r="J11" s="78"/>
      <c r="K11" s="78"/>
      <c r="L11" s="78"/>
      <c r="M11" s="78"/>
      <c r="N11" s="78"/>
      <c r="O11" s="78"/>
      <c r="P11" s="78"/>
      <c r="Q11" s="196">
        <f>SLS_P!D65</f>
        <v>161.35049023611623</v>
      </c>
      <c r="R11" s="196">
        <f t="shared" si="1"/>
        <v>20.117396235261737</v>
      </c>
      <c r="S11" s="150">
        <f t="shared" si="1"/>
        <v>7.2106354075687467</v>
      </c>
      <c r="T11" s="310">
        <v>1.8590572341158482</v>
      </c>
      <c r="U11" s="571">
        <v>0.74844786332489988</v>
      </c>
      <c r="V11" s="1405">
        <v>-0.56804480996247619</v>
      </c>
      <c r="W11" s="25" t="s">
        <v>1780</v>
      </c>
      <c r="X11" s="26"/>
      <c r="Y11" s="27"/>
      <c r="Z11" s="35">
        <f t="shared" si="0"/>
        <v>1.1680448099624763</v>
      </c>
    </row>
    <row r="12" spans="1:26">
      <c r="A12" s="78"/>
      <c r="B12" s="78"/>
      <c r="C12" s="78"/>
      <c r="D12" s="78"/>
      <c r="E12" s="78"/>
      <c r="F12" s="78"/>
      <c r="G12" s="78"/>
      <c r="J12" s="78"/>
      <c r="K12" s="78"/>
      <c r="L12" s="78"/>
      <c r="M12" s="78"/>
      <c r="N12" s="78"/>
      <c r="O12" s="78"/>
      <c r="P12" s="78"/>
      <c r="Q12" s="196">
        <f>SLS_P!D66</f>
        <v>155.52701694444596</v>
      </c>
      <c r="R12" s="196">
        <f t="shared" si="1"/>
        <v>18.82877177093382</v>
      </c>
      <c r="S12" s="150">
        <f t="shared" si="1"/>
        <v>7.2106354075687467</v>
      </c>
      <c r="T12" s="310">
        <v>1.8120435200315734</v>
      </c>
      <c r="U12" s="571">
        <v>0.56352529408751539</v>
      </c>
      <c r="V12" s="1405">
        <v>-0.55245497783563269</v>
      </c>
      <c r="W12" s="25" t="s">
        <v>1780</v>
      </c>
      <c r="X12" s="26"/>
      <c r="Y12" s="27"/>
      <c r="Z12" s="35">
        <f t="shared" si="0"/>
        <v>1.1524549778356326</v>
      </c>
    </row>
    <row r="13" spans="1:26">
      <c r="A13" s="78" t="s">
        <v>813</v>
      </c>
      <c r="B13" s="78"/>
      <c r="C13" s="78"/>
      <c r="D13" s="78" t="s">
        <v>1</v>
      </c>
      <c r="E13" s="4">
        <f>SLS_P!I5</f>
        <v>25</v>
      </c>
      <c r="F13" s="78" t="s">
        <v>41</v>
      </c>
      <c r="G13" s="78"/>
      <c r="J13" s="78"/>
      <c r="K13" s="78"/>
      <c r="L13" s="78"/>
      <c r="M13" s="78"/>
      <c r="N13" s="78"/>
      <c r="O13" s="78"/>
      <c r="P13" s="78"/>
      <c r="Q13" s="196">
        <f>SLS_P!D67</f>
        <v>152.37110455410999</v>
      </c>
      <c r="R13" s="196">
        <f t="shared" si="1"/>
        <v>28.294448535978287</v>
      </c>
      <c r="S13" s="150">
        <f t="shared" si="1"/>
        <v>7.2106354075687467</v>
      </c>
      <c r="T13" s="310">
        <v>2.3144281885408966</v>
      </c>
      <c r="U13" s="571">
        <v>-3.6001034500237079</v>
      </c>
      <c r="V13" s="1405">
        <v>-0.30605690907082295</v>
      </c>
      <c r="W13" s="25" t="s">
        <v>1780</v>
      </c>
      <c r="X13" s="26"/>
      <c r="Y13" s="27"/>
      <c r="Z13" s="35">
        <f t="shared" si="0"/>
        <v>0.90605690907082292</v>
      </c>
    </row>
    <row r="14" spans="1:26">
      <c r="A14" s="78" t="s">
        <v>814</v>
      </c>
      <c r="B14" s="78"/>
      <c r="C14" s="78"/>
      <c r="D14" s="78" t="s">
        <v>1</v>
      </c>
      <c r="E14" s="78">
        <f>PI()*E10*1000/E13</f>
        <v>126.29202467430967</v>
      </c>
      <c r="F14" s="78" t="s">
        <v>5</v>
      </c>
      <c r="G14" s="78"/>
      <c r="J14" s="78"/>
      <c r="K14" s="78"/>
      <c r="L14" s="78"/>
      <c r="M14" s="78"/>
      <c r="N14" s="78"/>
      <c r="O14" s="78"/>
      <c r="P14" s="78"/>
      <c r="Q14" s="196">
        <f>SLS_P!D68</f>
        <v>146.54763126243972</v>
      </c>
      <c r="R14" s="196">
        <f t="shared" si="1"/>
        <v>26.667388241887981</v>
      </c>
      <c r="S14" s="150">
        <f t="shared" si="1"/>
        <v>7.2106354075687467</v>
      </c>
      <c r="T14" s="310">
        <v>2.2811871321021959</v>
      </c>
      <c r="U14" s="571">
        <v>-3.9997268408532416</v>
      </c>
      <c r="V14" s="1405">
        <v>-0.28597786402337377</v>
      </c>
      <c r="W14" s="25" t="s">
        <v>1780</v>
      </c>
      <c r="X14" s="26"/>
      <c r="Y14" s="27"/>
      <c r="Z14" s="35">
        <f t="shared" si="0"/>
        <v>0.88597786402337375</v>
      </c>
    </row>
    <row r="15" spans="1:26" ht="18">
      <c r="A15" s="78" t="s">
        <v>815</v>
      </c>
      <c r="B15" s="78"/>
      <c r="C15" s="78"/>
      <c r="D15" s="78" t="s">
        <v>1</v>
      </c>
      <c r="E15" s="78">
        <f>(PI()*E11^2/4*E13/(PI()*E10))</f>
        <v>3886.8159203980103</v>
      </c>
      <c r="F15" s="78" t="s">
        <v>816</v>
      </c>
      <c r="G15" s="78"/>
      <c r="J15" s="78"/>
      <c r="K15" s="78"/>
      <c r="L15" s="78"/>
      <c r="M15" s="78"/>
      <c r="N15" s="78"/>
      <c r="O15" s="78"/>
      <c r="P15" s="78"/>
      <c r="Q15" s="310"/>
      <c r="R15" s="310"/>
      <c r="S15" s="570"/>
      <c r="T15" s="310"/>
      <c r="U15" s="571"/>
      <c r="V15" s="570"/>
      <c r="W15" s="25"/>
      <c r="X15" s="26"/>
      <c r="Y15" s="27"/>
      <c r="Z15" s="34"/>
    </row>
    <row r="16" spans="1:26">
      <c r="G16" s="78"/>
      <c r="J16" s="78"/>
      <c r="K16" s="78"/>
      <c r="L16" s="78"/>
      <c r="M16" s="78"/>
      <c r="N16" s="78"/>
      <c r="O16" s="78"/>
      <c r="P16" s="78"/>
      <c r="Q16" s="310"/>
      <c r="R16" s="310"/>
      <c r="S16" s="570"/>
      <c r="T16" s="310"/>
      <c r="U16" s="571"/>
      <c r="V16" s="570"/>
      <c r="W16" s="25"/>
      <c r="X16" s="26"/>
      <c r="Y16" s="27"/>
      <c r="Z16" s="34"/>
    </row>
    <row r="17" spans="1:26">
      <c r="A17" s="78" t="s">
        <v>817</v>
      </c>
      <c r="B17" s="78"/>
      <c r="C17" s="78"/>
      <c r="D17" s="78"/>
      <c r="E17" s="78"/>
      <c r="F17" s="78"/>
      <c r="G17" s="78"/>
      <c r="H17" s="78"/>
      <c r="I17" s="78"/>
      <c r="J17" s="78"/>
      <c r="K17" s="78"/>
      <c r="L17" s="78"/>
      <c r="M17" s="78"/>
      <c r="N17" s="78"/>
      <c r="O17" s="78"/>
      <c r="P17" s="78"/>
      <c r="Q17" s="34"/>
      <c r="R17" s="34"/>
      <c r="S17" s="26"/>
      <c r="T17" s="144"/>
      <c r="U17" s="141"/>
      <c r="V17" s="82"/>
      <c r="W17" s="25"/>
      <c r="X17" s="26"/>
      <c r="Y17" s="27"/>
      <c r="Z17" s="34"/>
    </row>
    <row r="18" spans="1:26">
      <c r="A18" s="78"/>
      <c r="B18" s="78"/>
      <c r="C18" s="78" t="s">
        <v>569</v>
      </c>
      <c r="D18" s="78" t="s">
        <v>1</v>
      </c>
      <c r="E18" s="8">
        <f ca="1">C64</f>
        <v>-0.29118015487005333</v>
      </c>
      <c r="F18" s="78" t="s">
        <v>2</v>
      </c>
      <c r="G18" s="78"/>
      <c r="H18" s="78"/>
      <c r="I18" s="78"/>
      <c r="J18" s="78"/>
      <c r="K18" s="78"/>
      <c r="L18" s="78"/>
      <c r="M18" s="78"/>
      <c r="N18" s="78"/>
      <c r="O18" s="78"/>
      <c r="P18" s="78"/>
      <c r="Q18" s="310"/>
      <c r="R18" s="310"/>
      <c r="S18" s="570"/>
      <c r="T18" s="144"/>
      <c r="U18" s="141"/>
      <c r="V18" s="82"/>
      <c r="W18" s="25"/>
      <c r="X18" s="26"/>
      <c r="Y18" s="27"/>
      <c r="Z18" s="34"/>
    </row>
    <row r="19" spans="1:26">
      <c r="A19" s="78"/>
      <c r="B19" s="78"/>
      <c r="C19" s="78"/>
      <c r="D19" s="78"/>
      <c r="E19" s="78"/>
      <c r="F19" s="78"/>
      <c r="G19" s="78"/>
      <c r="H19" s="78"/>
      <c r="I19" s="78"/>
      <c r="J19" s="78"/>
      <c r="K19" s="78"/>
      <c r="L19" s="78"/>
      <c r="M19" s="78"/>
      <c r="N19" s="78"/>
      <c r="O19" s="78"/>
      <c r="P19" s="78"/>
    </row>
    <row r="20" spans="1:26">
      <c r="A20" s="572" t="s">
        <v>818</v>
      </c>
      <c r="B20" s="78"/>
      <c r="C20" s="78"/>
      <c r="D20" s="78"/>
      <c r="E20" s="78"/>
      <c r="F20" s="78"/>
      <c r="G20" s="78"/>
      <c r="H20" s="78"/>
      <c r="I20" s="573" t="s">
        <v>819</v>
      </c>
      <c r="J20" s="574"/>
      <c r="K20" s="575"/>
      <c r="L20" s="78"/>
      <c r="M20" s="78"/>
      <c r="N20" s="78"/>
      <c r="O20" s="78"/>
      <c r="P20" s="78"/>
    </row>
    <row r="21" spans="1:26">
      <c r="A21" s="78"/>
      <c r="B21" s="576"/>
      <c r="C21" s="576"/>
      <c r="D21" s="576"/>
      <c r="E21" s="576"/>
      <c r="F21" s="576"/>
      <c r="G21" s="576"/>
      <c r="H21" s="78"/>
      <c r="I21" s="145" t="s">
        <v>820</v>
      </c>
      <c r="J21" s="393"/>
      <c r="K21" s="21"/>
      <c r="L21" s="78"/>
      <c r="N21" s="78"/>
      <c r="O21" s="78"/>
    </row>
    <row r="22" spans="1:26" ht="17.25">
      <c r="A22" s="78" t="s">
        <v>62</v>
      </c>
      <c r="B22" s="78" t="s">
        <v>1</v>
      </c>
      <c r="C22" s="78" t="s">
        <v>821</v>
      </c>
      <c r="D22" s="78"/>
      <c r="E22" s="78"/>
      <c r="F22" s="78"/>
      <c r="G22" s="78"/>
      <c r="H22" s="78" t="s">
        <v>1</v>
      </c>
      <c r="I22" s="145">
        <f ca="1">IF(E18&gt;E3/2,0,IF(E18&lt;-E3/2,PI(),ACOS((E18)/(E3/2))))</f>
        <v>2.0775028699527147</v>
      </c>
      <c r="J22" s="393" t="s">
        <v>65</v>
      </c>
      <c r="K22" s="21"/>
      <c r="L22" s="78"/>
      <c r="N22" s="78"/>
      <c r="O22" s="78"/>
    </row>
    <row r="23" spans="1:26">
      <c r="A23" s="78"/>
      <c r="B23" s="78"/>
      <c r="C23" s="78"/>
      <c r="D23" s="78"/>
      <c r="E23" s="78"/>
      <c r="F23" s="78"/>
      <c r="G23" s="78"/>
      <c r="H23" s="78" t="s">
        <v>1</v>
      </c>
      <c r="I23" s="64">
        <f ca="1">I22*180/PI()</f>
        <v>119.03214637460647</v>
      </c>
      <c r="J23" s="82" t="s">
        <v>168</v>
      </c>
      <c r="K23" s="27"/>
      <c r="L23" s="78"/>
      <c r="N23" s="78"/>
      <c r="O23" s="78"/>
      <c r="P23" s="78"/>
    </row>
    <row r="24" spans="1:26">
      <c r="A24" s="78"/>
      <c r="B24" s="78"/>
      <c r="C24" s="78"/>
      <c r="D24" s="78"/>
      <c r="E24" s="78"/>
      <c r="F24" s="78"/>
      <c r="G24" s="78"/>
      <c r="H24" s="78"/>
      <c r="I24" s="64"/>
      <c r="J24" s="82"/>
      <c r="K24" s="27"/>
      <c r="N24" s="78"/>
      <c r="O24" s="78"/>
      <c r="P24" s="78"/>
    </row>
    <row r="25" spans="1:26" ht="17.25">
      <c r="A25" s="78" t="s">
        <v>822</v>
      </c>
      <c r="B25" s="78" t="s">
        <v>1</v>
      </c>
      <c r="C25" s="78"/>
      <c r="D25" s="78"/>
      <c r="E25" s="78"/>
      <c r="F25" s="78"/>
      <c r="G25" s="78"/>
      <c r="H25" s="78" t="s">
        <v>1</v>
      </c>
      <c r="I25" s="64">
        <f ca="1">(E3/2)^2*(I22-SIN(I22)*COS(I22))</f>
        <v>0.90065662832064475</v>
      </c>
      <c r="J25" s="82" t="s">
        <v>226</v>
      </c>
      <c r="K25" s="27"/>
      <c r="N25" s="78"/>
      <c r="O25" s="78"/>
      <c r="P25" s="78"/>
    </row>
    <row r="26" spans="1:26">
      <c r="A26" s="78"/>
      <c r="B26" s="78"/>
      <c r="C26" s="78"/>
      <c r="D26" s="78"/>
      <c r="E26" s="78"/>
      <c r="F26" s="78"/>
      <c r="G26" s="78"/>
      <c r="H26" s="78"/>
      <c r="I26" s="64"/>
      <c r="J26" s="82"/>
      <c r="K26" s="27"/>
      <c r="N26" s="78"/>
      <c r="O26" s="78"/>
      <c r="P26" s="78"/>
    </row>
    <row r="27" spans="1:26">
      <c r="A27" s="78"/>
      <c r="B27" s="78"/>
      <c r="C27" s="78"/>
      <c r="D27" s="78"/>
      <c r="E27" s="78"/>
      <c r="F27" s="78"/>
      <c r="G27" s="78"/>
      <c r="H27" s="78"/>
      <c r="I27" s="64"/>
      <c r="J27" s="82"/>
      <c r="K27" s="27"/>
      <c r="N27" s="78"/>
      <c r="O27" s="78"/>
      <c r="P27" s="78"/>
    </row>
    <row r="28" spans="1:26">
      <c r="A28" s="78" t="s">
        <v>823</v>
      </c>
      <c r="B28" s="78" t="s">
        <v>1</v>
      </c>
      <c r="C28" s="78"/>
      <c r="D28" s="78"/>
      <c r="E28" s="78"/>
      <c r="F28" s="78"/>
      <c r="G28" s="78"/>
      <c r="H28" s="78" t="s">
        <v>1</v>
      </c>
      <c r="I28" s="64">
        <f ca="1">IF(I22=0,E3/2,E3/3*(SIN(I22))^3/(I22-SIN(I22)*COS(I22)))</f>
        <v>0.10686993691730254</v>
      </c>
      <c r="J28" s="82" t="s">
        <v>2</v>
      </c>
      <c r="K28" s="27"/>
      <c r="N28" s="78"/>
      <c r="O28" s="78"/>
      <c r="P28" s="78"/>
    </row>
    <row r="29" spans="1:26">
      <c r="A29" s="78"/>
      <c r="B29" s="78"/>
      <c r="C29" s="78"/>
      <c r="D29" s="78"/>
      <c r="E29" s="78"/>
      <c r="F29" s="78"/>
      <c r="G29" s="78"/>
      <c r="H29" s="78"/>
      <c r="I29" s="64"/>
      <c r="J29" s="82"/>
      <c r="K29" s="27"/>
      <c r="N29" s="78"/>
      <c r="O29" s="78"/>
      <c r="P29" s="78"/>
    </row>
    <row r="30" spans="1:26">
      <c r="A30" s="78"/>
      <c r="B30" s="78"/>
      <c r="C30" s="78"/>
      <c r="D30" s="78"/>
      <c r="E30" s="78"/>
      <c r="F30" s="78"/>
      <c r="G30" s="78"/>
      <c r="H30" s="78"/>
      <c r="I30" s="64"/>
      <c r="J30" s="82"/>
      <c r="K30" s="27"/>
      <c r="N30" s="78"/>
      <c r="O30" s="78"/>
      <c r="P30" s="78"/>
    </row>
    <row r="31" spans="1:26">
      <c r="A31" s="78" t="s">
        <v>824</v>
      </c>
      <c r="B31" s="78" t="s">
        <v>1</v>
      </c>
      <c r="C31" s="78"/>
      <c r="D31" s="78"/>
      <c r="E31" s="78"/>
      <c r="F31" s="78"/>
      <c r="G31" s="78"/>
      <c r="H31" s="78" t="s">
        <v>1</v>
      </c>
      <c r="I31" s="64">
        <f ca="1">E3^4/64*(I22-SIN(I22)*COS(I22)+2*(SIN(I22))^3*COS(I22))</f>
        <v>6.0038848401243142E-2</v>
      </c>
      <c r="J31" s="82" t="s">
        <v>825</v>
      </c>
      <c r="K31" s="27"/>
      <c r="N31" s="78"/>
      <c r="O31" s="78"/>
      <c r="P31" s="78"/>
    </row>
    <row r="32" spans="1:26">
      <c r="A32" s="78"/>
      <c r="B32" s="78"/>
      <c r="C32" s="78"/>
      <c r="D32" s="78"/>
      <c r="E32" s="78"/>
      <c r="F32" s="78"/>
      <c r="G32" s="78"/>
      <c r="H32" s="78"/>
      <c r="I32" s="64"/>
      <c r="J32" s="82"/>
      <c r="K32" s="27"/>
      <c r="N32" s="78"/>
      <c r="O32" s="78"/>
      <c r="P32" s="78"/>
      <c r="U32" s="82"/>
      <c r="V32" s="82"/>
    </row>
    <row r="33" spans="1:22">
      <c r="A33" s="78"/>
      <c r="B33" s="78"/>
      <c r="C33" s="78"/>
      <c r="D33" s="78"/>
      <c r="E33" s="78"/>
      <c r="F33" s="78"/>
      <c r="G33" s="78"/>
      <c r="H33" s="78"/>
      <c r="I33" s="121"/>
      <c r="J33" s="20"/>
      <c r="K33" s="22"/>
      <c r="N33" s="78"/>
      <c r="O33" s="78"/>
      <c r="P33" s="78"/>
      <c r="U33" s="82"/>
      <c r="V33" s="82"/>
    </row>
    <row r="34" spans="1:22">
      <c r="A34" s="78"/>
      <c r="B34" s="78"/>
      <c r="C34" s="78"/>
      <c r="D34" s="78"/>
      <c r="E34" s="78"/>
      <c r="F34" s="78"/>
      <c r="G34" s="78"/>
      <c r="H34" s="78"/>
      <c r="I34" s="78"/>
      <c r="J34" s="78"/>
      <c r="K34" s="78"/>
      <c r="L34" s="78"/>
      <c r="M34" s="78"/>
      <c r="N34" s="78"/>
      <c r="O34" s="78"/>
      <c r="P34" s="78"/>
      <c r="R34" s="82"/>
      <c r="S34" s="82"/>
      <c r="T34" s="82"/>
      <c r="U34" s="82"/>
      <c r="V34" s="82"/>
    </row>
    <row r="35" spans="1:22">
      <c r="A35" s="78"/>
      <c r="B35" s="78"/>
      <c r="C35" s="78"/>
      <c r="D35" s="78"/>
      <c r="E35" s="78"/>
      <c r="F35" s="78"/>
      <c r="G35" s="78"/>
      <c r="H35" s="78"/>
      <c r="I35" s="78"/>
      <c r="J35" s="78"/>
      <c r="K35" s="78"/>
      <c r="L35" s="1738" t="s">
        <v>826</v>
      </c>
      <c r="M35" s="1739"/>
      <c r="N35" s="1740"/>
      <c r="O35" s="348"/>
      <c r="P35" s="78"/>
      <c r="T35" s="82"/>
      <c r="U35" s="82"/>
      <c r="V35" s="82"/>
    </row>
    <row r="36" spans="1:22">
      <c r="A36" s="568" t="s">
        <v>827</v>
      </c>
      <c r="B36" s="78"/>
      <c r="C36" s="78"/>
      <c r="D36" s="78"/>
      <c r="E36" s="78"/>
      <c r="F36" s="78"/>
      <c r="G36" s="78"/>
      <c r="H36" s="1738" t="s">
        <v>819</v>
      </c>
      <c r="I36" s="1739"/>
      <c r="J36" s="1740"/>
      <c r="K36" s="78"/>
      <c r="L36" s="1738" t="s">
        <v>819</v>
      </c>
      <c r="M36" s="1739"/>
      <c r="N36" s="1740"/>
      <c r="O36" s="577"/>
      <c r="P36" s="78"/>
      <c r="T36" s="82"/>
      <c r="U36" s="82"/>
      <c r="V36" s="82"/>
    </row>
    <row r="37" spans="1:22">
      <c r="A37" s="78" t="s">
        <v>828</v>
      </c>
      <c r="B37" s="78"/>
      <c r="C37" s="78"/>
      <c r="D37" s="78"/>
      <c r="E37" s="78"/>
      <c r="F37" s="78"/>
      <c r="G37" s="78"/>
      <c r="H37" s="133" t="s">
        <v>810</v>
      </c>
      <c r="I37" s="139"/>
      <c r="J37" s="578"/>
      <c r="K37" s="8"/>
      <c r="L37" s="133" t="s">
        <v>810</v>
      </c>
      <c r="M37" s="139"/>
      <c r="N37" s="578"/>
      <c r="O37" s="349"/>
      <c r="P37" s="8"/>
      <c r="R37" s="82"/>
      <c r="S37" s="82"/>
      <c r="T37" s="11"/>
      <c r="U37" s="11"/>
      <c r="V37" s="11"/>
    </row>
    <row r="38" spans="1:22" ht="17.25">
      <c r="A38" s="78" t="s">
        <v>62</v>
      </c>
      <c r="B38" s="78" t="s">
        <v>1</v>
      </c>
      <c r="C38" s="78" t="s">
        <v>821</v>
      </c>
      <c r="D38" s="78"/>
      <c r="E38" s="78"/>
      <c r="F38" s="78"/>
      <c r="G38" s="78" t="s">
        <v>1</v>
      </c>
      <c r="H38" s="64">
        <f ca="1">IF(E18&gt;E10/2,0,IF(E18&lt;-E10/2,PI(),ACOS((E18)/(E10/2))))</f>
        <v>2.1888659597067828</v>
      </c>
      <c r="I38" s="82" t="s">
        <v>829</v>
      </c>
      <c r="J38" s="27"/>
      <c r="K38" s="8"/>
      <c r="L38" s="64"/>
      <c r="M38" s="82"/>
      <c r="N38" s="579"/>
      <c r="O38" s="349"/>
      <c r="P38" s="8"/>
      <c r="Q38" s="82"/>
      <c r="R38" s="82"/>
      <c r="S38" s="82"/>
      <c r="T38" s="11"/>
      <c r="U38" s="11"/>
      <c r="V38" s="11"/>
    </row>
    <row r="39" spans="1:22">
      <c r="A39" s="78"/>
      <c r="B39" s="78"/>
      <c r="C39" s="78"/>
      <c r="D39" s="78"/>
      <c r="E39" s="78"/>
      <c r="F39" s="78"/>
      <c r="G39" s="78" t="s">
        <v>1</v>
      </c>
      <c r="H39" s="64">
        <f ca="1">H38*180/PI()</f>
        <v>125.41278141105117</v>
      </c>
      <c r="I39" s="82" t="s">
        <v>168</v>
      </c>
      <c r="J39" s="27"/>
      <c r="K39" s="8"/>
      <c r="L39" s="64"/>
      <c r="M39" s="82"/>
      <c r="N39" s="579"/>
      <c r="O39" s="349"/>
      <c r="P39" s="8"/>
      <c r="Q39" s="82"/>
      <c r="R39" s="11"/>
      <c r="S39" s="11"/>
      <c r="T39" s="11"/>
      <c r="U39" s="11"/>
      <c r="V39" s="11"/>
    </row>
    <row r="40" spans="1:22" ht="18.75">
      <c r="A40" s="401" t="s">
        <v>830</v>
      </c>
      <c r="B40" s="78" t="s">
        <v>1</v>
      </c>
      <c r="C40" s="78" t="s">
        <v>831</v>
      </c>
      <c r="D40" s="78"/>
      <c r="E40" s="78"/>
      <c r="F40" s="78"/>
      <c r="G40" s="78" t="s">
        <v>1</v>
      </c>
      <c r="H40" s="64">
        <f ca="1">(2*E10/2*H38*E15)/1000000</f>
        <v>8.5502576551046202E-3</v>
      </c>
      <c r="I40" s="82" t="s">
        <v>226</v>
      </c>
      <c r="J40" s="27"/>
      <c r="K40" s="8"/>
      <c r="L40" s="64">
        <f ca="1">H40*(1.5*E7-1)</f>
        <v>8.3465127634370695E-2</v>
      </c>
      <c r="M40" s="82" t="s">
        <v>226</v>
      </c>
      <c r="N40" s="579"/>
      <c r="O40" s="349"/>
      <c r="P40" s="8"/>
      <c r="Q40" s="82"/>
      <c r="R40" s="11"/>
      <c r="S40" s="11"/>
      <c r="T40" s="11"/>
      <c r="U40" s="11"/>
      <c r="V40" s="11"/>
    </row>
    <row r="41" spans="1:22">
      <c r="A41" s="78" t="s">
        <v>832</v>
      </c>
      <c r="B41" s="78" t="s">
        <v>1</v>
      </c>
      <c r="C41" s="78" t="s">
        <v>833</v>
      </c>
      <c r="D41" s="78"/>
      <c r="E41" s="78"/>
      <c r="F41" s="78"/>
      <c r="G41" s="78" t="s">
        <v>1</v>
      </c>
      <c r="H41" s="64">
        <f ca="1">IF(H38=0,E10/2,E10/2*SIN(H38)/H38)</f>
        <v>0.1870999774687313</v>
      </c>
      <c r="I41" s="82" t="s">
        <v>2</v>
      </c>
      <c r="J41" s="27"/>
      <c r="K41" s="8"/>
      <c r="L41" s="64">
        <f ca="1">H41</f>
        <v>0.1870999774687313</v>
      </c>
      <c r="M41" s="82" t="s">
        <v>2</v>
      </c>
      <c r="N41" s="579"/>
      <c r="O41" s="349"/>
      <c r="P41" s="8"/>
      <c r="Q41" s="82"/>
      <c r="R41" s="11"/>
      <c r="S41" s="11"/>
      <c r="T41" s="11"/>
      <c r="U41" s="11"/>
      <c r="V41" s="11"/>
    </row>
    <row r="42" spans="1:22" ht="18.75">
      <c r="A42" s="78" t="s">
        <v>834</v>
      </c>
      <c r="B42" s="78" t="s">
        <v>1</v>
      </c>
      <c r="C42" s="78" t="s">
        <v>835</v>
      </c>
      <c r="D42" s="78"/>
      <c r="E42" s="78"/>
      <c r="F42" s="78"/>
      <c r="G42" s="78" t="s">
        <v>1</v>
      </c>
      <c r="H42" s="64">
        <f ca="1">(E15/1000000)*(E10/2)^3*(COS(H38)*SIN(H38)+H38)</f>
        <v>8.4658858323640731E-4</v>
      </c>
      <c r="I42" s="82" t="s">
        <v>147</v>
      </c>
      <c r="J42" s="27"/>
      <c r="K42" s="8"/>
      <c r="L42" s="64">
        <f ca="1">H42*(1.5*E7-1)</f>
        <v>8.2641514447745843E-3</v>
      </c>
      <c r="M42" s="82" t="s">
        <v>147</v>
      </c>
      <c r="N42" s="579"/>
      <c r="O42" s="349"/>
      <c r="P42" s="8"/>
      <c r="Q42" s="82"/>
      <c r="R42" s="11"/>
      <c r="S42" s="11"/>
      <c r="T42" s="11"/>
      <c r="U42" s="11"/>
      <c r="V42" s="11"/>
    </row>
    <row r="43" spans="1:22">
      <c r="A43" s="78" t="s">
        <v>836</v>
      </c>
      <c r="B43" s="78"/>
      <c r="C43" s="78"/>
      <c r="D43" s="78"/>
      <c r="E43" s="78"/>
      <c r="F43" s="78"/>
      <c r="G43" s="78"/>
      <c r="H43" s="64"/>
      <c r="I43" s="82"/>
      <c r="J43" s="27"/>
      <c r="K43" s="8"/>
      <c r="L43" s="64"/>
      <c r="M43" s="82"/>
      <c r="N43" s="579"/>
      <c r="O43" s="349"/>
      <c r="P43" s="8"/>
      <c r="Q43" s="82"/>
      <c r="R43" s="11"/>
      <c r="S43" s="11"/>
      <c r="T43" s="11"/>
      <c r="U43" s="11"/>
      <c r="V43" s="11"/>
    </row>
    <row r="44" spans="1:22" ht="17.25">
      <c r="A44" s="401" t="s">
        <v>393</v>
      </c>
      <c r="B44" s="78" t="s">
        <v>1</v>
      </c>
      <c r="C44" s="78" t="s">
        <v>837</v>
      </c>
      <c r="D44" s="78"/>
      <c r="E44" s="78"/>
      <c r="F44" s="78"/>
      <c r="G44" s="78" t="s">
        <v>1</v>
      </c>
      <c r="H44" s="64">
        <f ca="1">(E15/1000000*PI()*E10)-H40</f>
        <v>3.7215886479805092E-3</v>
      </c>
      <c r="I44" s="82" t="s">
        <v>226</v>
      </c>
      <c r="J44" s="27"/>
      <c r="K44" s="8"/>
      <c r="L44" s="64">
        <f ca="1">H44*E7</f>
        <v>2.6700436185368107E-2</v>
      </c>
      <c r="M44" s="82" t="s">
        <v>226</v>
      </c>
      <c r="N44" s="579"/>
      <c r="O44" s="349"/>
      <c r="P44" s="8"/>
      <c r="Q44" s="82"/>
      <c r="R44" s="11"/>
      <c r="S44" s="11"/>
      <c r="T44" s="11"/>
      <c r="U44" s="11"/>
      <c r="V44" s="11"/>
    </row>
    <row r="45" spans="1:22">
      <c r="A45" s="78" t="s">
        <v>838</v>
      </c>
      <c r="B45" s="78" t="s">
        <v>1</v>
      </c>
      <c r="C45" s="78" t="s">
        <v>839</v>
      </c>
      <c r="D45" s="78"/>
      <c r="E45" s="78"/>
      <c r="F45" s="78"/>
      <c r="G45" s="78" t="s">
        <v>1</v>
      </c>
      <c r="H45" s="64">
        <f ca="1">IF(H44=0,-E10/2,-H40*H41/H44)</f>
        <v>-0.4298575597520739</v>
      </c>
      <c r="I45" s="82" t="s">
        <v>2</v>
      </c>
      <c r="J45" s="27"/>
      <c r="K45" s="8"/>
      <c r="L45" s="64">
        <f ca="1">H45</f>
        <v>-0.4298575597520739</v>
      </c>
      <c r="M45" s="82" t="s">
        <v>2</v>
      </c>
      <c r="N45" s="579"/>
      <c r="O45" s="349"/>
      <c r="P45" s="8"/>
      <c r="Q45" s="82"/>
      <c r="R45" s="11"/>
      <c r="S45" s="11"/>
      <c r="T45" s="11"/>
      <c r="U45" s="11"/>
      <c r="V45" s="11"/>
    </row>
    <row r="46" spans="1:22" ht="17.25">
      <c r="A46" s="78" t="s">
        <v>840</v>
      </c>
      <c r="B46" s="78" t="s">
        <v>1</v>
      </c>
      <c r="C46" s="78" t="s">
        <v>841</v>
      </c>
      <c r="D46" s="78"/>
      <c r="E46" s="78"/>
      <c r="F46" s="78"/>
      <c r="G46" s="78" t="s">
        <v>1</v>
      </c>
      <c r="H46" s="121">
        <f ca="1">(E15/1000000)*(E10/2)^3*PI()-H42</f>
        <v>7.0277036204778695E-4</v>
      </c>
      <c r="I46" s="20" t="s">
        <v>147</v>
      </c>
      <c r="J46" s="22"/>
      <c r="K46" s="8"/>
      <c r="L46" s="121">
        <f ca="1">H46*E7</f>
        <v>5.0420067825086637E-3</v>
      </c>
      <c r="M46" s="20" t="s">
        <v>147</v>
      </c>
      <c r="N46" s="437"/>
      <c r="O46" s="349"/>
      <c r="P46" s="8"/>
      <c r="Q46" s="82"/>
      <c r="R46" s="11"/>
      <c r="S46" s="11"/>
      <c r="T46" s="11"/>
      <c r="U46" s="11"/>
      <c r="V46" s="11"/>
    </row>
    <row r="47" spans="1:22">
      <c r="A47" s="78"/>
      <c r="B47" s="78"/>
      <c r="C47" s="78"/>
      <c r="D47" s="78"/>
      <c r="E47" s="78"/>
      <c r="F47" s="78"/>
      <c r="G47" s="78"/>
      <c r="H47" s="78"/>
      <c r="I47" s="78"/>
      <c r="K47" s="78"/>
      <c r="L47" s="78"/>
      <c r="M47" s="78"/>
      <c r="N47" s="78"/>
      <c r="O47" s="78"/>
      <c r="P47" s="78"/>
      <c r="Q47" s="82"/>
      <c r="R47" s="11"/>
      <c r="S47" s="11"/>
      <c r="T47" s="11"/>
      <c r="U47" s="11"/>
      <c r="V47" s="11"/>
    </row>
    <row r="48" spans="1:22">
      <c r="A48" s="440" t="s">
        <v>842</v>
      </c>
      <c r="B48" s="78"/>
      <c r="C48" s="78"/>
      <c r="D48" s="78"/>
      <c r="E48" s="78"/>
      <c r="F48" s="78"/>
      <c r="G48" s="78"/>
      <c r="H48" s="78"/>
      <c r="I48" s="78"/>
      <c r="J48" s="78"/>
      <c r="K48" s="78"/>
      <c r="L48" s="78"/>
      <c r="M48" s="78"/>
      <c r="N48" s="78"/>
      <c r="O48" s="78"/>
      <c r="P48" s="78"/>
      <c r="Q48" s="82"/>
      <c r="R48" s="11"/>
      <c r="S48" s="11"/>
      <c r="T48" s="11"/>
      <c r="U48" s="11"/>
      <c r="V48" s="11"/>
    </row>
    <row r="49" spans="1:22">
      <c r="A49" s="78"/>
      <c r="B49" s="1707" t="s">
        <v>843</v>
      </c>
      <c r="C49" s="1741"/>
      <c r="D49" s="1708"/>
      <c r="E49" s="8"/>
      <c r="F49" s="133" t="s">
        <v>844</v>
      </c>
      <c r="G49" s="140"/>
      <c r="H49" s="8"/>
      <c r="I49" s="78"/>
      <c r="J49" s="78"/>
      <c r="K49" s="78"/>
      <c r="L49" s="78"/>
      <c r="M49" s="78"/>
      <c r="N49" s="78"/>
      <c r="O49" s="78"/>
      <c r="P49" s="78"/>
      <c r="Q49" s="82"/>
      <c r="R49" s="11"/>
      <c r="S49" s="11"/>
      <c r="T49" s="11"/>
      <c r="U49" s="11"/>
      <c r="V49" s="11"/>
    </row>
    <row r="50" spans="1:22" ht="17.25">
      <c r="A50" s="78" t="s">
        <v>822</v>
      </c>
      <c r="B50" s="8" t="s">
        <v>1</v>
      </c>
      <c r="C50" s="145">
        <f ca="1">I25+L40+L44</f>
        <v>1.0108221921403837</v>
      </c>
      <c r="D50" s="146" t="s">
        <v>226</v>
      </c>
      <c r="E50" s="8"/>
      <c r="F50" s="145">
        <f ca="1">C50</f>
        <v>1.0108221921403837</v>
      </c>
      <c r="G50" s="146" t="s">
        <v>226</v>
      </c>
      <c r="H50" s="8"/>
      <c r="I50" s="78"/>
      <c r="J50" s="78"/>
      <c r="K50" s="78"/>
      <c r="L50" s="78"/>
      <c r="M50" s="78"/>
      <c r="N50" s="78"/>
      <c r="O50" s="78"/>
      <c r="P50" s="78"/>
      <c r="Q50" s="82"/>
      <c r="R50" s="11"/>
      <c r="S50" s="11"/>
      <c r="T50" s="11"/>
      <c r="U50" s="11"/>
      <c r="V50" s="11"/>
    </row>
    <row r="51" spans="1:22">
      <c r="A51" s="78" t="s">
        <v>845</v>
      </c>
      <c r="B51" s="8" t="s">
        <v>1</v>
      </c>
      <c r="C51" s="64">
        <f ca="1">(I25*I28+L40*L41+L44*L45)/C50</f>
        <v>9.9317226105867296E-2</v>
      </c>
      <c r="D51" s="141" t="s">
        <v>2</v>
      </c>
      <c r="E51" s="400" t="s">
        <v>846</v>
      </c>
      <c r="F51" s="580">
        <v>0</v>
      </c>
      <c r="G51" s="141" t="s">
        <v>2</v>
      </c>
      <c r="H51" s="8"/>
      <c r="I51" s="78"/>
      <c r="J51" s="78"/>
      <c r="K51" s="78"/>
      <c r="L51" s="78"/>
      <c r="M51" s="78"/>
      <c r="N51" s="78"/>
      <c r="O51" s="78"/>
      <c r="P51" s="78"/>
      <c r="Q51" s="11"/>
      <c r="R51" s="11"/>
      <c r="S51" s="11"/>
      <c r="T51" s="11"/>
      <c r="U51" s="11"/>
      <c r="V51" s="11"/>
    </row>
    <row r="52" spans="1:22" ht="17.25">
      <c r="A52" s="78" t="s">
        <v>847</v>
      </c>
      <c r="B52" s="8" t="s">
        <v>1</v>
      </c>
      <c r="C52" s="121">
        <f ca="1">I31+L42+L46</f>
        <v>7.3345006628526388E-2</v>
      </c>
      <c r="D52" s="148" t="s">
        <v>147</v>
      </c>
      <c r="E52" s="8"/>
      <c r="F52" s="121">
        <f ca="1">C52-C50*C51^2</f>
        <v>6.3374346082721134E-2</v>
      </c>
      <c r="G52" s="148" t="s">
        <v>147</v>
      </c>
      <c r="H52" s="8"/>
      <c r="I52" s="78"/>
      <c r="J52" s="78"/>
      <c r="K52" s="78"/>
      <c r="L52" s="78"/>
      <c r="M52" s="78"/>
      <c r="N52" s="78"/>
      <c r="O52" s="78"/>
      <c r="P52" s="78"/>
      <c r="Q52" s="11"/>
      <c r="R52" s="11"/>
      <c r="S52" s="11"/>
      <c r="T52" s="11"/>
      <c r="U52" s="11"/>
      <c r="V52" s="11"/>
    </row>
    <row r="53" spans="1:22">
      <c r="A53" s="78"/>
      <c r="B53" s="78"/>
      <c r="C53" s="78"/>
      <c r="D53" s="78"/>
      <c r="E53" s="78"/>
      <c r="F53" s="78"/>
      <c r="G53" s="78"/>
      <c r="H53" s="78"/>
      <c r="I53" s="78"/>
      <c r="J53" s="78"/>
      <c r="K53" s="78"/>
      <c r="L53" s="78"/>
      <c r="M53" s="78"/>
      <c r="N53" s="78"/>
      <c r="O53" s="78"/>
      <c r="P53" s="78"/>
      <c r="Q53" s="11"/>
      <c r="R53" s="11"/>
      <c r="S53" s="11"/>
      <c r="T53" s="11"/>
      <c r="U53" s="11"/>
      <c r="V53" s="11"/>
    </row>
    <row r="54" spans="1:22">
      <c r="A54" s="8" t="s">
        <v>173</v>
      </c>
      <c r="B54" s="8" t="s">
        <v>1</v>
      </c>
      <c r="C54" s="133" t="s">
        <v>848</v>
      </c>
      <c r="D54" s="139">
        <f>E5/E4</f>
        <v>0.25987102931662204</v>
      </c>
      <c r="E54" s="140" t="s">
        <v>2</v>
      </c>
      <c r="F54" s="8"/>
      <c r="G54" s="78"/>
      <c r="H54" s="78"/>
      <c r="I54" s="78"/>
      <c r="J54" s="78"/>
      <c r="K54" s="78"/>
      <c r="L54" s="78"/>
      <c r="M54" s="78"/>
      <c r="N54" s="78"/>
      <c r="O54" s="78"/>
      <c r="P54" s="78"/>
      <c r="Q54" s="11"/>
      <c r="R54" s="11"/>
      <c r="S54" s="11"/>
      <c r="T54" s="11"/>
      <c r="U54" s="11"/>
      <c r="V54" s="11"/>
    </row>
    <row r="55" spans="1:22">
      <c r="A55" s="8"/>
      <c r="B55" s="8"/>
      <c r="C55" s="8"/>
      <c r="D55" s="8"/>
      <c r="E55" s="8"/>
      <c r="F55" s="8"/>
      <c r="G55" s="78"/>
      <c r="H55" s="78"/>
      <c r="I55" s="78"/>
      <c r="J55" s="78"/>
      <c r="K55" s="78"/>
      <c r="L55" s="78"/>
      <c r="M55" s="78"/>
      <c r="N55" s="78"/>
      <c r="O55" s="78"/>
      <c r="P55" s="78"/>
      <c r="Q55" s="11"/>
      <c r="R55" s="11"/>
      <c r="S55" s="11"/>
      <c r="T55" s="11"/>
      <c r="U55" s="11"/>
      <c r="V55" s="11"/>
    </row>
    <row r="56" spans="1:22">
      <c r="A56" s="78" t="s">
        <v>597</v>
      </c>
      <c r="B56" s="78" t="s">
        <v>1</v>
      </c>
      <c r="C56" s="78">
        <f>E4*10000</f>
        <v>988134.83556524967</v>
      </c>
      <c r="D56" s="78" t="s">
        <v>598</v>
      </c>
      <c r="E56" s="78"/>
      <c r="F56" s="78"/>
      <c r="G56" s="78"/>
      <c r="H56" s="78"/>
      <c r="I56" s="78"/>
      <c r="J56" s="78"/>
      <c r="K56" s="78"/>
      <c r="L56" s="78"/>
      <c r="M56" s="78"/>
      <c r="N56" s="78"/>
      <c r="O56" s="78"/>
      <c r="P56" s="78"/>
      <c r="Q56" s="11"/>
      <c r="R56" s="11"/>
      <c r="S56" s="11"/>
      <c r="T56" s="11"/>
      <c r="U56" s="11"/>
      <c r="V56" s="11"/>
    </row>
    <row r="57" spans="1:22">
      <c r="A57" s="78" t="s">
        <v>849</v>
      </c>
      <c r="B57" s="78" t="s">
        <v>1</v>
      </c>
      <c r="C57" s="78">
        <f>E5*10000</f>
        <v>256787.61682195251</v>
      </c>
      <c r="D57" s="78" t="s">
        <v>850</v>
      </c>
      <c r="E57" s="78"/>
      <c r="F57" s="78"/>
      <c r="G57" s="78"/>
      <c r="H57" s="78"/>
      <c r="I57" s="78"/>
      <c r="J57" s="78"/>
      <c r="K57" s="78"/>
      <c r="L57" s="78"/>
      <c r="M57" s="78"/>
      <c r="N57" s="78"/>
      <c r="O57" s="78"/>
      <c r="P57" s="78"/>
      <c r="Q57" s="11"/>
      <c r="R57" s="11"/>
      <c r="S57" s="11"/>
      <c r="T57" s="11"/>
      <c r="U57" s="11"/>
      <c r="V57" s="11"/>
    </row>
    <row r="58" spans="1:22">
      <c r="A58" s="78"/>
      <c r="B58" s="78"/>
      <c r="C58" s="78"/>
      <c r="D58" s="78"/>
      <c r="E58" s="78"/>
      <c r="F58" s="78"/>
      <c r="G58" s="78"/>
      <c r="H58" s="78"/>
      <c r="I58" s="78"/>
      <c r="J58" s="78"/>
      <c r="K58" s="78"/>
      <c r="L58" s="78"/>
      <c r="M58" s="78"/>
      <c r="N58" s="78"/>
      <c r="O58" s="78"/>
      <c r="P58" s="78"/>
      <c r="Q58" s="11"/>
      <c r="R58" s="11"/>
      <c r="S58" s="11"/>
      <c r="T58" s="11"/>
      <c r="U58" s="11"/>
      <c r="V58" s="11"/>
    </row>
    <row r="59" spans="1:22">
      <c r="A59" s="78" t="s">
        <v>851</v>
      </c>
      <c r="B59" s="78"/>
      <c r="C59" s="78"/>
      <c r="D59" s="78"/>
      <c r="E59" s="78"/>
      <c r="F59" s="78"/>
      <c r="G59" s="78"/>
      <c r="H59" s="78"/>
      <c r="I59" s="78"/>
      <c r="J59" s="78"/>
      <c r="K59" s="78"/>
      <c r="L59" s="78"/>
      <c r="M59" s="78"/>
      <c r="N59" s="78"/>
      <c r="O59" s="78"/>
      <c r="P59" s="78"/>
      <c r="Q59" s="11"/>
      <c r="R59" s="11"/>
      <c r="S59" s="11"/>
      <c r="T59" s="11"/>
      <c r="U59" s="11"/>
      <c r="V59" s="11"/>
    </row>
    <row r="60" spans="1:22">
      <c r="A60" s="78"/>
      <c r="B60" s="78"/>
      <c r="C60" s="78"/>
      <c r="D60" s="78"/>
      <c r="E60" s="78"/>
      <c r="F60" s="78"/>
      <c r="G60" s="78"/>
      <c r="H60" s="78"/>
      <c r="I60" s="78"/>
      <c r="J60" s="78"/>
      <c r="K60" s="78"/>
      <c r="L60" s="78"/>
      <c r="M60" s="78"/>
      <c r="N60" s="78"/>
      <c r="O60" s="78"/>
      <c r="P60" s="78"/>
      <c r="Q60" s="11"/>
      <c r="R60" s="11"/>
      <c r="S60" s="11"/>
      <c r="T60" s="11"/>
      <c r="U60" s="11"/>
      <c r="V60" s="11"/>
    </row>
    <row r="61" spans="1:22">
      <c r="A61" s="78"/>
      <c r="B61" s="78"/>
      <c r="C61" s="78"/>
      <c r="D61" s="78"/>
      <c r="E61" s="78"/>
      <c r="F61" s="78"/>
      <c r="G61" s="78"/>
      <c r="H61" s="78"/>
      <c r="I61" s="78"/>
      <c r="J61" s="78"/>
      <c r="K61" s="78"/>
      <c r="L61" s="78"/>
      <c r="M61" s="78"/>
      <c r="N61" s="78"/>
      <c r="O61" s="78"/>
      <c r="P61" s="78"/>
      <c r="Q61" s="11"/>
      <c r="R61" s="11"/>
      <c r="S61" s="11"/>
      <c r="T61" s="11"/>
      <c r="U61" s="11"/>
      <c r="V61" s="11"/>
    </row>
    <row r="62" spans="1:22">
      <c r="A62" s="78"/>
      <c r="B62" s="78"/>
      <c r="C62" s="78"/>
      <c r="D62" s="78"/>
      <c r="E62" s="78"/>
      <c r="F62" s="78"/>
      <c r="G62" s="78"/>
      <c r="H62" s="78"/>
      <c r="I62" s="78"/>
      <c r="J62" s="78"/>
      <c r="K62" s="78"/>
      <c r="L62" s="78"/>
      <c r="M62" s="78"/>
      <c r="N62" s="78"/>
      <c r="O62" s="78"/>
      <c r="P62" s="78"/>
      <c r="Q62" s="11"/>
      <c r="R62" s="11"/>
      <c r="S62" s="11"/>
      <c r="T62" s="11"/>
      <c r="U62" s="11"/>
      <c r="V62" s="11"/>
    </row>
    <row r="63" spans="1:22">
      <c r="A63" s="78"/>
      <c r="B63" s="78"/>
      <c r="C63" s="78"/>
      <c r="D63" s="78"/>
      <c r="E63" s="78"/>
      <c r="F63" s="78"/>
      <c r="G63" s="78"/>
      <c r="H63" s="78"/>
      <c r="I63" s="78"/>
      <c r="J63" s="78"/>
      <c r="K63" s="78"/>
      <c r="L63" s="78"/>
      <c r="M63" s="78"/>
      <c r="N63" s="78"/>
      <c r="O63" s="78"/>
      <c r="P63" s="78"/>
      <c r="Q63" s="11"/>
      <c r="R63" s="11"/>
      <c r="S63" s="11"/>
      <c r="T63" s="11"/>
      <c r="U63" s="11"/>
      <c r="V63" s="11"/>
    </row>
    <row r="64" spans="1:22">
      <c r="A64" s="78" t="s">
        <v>569</v>
      </c>
      <c r="B64" s="78" t="s">
        <v>1</v>
      </c>
      <c r="C64" s="78">
        <f ca="1">(0-C56/C50)*(F52/(C56*(D54-C51)))+C51</f>
        <v>-0.29118015487005333</v>
      </c>
      <c r="D64" s="78"/>
      <c r="E64" s="588" t="s">
        <v>738</v>
      </c>
      <c r="F64" s="78" t="str">
        <f ca="1">IF(C64&lt;-E3/2,"Uncracked","Craked")</f>
        <v>Craked</v>
      </c>
      <c r="G64" s="78"/>
      <c r="H64" s="78"/>
      <c r="I64" s="78"/>
      <c r="J64" s="78"/>
      <c r="K64" s="78"/>
      <c r="L64" s="78"/>
      <c r="M64" s="78"/>
      <c r="N64" s="78"/>
      <c r="O64" s="78"/>
      <c r="P64" s="78"/>
      <c r="Q64" s="11"/>
      <c r="R64" s="11"/>
      <c r="S64" s="11"/>
      <c r="T64" s="11"/>
      <c r="U64" s="11"/>
      <c r="V64" s="11"/>
    </row>
    <row r="65" spans="1:22">
      <c r="A65" s="78"/>
      <c r="B65" s="78"/>
      <c r="C65" s="78"/>
      <c r="D65" s="78"/>
      <c r="E65" s="78"/>
      <c r="F65" s="78"/>
      <c r="G65" s="78"/>
      <c r="H65" s="78"/>
      <c r="I65" s="78"/>
      <c r="J65" s="78"/>
      <c r="K65" s="78"/>
      <c r="L65" s="78"/>
      <c r="M65" s="78"/>
      <c r="N65" s="78"/>
      <c r="O65" s="78"/>
      <c r="P65" s="78"/>
      <c r="Q65" s="11"/>
      <c r="R65" s="11"/>
      <c r="S65" s="11"/>
      <c r="T65" s="11"/>
      <c r="U65" s="11"/>
      <c r="V65" s="11"/>
    </row>
    <row r="66" spans="1:22">
      <c r="A66" s="427" t="s">
        <v>125</v>
      </c>
      <c r="B66" s="8"/>
      <c r="C66" s="8"/>
      <c r="D66" s="8"/>
      <c r="E66" s="8"/>
      <c r="F66" s="8"/>
      <c r="G66" s="8"/>
      <c r="H66" s="8"/>
      <c r="I66" s="8"/>
      <c r="J66" s="8"/>
      <c r="K66" s="8"/>
      <c r="L66" s="8"/>
      <c r="M66" s="78"/>
      <c r="N66" s="78"/>
      <c r="O66" s="78"/>
      <c r="P66" s="78"/>
      <c r="Q66" s="11"/>
      <c r="R66" s="11"/>
      <c r="S66" s="11"/>
      <c r="T66" s="11"/>
      <c r="U66" s="11"/>
      <c r="V66" s="11"/>
    </row>
    <row r="67" spans="1:22">
      <c r="A67" s="8" t="s">
        <v>852</v>
      </c>
      <c r="B67" s="8"/>
      <c r="C67" s="8"/>
      <c r="D67" s="8"/>
      <c r="E67" s="8"/>
      <c r="F67" s="8"/>
      <c r="G67" s="8"/>
      <c r="H67" s="8"/>
      <c r="I67" s="8"/>
      <c r="J67" s="8"/>
      <c r="K67" s="8"/>
      <c r="L67" s="8"/>
      <c r="M67" s="78"/>
      <c r="N67" s="78"/>
      <c r="O67" s="78"/>
      <c r="P67" s="78"/>
      <c r="Q67" s="11"/>
      <c r="R67" s="11"/>
      <c r="S67" s="11"/>
      <c r="T67" s="11"/>
      <c r="U67" s="11"/>
      <c r="V67" s="11"/>
    </row>
    <row r="68" spans="1:22">
      <c r="A68" s="8" t="s">
        <v>853</v>
      </c>
      <c r="B68" s="8"/>
      <c r="C68" s="8" t="s">
        <v>1</v>
      </c>
      <c r="D68" s="8">
        <f ca="1">E18</f>
        <v>-0.29118015487005333</v>
      </c>
      <c r="E68" s="8" t="s">
        <v>2</v>
      </c>
      <c r="F68" s="8"/>
      <c r="G68" s="8"/>
      <c r="H68" s="8"/>
      <c r="I68" s="8"/>
      <c r="J68" s="8"/>
      <c r="K68" s="8"/>
      <c r="L68" s="8"/>
      <c r="M68" s="78"/>
      <c r="N68" s="78"/>
      <c r="O68" s="78"/>
      <c r="P68" s="78"/>
      <c r="Q68" s="11"/>
      <c r="R68" s="11"/>
      <c r="S68" s="11"/>
      <c r="T68" s="11"/>
      <c r="U68" s="11"/>
      <c r="V68" s="11"/>
    </row>
    <row r="69" spans="1:22">
      <c r="A69" s="8"/>
      <c r="B69" s="8"/>
      <c r="C69" s="8"/>
      <c r="D69" s="8"/>
      <c r="E69" s="8"/>
      <c r="F69" s="8"/>
      <c r="G69" s="8"/>
      <c r="H69" s="8"/>
      <c r="I69" s="8"/>
      <c r="J69" s="8"/>
      <c r="K69" s="8"/>
      <c r="L69" s="8"/>
      <c r="M69" s="78"/>
      <c r="N69" s="78"/>
      <c r="O69" s="78"/>
      <c r="P69" s="78"/>
      <c r="Q69" s="11"/>
      <c r="R69" s="11"/>
      <c r="S69" s="11"/>
      <c r="T69" s="11"/>
      <c r="U69" s="11"/>
      <c r="V69" s="11"/>
    </row>
    <row r="70" spans="1:22">
      <c r="A70" s="8"/>
      <c r="B70" s="8"/>
      <c r="C70" s="8"/>
      <c r="D70" s="8"/>
      <c r="E70" s="8"/>
      <c r="F70" s="8"/>
      <c r="G70" s="8"/>
      <c r="H70" s="8"/>
      <c r="I70" s="8"/>
      <c r="J70" s="8"/>
      <c r="K70" s="8"/>
      <c r="L70" s="8"/>
      <c r="M70" s="78"/>
      <c r="N70" s="78"/>
      <c r="O70" s="78"/>
      <c r="P70" s="78"/>
      <c r="Q70" s="11"/>
      <c r="R70" s="11"/>
      <c r="S70" s="11"/>
      <c r="T70" s="11"/>
      <c r="U70" s="11"/>
      <c r="V70" s="11"/>
    </row>
    <row r="71" spans="1:22">
      <c r="A71" s="8"/>
      <c r="B71" s="8"/>
      <c r="C71" s="8"/>
      <c r="D71" s="8"/>
      <c r="E71" s="8"/>
      <c r="F71" s="8"/>
      <c r="G71" s="8"/>
      <c r="H71" s="8"/>
      <c r="I71" s="8"/>
      <c r="J71" s="8"/>
      <c r="K71" s="8"/>
      <c r="L71" s="8"/>
      <c r="M71" s="78"/>
      <c r="N71" s="78"/>
      <c r="O71" s="78"/>
      <c r="P71" s="78"/>
      <c r="Q71" s="11"/>
      <c r="R71" s="11"/>
      <c r="S71" s="11"/>
      <c r="T71" s="11"/>
      <c r="U71" s="11"/>
      <c r="V71" s="11"/>
    </row>
    <row r="72" spans="1:22">
      <c r="A72" s="8"/>
      <c r="B72" s="8"/>
      <c r="C72" s="8"/>
      <c r="D72" s="8"/>
      <c r="E72" s="8"/>
      <c r="F72" s="8"/>
      <c r="G72" s="8"/>
      <c r="H72" s="8"/>
      <c r="I72" s="8"/>
      <c r="J72" s="8"/>
      <c r="K72" s="8"/>
      <c r="L72" s="8"/>
      <c r="M72" s="78"/>
      <c r="N72" s="78"/>
      <c r="O72" s="78"/>
      <c r="P72" s="78"/>
      <c r="Q72" s="11"/>
      <c r="R72" s="11"/>
      <c r="S72" s="11"/>
      <c r="T72" s="11"/>
      <c r="U72" s="11"/>
      <c r="V72" s="11"/>
    </row>
    <row r="73" spans="1:22" ht="16.5">
      <c r="A73" s="587" t="s">
        <v>872</v>
      </c>
      <c r="B73" s="526" t="s">
        <v>1</v>
      </c>
      <c r="C73" s="8">
        <f ca="1">(C56/C50+(C56*(D54-C51)/F52)*(D68-C51))/1000000</f>
        <v>1.1641532182693481E-16</v>
      </c>
      <c r="D73" s="8" t="s">
        <v>854</v>
      </c>
      <c r="E73" s="8"/>
      <c r="F73" s="427" t="str">
        <f ca="1">IF(AND(C73&lt;0.01,C73&gt;-0.01),"OK","NOT OK")</f>
        <v>OK</v>
      </c>
      <c r="G73" s="8"/>
      <c r="H73" s="8"/>
      <c r="I73" s="8"/>
      <c r="J73" s="8"/>
      <c r="K73" s="8"/>
      <c r="L73" s="8"/>
      <c r="M73" s="78"/>
      <c r="N73" s="78"/>
      <c r="O73" s="78"/>
      <c r="P73" s="78"/>
      <c r="Q73" s="11"/>
      <c r="R73" s="11"/>
      <c r="S73" s="11"/>
      <c r="T73" s="11"/>
      <c r="U73" s="11"/>
      <c r="V73" s="11"/>
    </row>
    <row r="74" spans="1:22">
      <c r="A74" s="8"/>
      <c r="B74" s="8"/>
      <c r="C74" s="8"/>
      <c r="D74" s="8"/>
      <c r="E74" s="8"/>
      <c r="F74" s="8"/>
      <c r="G74" s="8"/>
      <c r="H74" s="8"/>
      <c r="I74" s="8"/>
      <c r="J74" s="8"/>
      <c r="K74" s="8"/>
      <c r="L74" s="8"/>
      <c r="M74" s="78"/>
      <c r="N74" s="78"/>
      <c r="O74" s="78"/>
      <c r="P74" s="78"/>
      <c r="Q74" s="11"/>
      <c r="R74" s="11"/>
      <c r="S74" s="11"/>
      <c r="T74" s="11"/>
      <c r="U74" s="11"/>
      <c r="V74" s="11"/>
    </row>
    <row r="75" spans="1:22">
      <c r="A75" s="119" t="s">
        <v>855</v>
      </c>
      <c r="B75" s="8"/>
      <c r="C75" s="8"/>
      <c r="D75" s="8"/>
      <c r="E75" s="8"/>
      <c r="F75" s="8"/>
      <c r="G75" s="8"/>
      <c r="H75" s="8"/>
      <c r="I75" s="8"/>
      <c r="J75" s="8"/>
      <c r="K75" s="8"/>
      <c r="L75" s="8"/>
      <c r="M75" s="78"/>
      <c r="N75" s="78"/>
      <c r="O75" s="78"/>
      <c r="P75" s="78"/>
      <c r="Q75" s="11"/>
      <c r="R75" s="11"/>
      <c r="S75" s="11"/>
      <c r="T75" s="11"/>
      <c r="U75" s="11"/>
      <c r="V75" s="11"/>
    </row>
    <row r="76" spans="1:22">
      <c r="A76" s="8" t="s">
        <v>750</v>
      </c>
      <c r="B76" s="8"/>
      <c r="C76" s="7"/>
      <c r="D76" s="8" t="s">
        <v>1</v>
      </c>
      <c r="E76" s="8">
        <f>(E15*PI()*E10)/1000000/(PI()*E3^2/4)*100</f>
        <v>1.0850694444444444</v>
      </c>
      <c r="F76" s="8" t="s">
        <v>360</v>
      </c>
      <c r="G76" s="8"/>
      <c r="H76" s="431"/>
      <c r="I76" s="431"/>
      <c r="J76" s="8"/>
      <c r="K76" s="8"/>
      <c r="L76" s="8"/>
      <c r="M76" s="78"/>
      <c r="N76" s="78"/>
      <c r="O76" s="78"/>
      <c r="Q76" s="11"/>
      <c r="R76" s="11"/>
      <c r="S76" s="11"/>
      <c r="T76" s="11"/>
      <c r="U76" s="11"/>
      <c r="V76" s="11"/>
    </row>
    <row r="77" spans="1:22">
      <c r="A77" s="8" t="s">
        <v>856</v>
      </c>
      <c r="B77" s="8"/>
      <c r="C77" s="8"/>
      <c r="D77" s="8"/>
      <c r="E77" s="8"/>
      <c r="F77" s="8"/>
      <c r="G77" s="8"/>
      <c r="H77" s="8"/>
      <c r="I77" s="8"/>
      <c r="J77" s="8"/>
      <c r="K77" s="8"/>
      <c r="L77" s="8"/>
      <c r="M77" s="78"/>
      <c r="N77" s="78"/>
      <c r="O77" s="78"/>
      <c r="Q77" s="11"/>
      <c r="R77" s="11"/>
      <c r="S77" s="11"/>
      <c r="T77" s="11"/>
      <c r="U77" s="11"/>
      <c r="V77" s="11"/>
    </row>
    <row r="78" spans="1:22">
      <c r="A78" s="8" t="s">
        <v>170</v>
      </c>
      <c r="B78" s="8" t="s">
        <v>1</v>
      </c>
      <c r="C78" s="8">
        <f>E3/2</f>
        <v>0.6</v>
      </c>
      <c r="D78" s="8" t="s">
        <v>2</v>
      </c>
      <c r="E78" s="8"/>
      <c r="F78" s="8"/>
      <c r="G78" s="8"/>
      <c r="H78" s="8"/>
      <c r="I78" s="8"/>
      <c r="J78" s="8"/>
      <c r="K78" s="8"/>
      <c r="L78" s="8"/>
      <c r="M78" s="78"/>
      <c r="N78" s="78"/>
      <c r="O78" s="78"/>
      <c r="Q78" s="11"/>
      <c r="R78" s="11"/>
      <c r="S78" s="11"/>
      <c r="T78" s="11"/>
      <c r="U78" s="11"/>
      <c r="V78" s="11"/>
    </row>
    <row r="79" spans="1:22">
      <c r="A79" s="8" t="s">
        <v>613</v>
      </c>
      <c r="B79" s="526" t="s">
        <v>1</v>
      </c>
      <c r="C79" s="8">
        <f ca="1">(C56/C50+(C56*(D54-C51)/F52)*(C78-C51))/1000000</f>
        <v>2.2309447936328506</v>
      </c>
      <c r="D79" s="8" t="s">
        <v>857</v>
      </c>
      <c r="E79" s="8"/>
      <c r="F79" s="8"/>
      <c r="G79" s="8"/>
      <c r="H79" s="8"/>
      <c r="I79" s="8"/>
      <c r="J79" s="8"/>
      <c r="K79" s="8"/>
      <c r="L79" s="8"/>
      <c r="M79" s="78"/>
      <c r="N79" s="78"/>
      <c r="O79" s="78"/>
      <c r="Q79" s="11"/>
      <c r="R79" s="11"/>
      <c r="S79" s="11"/>
      <c r="T79" s="11"/>
      <c r="U79" s="11"/>
      <c r="V79" s="11"/>
    </row>
    <row r="80" spans="1:22">
      <c r="A80" s="8" t="s">
        <v>858</v>
      </c>
      <c r="B80" s="8"/>
      <c r="C80" s="8"/>
      <c r="D80" s="8"/>
      <c r="E80" s="8"/>
      <c r="F80" s="8"/>
      <c r="G80" s="8"/>
      <c r="H80" s="8"/>
      <c r="I80" s="8"/>
      <c r="J80" s="8"/>
      <c r="K80" s="8"/>
      <c r="L80" s="8"/>
      <c r="M80" s="78"/>
      <c r="N80" s="78"/>
      <c r="O80" s="78"/>
      <c r="Q80" s="11"/>
      <c r="R80" s="11"/>
      <c r="S80" s="11"/>
      <c r="T80" s="11"/>
      <c r="U80" s="11"/>
      <c r="V80" s="11"/>
    </row>
    <row r="81" spans="1:22">
      <c r="A81" s="8" t="s">
        <v>170</v>
      </c>
      <c r="B81" s="8" t="s">
        <v>1</v>
      </c>
      <c r="C81" s="8">
        <f>-E10/2</f>
        <v>-0.50249999999999995</v>
      </c>
      <c r="D81" s="8" t="s">
        <v>2</v>
      </c>
      <c r="E81" s="8"/>
      <c r="F81" s="8"/>
      <c r="G81" s="8"/>
      <c r="H81" s="8"/>
      <c r="I81" s="8"/>
      <c r="J81" s="8"/>
      <c r="K81" s="8"/>
      <c r="L81" s="8"/>
      <c r="M81" s="78"/>
      <c r="N81" s="78"/>
      <c r="O81" s="78"/>
      <c r="Q81" s="11"/>
      <c r="R81" s="11"/>
      <c r="S81" s="11"/>
      <c r="T81" s="11"/>
      <c r="U81" s="11"/>
      <c r="V81" s="11"/>
    </row>
    <row r="82" spans="1:22">
      <c r="A82" s="8" t="s">
        <v>613</v>
      </c>
      <c r="B82" s="526" t="s">
        <v>1</v>
      </c>
      <c r="C82" s="8">
        <f ca="1">(C56/C50+(C56*(D54-C51)/F52)*(C81-C51))/1000000*E7</f>
        <v>-3.7953653482783052</v>
      </c>
      <c r="D82" s="8" t="s">
        <v>854</v>
      </c>
      <c r="E82" s="8"/>
      <c r="F82" s="8"/>
      <c r="G82" s="8"/>
      <c r="H82" s="8"/>
      <c r="I82" s="8"/>
      <c r="J82" s="8"/>
      <c r="K82" s="8"/>
      <c r="L82" s="8"/>
      <c r="M82" s="78"/>
      <c r="N82" s="78"/>
      <c r="O82" s="78"/>
      <c r="Q82" s="11"/>
      <c r="R82" s="11"/>
      <c r="S82" s="11"/>
      <c r="T82" s="11"/>
      <c r="U82" s="11"/>
      <c r="V82" s="11"/>
    </row>
    <row r="83" spans="1:22">
      <c r="Q83" s="11"/>
      <c r="R83" s="11"/>
      <c r="S83" s="11"/>
      <c r="T83" s="11"/>
      <c r="U83" s="11"/>
      <c r="V83" s="11"/>
    </row>
    <row r="84" spans="1:22">
      <c r="Q84" s="11"/>
      <c r="R84" s="11"/>
      <c r="S84" s="11"/>
      <c r="T84" s="11"/>
      <c r="U84" s="11"/>
      <c r="V84" s="11"/>
    </row>
    <row r="85" spans="1:22">
      <c r="Q85" s="11"/>
      <c r="R85" s="11"/>
      <c r="S85" s="11"/>
      <c r="T85" s="11"/>
      <c r="U85" s="11"/>
      <c r="V85" s="11"/>
    </row>
    <row r="86" spans="1:22">
      <c r="Q86" s="11"/>
      <c r="R86" s="11"/>
      <c r="S86" s="11"/>
      <c r="T86" s="11"/>
      <c r="U86" s="11"/>
      <c r="V86" s="11"/>
    </row>
    <row r="87" spans="1:22">
      <c r="Q87" s="11"/>
      <c r="R87" s="11"/>
      <c r="S87" s="11"/>
      <c r="T87" s="11"/>
      <c r="U87" s="11"/>
      <c r="V87" s="11"/>
    </row>
    <row r="88" spans="1:22">
      <c r="Q88" s="11"/>
      <c r="R88" s="11"/>
      <c r="S88" s="11"/>
      <c r="T88" s="11"/>
      <c r="U88" s="11"/>
      <c r="V88" s="11"/>
    </row>
    <row r="89" spans="1:22">
      <c r="Q89" s="11"/>
      <c r="R89" s="11"/>
      <c r="S89" s="11"/>
      <c r="T89" s="11"/>
      <c r="U89" s="11"/>
      <c r="V89" s="11"/>
    </row>
    <row r="90" spans="1:22">
      <c r="Q90" s="11"/>
      <c r="R90" s="11"/>
      <c r="S90" s="11"/>
      <c r="T90" s="11"/>
      <c r="U90" s="11"/>
      <c r="V90" s="11"/>
    </row>
    <row r="91" spans="1:22">
      <c r="Q91" s="11"/>
      <c r="R91" s="11"/>
      <c r="S91" s="11"/>
      <c r="T91" s="11"/>
      <c r="U91" s="11"/>
      <c r="V91" s="11"/>
    </row>
    <row r="92" spans="1:22">
      <c r="Q92" s="11"/>
      <c r="R92" s="11"/>
      <c r="S92" s="11"/>
      <c r="T92" s="11"/>
      <c r="U92" s="11"/>
      <c r="V92" s="11"/>
    </row>
    <row r="93" spans="1:22">
      <c r="Q93" s="11"/>
      <c r="R93" s="11"/>
      <c r="S93" s="11"/>
      <c r="T93" s="11"/>
      <c r="U93" s="11"/>
      <c r="V93" s="11"/>
    </row>
    <row r="94" spans="1:22">
      <c r="Q94" s="11"/>
      <c r="R94" s="11"/>
      <c r="S94" s="11"/>
      <c r="T94" s="11"/>
      <c r="U94" s="11"/>
      <c r="V94" s="11"/>
    </row>
  </sheetData>
  <mergeCells count="4">
    <mergeCell ref="L35:N35"/>
    <mergeCell ref="H36:J36"/>
    <mergeCell ref="L36:N36"/>
    <mergeCell ref="B49:D49"/>
  </mergeCells>
  <pageMargins left="0.70866141732283505" right="0.70866141732283505" top="0.74803149606299202" bottom="0.74803149606299202" header="0.31496062992126" footer="0.31496062992126"/>
  <pageSetup paperSize="9" scale="83" orientation="portrait" blackAndWhite="1" r:id="rId1"/>
  <rowBreaks count="1" manualBreakCount="1">
    <brk id="47" max="13" man="1"/>
  </rowBreaks>
  <drawing r:id="rId2"/>
</worksheet>
</file>

<file path=xl/worksheets/sheet37.xml><?xml version="1.0" encoding="utf-8"?>
<worksheet xmlns="http://schemas.openxmlformats.org/spreadsheetml/2006/main" xmlns:r="http://schemas.openxmlformats.org/officeDocument/2006/relationships">
  <sheetPr codeName="Sheet48">
    <tabColor theme="5" tint="0.39997558519241921"/>
  </sheetPr>
  <dimension ref="A1:X112"/>
  <sheetViews>
    <sheetView view="pageBreakPreview" topLeftCell="A70" zoomScaleSheetLayoutView="100" workbookViewId="0">
      <selection activeCell="M33" sqref="M33"/>
    </sheetView>
  </sheetViews>
  <sheetFormatPr defaultColWidth="7.7109375" defaultRowHeight="15"/>
  <cols>
    <col min="1" max="4" width="7.7109375" style="1"/>
    <col min="5" max="5" width="8.42578125" style="1" bestFit="1" customWidth="1"/>
    <col min="6" max="6" width="7.7109375" style="1"/>
    <col min="7" max="7" width="7.7109375" style="1" customWidth="1"/>
    <col min="8" max="8" width="7.7109375" style="1"/>
    <col min="9" max="10" width="8.85546875" style="1" bestFit="1" customWidth="1"/>
    <col min="11" max="13" width="7.7109375" style="1"/>
    <col min="14" max="15" width="7.7109375" style="528"/>
    <col min="16" max="16384" width="7.7109375" style="1"/>
  </cols>
  <sheetData>
    <row r="1" spans="1:20">
      <c r="A1" s="9" t="s">
        <v>1460</v>
      </c>
    </row>
    <row r="2" spans="1:20">
      <c r="A2" s="9"/>
    </row>
    <row r="3" spans="1:20">
      <c r="A3" s="685"/>
      <c r="B3" s="24"/>
      <c r="C3" s="24"/>
      <c r="D3" s="24"/>
      <c r="E3" s="24"/>
      <c r="F3" s="24"/>
      <c r="G3" s="21"/>
      <c r="H3" s="1742" t="s">
        <v>1461</v>
      </c>
      <c r="I3" s="1742"/>
      <c r="J3" s="1742"/>
      <c r="K3" s="1742"/>
      <c r="L3" s="924"/>
    </row>
    <row r="4" spans="1:20">
      <c r="A4" s="1045"/>
      <c r="B4" s="15"/>
      <c r="C4" s="15"/>
      <c r="D4" s="15"/>
      <c r="E4" s="15"/>
      <c r="F4" s="15"/>
      <c r="G4" s="22"/>
      <c r="H4" s="30" t="s">
        <v>1463</v>
      </c>
      <c r="I4" s="32"/>
      <c r="J4" s="30" t="s">
        <v>1464</v>
      </c>
      <c r="K4" s="32"/>
      <c r="L4" s="26"/>
    </row>
    <row r="5" spans="1:20" ht="18">
      <c r="A5" s="162" t="s">
        <v>183</v>
      </c>
      <c r="B5" s="163"/>
      <c r="C5" s="163"/>
      <c r="D5" s="163"/>
      <c r="E5" s="26"/>
      <c r="F5" s="163" t="s">
        <v>184</v>
      </c>
      <c r="G5" s="164" t="s">
        <v>1</v>
      </c>
      <c r="H5" s="1010">
        <f>SEIS!I46</f>
        <v>0.12</v>
      </c>
      <c r="I5" s="27"/>
      <c r="J5" s="1010">
        <f>SEIS!I51</f>
        <v>0.16200000000000001</v>
      </c>
      <c r="K5" s="27"/>
      <c r="L5" s="26"/>
    </row>
    <row r="6" spans="1:20" ht="18">
      <c r="A6" s="162" t="s">
        <v>185</v>
      </c>
      <c r="B6" s="26"/>
      <c r="C6" s="26"/>
      <c r="D6" s="26"/>
      <c r="E6" s="26"/>
      <c r="F6" s="163" t="s">
        <v>186</v>
      </c>
      <c r="G6" s="164" t="s">
        <v>1</v>
      </c>
      <c r="H6" s="1010">
        <f>SEIS!I47</f>
        <v>0.12</v>
      </c>
      <c r="I6" s="27"/>
      <c r="J6" s="1010">
        <f>SEIS!I52</f>
        <v>0.16200000000000001</v>
      </c>
      <c r="K6" s="27"/>
      <c r="L6" s="26"/>
    </row>
    <row r="7" spans="1:20" ht="18">
      <c r="A7" s="162" t="s">
        <v>187</v>
      </c>
      <c r="B7" s="26"/>
      <c r="C7" s="26"/>
      <c r="D7" s="26"/>
      <c r="E7" s="26"/>
      <c r="F7" s="163" t="s">
        <v>188</v>
      </c>
      <c r="G7" s="164" t="s">
        <v>1</v>
      </c>
      <c r="H7" s="1010">
        <f>SEIS!I48</f>
        <v>0.08</v>
      </c>
      <c r="I7" s="27"/>
      <c r="J7" s="1010">
        <f>SEIS!I53</f>
        <v>0.10800000000000001</v>
      </c>
      <c r="K7" s="27"/>
      <c r="L7" s="26"/>
    </row>
    <row r="8" spans="1:20">
      <c r="A8" s="165"/>
      <c r="B8" s="15"/>
      <c r="C8" s="15"/>
      <c r="D8" s="15"/>
      <c r="E8" s="15"/>
      <c r="F8" s="15"/>
      <c r="G8" s="22"/>
      <c r="H8" s="28"/>
      <c r="I8" s="22"/>
      <c r="J8" s="28"/>
      <c r="K8" s="22"/>
      <c r="L8" s="26"/>
    </row>
    <row r="9" spans="1:20">
      <c r="A9" s="105"/>
    </row>
    <row r="12" spans="1:20">
      <c r="C12" s="529">
        <f>GEN!E203</f>
        <v>1.9499999999999997</v>
      </c>
      <c r="D12" s="10">
        <f>GEN!F203</f>
        <v>1.2</v>
      </c>
      <c r="F12" s="528">
        <f>GEN!G203</f>
        <v>1.9499999999999997</v>
      </c>
    </row>
    <row r="14" spans="1:20">
      <c r="T14" s="14"/>
    </row>
    <row r="15" spans="1:20">
      <c r="D15" s="254"/>
      <c r="H15" s="529">
        <f>GEN!H146</f>
        <v>1.8</v>
      </c>
    </row>
    <row r="18" spans="1:24">
      <c r="W18" s="327"/>
    </row>
    <row r="20" spans="1:24">
      <c r="X20" s="609"/>
    </row>
    <row r="23" spans="1:24">
      <c r="A23" s="369" t="s">
        <v>1465</v>
      </c>
      <c r="B23" s="7"/>
    </row>
    <row r="24" spans="1:24">
      <c r="A24" s="1743" t="s">
        <v>73</v>
      </c>
      <c r="B24" s="1744" t="s">
        <v>1042</v>
      </c>
      <c r="C24" s="1744"/>
      <c r="D24" s="1744"/>
      <c r="E24" s="1635" t="s">
        <v>1625</v>
      </c>
      <c r="F24" s="1635"/>
      <c r="G24" s="1635"/>
      <c r="H24" s="1635"/>
      <c r="I24" s="1635"/>
      <c r="J24" s="1600"/>
      <c r="M24" s="1599" t="s">
        <v>1626</v>
      </c>
      <c r="N24" s="1635"/>
      <c r="O24" s="1635"/>
      <c r="P24" s="1635"/>
      <c r="Q24" s="1635"/>
      <c r="R24" s="1635"/>
      <c r="S24" s="1635"/>
      <c r="T24" s="1600"/>
    </row>
    <row r="25" spans="1:24" ht="18">
      <c r="A25" s="1743"/>
      <c r="B25" s="1744"/>
      <c r="C25" s="1744"/>
      <c r="D25" s="1744"/>
      <c r="E25" s="1028" t="s">
        <v>23</v>
      </c>
      <c r="F25" s="1029" t="s">
        <v>87</v>
      </c>
      <c r="G25" s="1029" t="s">
        <v>212</v>
      </c>
      <c r="H25" s="1029" t="s">
        <v>83</v>
      </c>
      <c r="I25" s="1029" t="s">
        <v>82</v>
      </c>
      <c r="J25" s="1029" t="s">
        <v>84</v>
      </c>
      <c r="M25" s="1029" t="s">
        <v>23</v>
      </c>
      <c r="N25" s="1033" t="s">
        <v>87</v>
      </c>
      <c r="O25" s="1033" t="s">
        <v>212</v>
      </c>
      <c r="P25" s="1029" t="s">
        <v>83</v>
      </c>
      <c r="Q25" s="1029" t="s">
        <v>82</v>
      </c>
      <c r="R25" s="1029" t="s">
        <v>84</v>
      </c>
      <c r="S25" s="1029" t="s">
        <v>80</v>
      </c>
      <c r="T25" s="1029" t="s">
        <v>81</v>
      </c>
    </row>
    <row r="26" spans="1:24">
      <c r="A26" s="1743"/>
      <c r="B26" s="1744"/>
      <c r="C26" s="1744"/>
      <c r="D26" s="1744"/>
      <c r="E26" s="1028" t="s">
        <v>34</v>
      </c>
      <c r="F26" s="1029" t="s">
        <v>34</v>
      </c>
      <c r="G26" s="1029" t="s">
        <v>34</v>
      </c>
      <c r="H26" s="1029" t="s">
        <v>2</v>
      </c>
      <c r="I26" s="1029" t="s">
        <v>2</v>
      </c>
      <c r="J26" s="1029" t="s">
        <v>2</v>
      </c>
      <c r="M26" s="1029" t="s">
        <v>34</v>
      </c>
      <c r="N26" s="1033" t="s">
        <v>34</v>
      </c>
      <c r="O26" s="1033" t="s">
        <v>34</v>
      </c>
      <c r="P26" s="1029" t="s">
        <v>2</v>
      </c>
      <c r="Q26" s="1029" t="s">
        <v>2</v>
      </c>
      <c r="R26" s="1029" t="s">
        <v>2</v>
      </c>
      <c r="S26" s="1029" t="s">
        <v>77</v>
      </c>
      <c r="T26" s="1029" t="s">
        <v>77</v>
      </c>
    </row>
    <row r="27" spans="1:24">
      <c r="A27" s="1030"/>
      <c r="B27" s="23"/>
      <c r="C27" s="661"/>
      <c r="D27" s="21"/>
      <c r="E27" s="60"/>
      <c r="F27" s="34"/>
      <c r="G27" s="34"/>
      <c r="H27" s="1032"/>
      <c r="I27" s="1032"/>
      <c r="J27" s="1032"/>
      <c r="M27" s="1032"/>
      <c r="N27" s="1035"/>
      <c r="O27" s="1035"/>
      <c r="P27" s="1032"/>
      <c r="Q27" s="1032"/>
      <c r="R27" s="1032"/>
      <c r="S27" s="1031"/>
      <c r="T27" s="1032"/>
    </row>
    <row r="28" spans="1:24">
      <c r="A28" s="923">
        <v>1</v>
      </c>
      <c r="B28" s="112" t="s">
        <v>39</v>
      </c>
      <c r="C28" s="11"/>
      <c r="D28" s="27"/>
      <c r="E28" s="1036">
        <f>GEN!H230</f>
        <v>165.42303866482536</v>
      </c>
      <c r="F28" s="1036"/>
      <c r="G28" s="1037"/>
      <c r="H28" s="1038">
        <f>GEN!I230</f>
        <v>5.4959656538431281</v>
      </c>
      <c r="I28" s="1038">
        <f>GEN!J230</f>
        <v>0</v>
      </c>
      <c r="J28" s="1038">
        <f>GEN!K230</f>
        <v>0</v>
      </c>
      <c r="K28" s="38"/>
      <c r="L28" s="38"/>
      <c r="M28" s="1039">
        <f>E28</f>
        <v>165.42303866482536</v>
      </c>
      <c r="N28" s="1049"/>
      <c r="O28" s="1049"/>
      <c r="P28" s="1039">
        <f>H28-$H$15</f>
        <v>3.6959656538431283</v>
      </c>
      <c r="Q28" s="1039">
        <f>I28</f>
        <v>0</v>
      </c>
      <c r="R28" s="1039">
        <f>J28</f>
        <v>0</v>
      </c>
      <c r="S28" s="159">
        <f>M28*Q28+N28*P28</f>
        <v>0</v>
      </c>
      <c r="T28" s="159">
        <f>M28*R28+O28*P28</f>
        <v>0</v>
      </c>
    </row>
    <row r="29" spans="1:24">
      <c r="A29" s="923"/>
      <c r="B29" s="112"/>
      <c r="C29" s="11"/>
      <c r="D29" s="27"/>
      <c r="E29" s="60"/>
      <c r="F29" s="34"/>
      <c r="G29" s="34"/>
      <c r="H29" s="1035"/>
      <c r="I29" s="1035"/>
      <c r="J29" s="947"/>
      <c r="M29" s="1035"/>
      <c r="N29" s="1035"/>
      <c r="O29" s="1035"/>
      <c r="P29" s="947"/>
      <c r="Q29" s="1035"/>
      <c r="R29" s="947"/>
      <c r="S29" s="159"/>
      <c r="T29" s="159"/>
    </row>
    <row r="30" spans="1:24">
      <c r="A30" s="25" t="s">
        <v>966</v>
      </c>
      <c r="B30" s="25"/>
      <c r="C30" s="11"/>
      <c r="D30" s="27"/>
      <c r="E30" s="60"/>
      <c r="F30" s="34"/>
      <c r="G30" s="34"/>
      <c r="H30" s="1032"/>
      <c r="I30" s="1032"/>
      <c r="J30" s="947"/>
      <c r="M30" s="1032"/>
      <c r="N30" s="1035"/>
      <c r="O30" s="1035"/>
      <c r="P30" s="947"/>
      <c r="Q30" s="1032"/>
      <c r="R30" s="947"/>
      <c r="S30" s="159"/>
      <c r="T30" s="159"/>
    </row>
    <row r="31" spans="1:24">
      <c r="A31" s="923" t="s">
        <v>250</v>
      </c>
      <c r="B31" s="25" t="s">
        <v>967</v>
      </c>
      <c r="C31" s="11"/>
      <c r="D31" s="27"/>
      <c r="E31" s="1041">
        <f>SUP!H19</f>
        <v>230</v>
      </c>
      <c r="F31" s="1040"/>
      <c r="G31" s="1040"/>
      <c r="H31" s="1039">
        <f>SUP!H22</f>
        <v>8.9229207673799316</v>
      </c>
      <c r="I31" s="1039">
        <f>SUP!H20/SUP!H19</f>
        <v>-0.5</v>
      </c>
      <c r="J31" s="1039">
        <f>SUP!H21/SUP!H19</f>
        <v>0</v>
      </c>
      <c r="K31" s="38"/>
      <c r="L31" s="38"/>
      <c r="M31" s="1039">
        <f>E31</f>
        <v>230</v>
      </c>
      <c r="N31" s="1049"/>
      <c r="O31" s="1049"/>
      <c r="P31" s="1039">
        <f>H31-$H$15</f>
        <v>7.1229207673799317</v>
      </c>
      <c r="Q31" s="1039">
        <f t="shared" ref="Q31:R33" si="0">I31</f>
        <v>-0.5</v>
      </c>
      <c r="R31" s="1039">
        <f t="shared" si="0"/>
        <v>0</v>
      </c>
      <c r="S31" s="159">
        <f>M31*Q31+N31*P31</f>
        <v>-115</v>
      </c>
      <c r="T31" s="159">
        <f>M31*R31+O31*P31</f>
        <v>0</v>
      </c>
    </row>
    <row r="32" spans="1:24">
      <c r="A32" s="923" t="s">
        <v>251</v>
      </c>
      <c r="B32" s="25" t="s">
        <v>968</v>
      </c>
      <c r="C32" s="11"/>
      <c r="D32" s="27"/>
      <c r="E32" s="1041">
        <f>SI!H28</f>
        <v>20.660000000000004</v>
      </c>
      <c r="F32" s="1040"/>
      <c r="G32" s="1040"/>
      <c r="H32" s="1039">
        <f>SI!H31</f>
        <v>10.165000000000001</v>
      </c>
      <c r="I32" s="1039">
        <f>SUP!H20/SUP!H19</f>
        <v>-0.5</v>
      </c>
      <c r="J32" s="1039">
        <f>SI!H30/SI!H28</f>
        <v>0</v>
      </c>
      <c r="K32" s="38"/>
      <c r="L32" s="38"/>
      <c r="M32" s="1039">
        <f>E32</f>
        <v>20.660000000000004</v>
      </c>
      <c r="N32" s="1049"/>
      <c r="O32" s="1049"/>
      <c r="P32" s="1039">
        <f>H32-$H$15</f>
        <v>8.3650000000000002</v>
      </c>
      <c r="Q32" s="1039">
        <f t="shared" si="0"/>
        <v>-0.5</v>
      </c>
      <c r="R32" s="1039">
        <f t="shared" si="0"/>
        <v>0</v>
      </c>
      <c r="S32" s="159">
        <f>M32*Q32+N32*P32</f>
        <v>-10.330000000000002</v>
      </c>
      <c r="T32" s="159">
        <f>M32*R32+O32*P32</f>
        <v>0</v>
      </c>
    </row>
    <row r="33" spans="1:20">
      <c r="A33" s="923" t="s">
        <v>97</v>
      </c>
      <c r="B33" s="25" t="s">
        <v>969</v>
      </c>
      <c r="C33" s="11"/>
      <c r="D33" s="27"/>
      <c r="E33" s="457">
        <f>SI!H50</f>
        <v>42</v>
      </c>
      <c r="F33" s="34"/>
      <c r="G33" s="34"/>
      <c r="H33" s="480">
        <f>SI!H53</f>
        <v>9.7900000000000009</v>
      </c>
      <c r="I33" s="480">
        <f>SI!H51/SI!H50</f>
        <v>-0.35377380952380949</v>
      </c>
      <c r="J33" s="915">
        <f>SI!H52/SI!H50</f>
        <v>0</v>
      </c>
      <c r="K33" s="38"/>
      <c r="L33" s="38"/>
      <c r="M33" s="1039">
        <f>E33</f>
        <v>42</v>
      </c>
      <c r="N33" s="1049"/>
      <c r="O33" s="1049"/>
      <c r="P33" s="1039">
        <f>H33-$H$15</f>
        <v>7.9900000000000011</v>
      </c>
      <c r="Q33" s="1039">
        <f t="shared" si="0"/>
        <v>-0.35377380952380949</v>
      </c>
      <c r="R33" s="1039">
        <f t="shared" si="0"/>
        <v>0</v>
      </c>
      <c r="S33" s="159">
        <f>M33*Q33+N33*P33</f>
        <v>-14.858499999999999</v>
      </c>
      <c r="T33" s="159">
        <f>M33*R33+O33*P33</f>
        <v>0</v>
      </c>
    </row>
    <row r="34" spans="1:20">
      <c r="A34" s="335" t="s">
        <v>973</v>
      </c>
      <c r="B34" s="25"/>
      <c r="C34" s="11"/>
      <c r="D34" s="27"/>
      <c r="E34" s="457"/>
      <c r="F34" s="34"/>
      <c r="G34" s="34"/>
      <c r="H34" s="480"/>
      <c r="I34" s="480"/>
      <c r="J34" s="915"/>
      <c r="K34" s="38"/>
      <c r="L34" s="38"/>
      <c r="M34" s="480"/>
      <c r="N34" s="1035"/>
      <c r="O34" s="1035"/>
      <c r="P34" s="915"/>
      <c r="Q34" s="480"/>
      <c r="R34" s="915"/>
      <c r="S34" s="159"/>
      <c r="T34" s="159"/>
    </row>
    <row r="35" spans="1:20">
      <c r="A35" s="923" t="s">
        <v>250</v>
      </c>
      <c r="B35" s="25" t="s">
        <v>970</v>
      </c>
      <c r="C35" s="11"/>
      <c r="D35" s="27"/>
      <c r="E35" s="457">
        <f>SUP!J19</f>
        <v>230</v>
      </c>
      <c r="F35" s="34"/>
      <c r="G35" s="34"/>
      <c r="H35" s="480">
        <f>SUP!J22</f>
        <v>8.9229207673799316</v>
      </c>
      <c r="I35" s="480">
        <f>SUP!J20/SUP!J19</f>
        <v>0.5</v>
      </c>
      <c r="J35" s="915">
        <f>SUP!J21/SUP!J19</f>
        <v>0</v>
      </c>
      <c r="K35" s="38"/>
      <c r="L35" s="38"/>
      <c r="M35" s="1039">
        <f>E35</f>
        <v>230</v>
      </c>
      <c r="N35" s="1049"/>
      <c r="O35" s="1049"/>
      <c r="P35" s="1039">
        <f>H35-$H$15</f>
        <v>7.1229207673799317</v>
      </c>
      <c r="Q35" s="1039">
        <f t="shared" ref="Q35:R37" si="1">I35</f>
        <v>0.5</v>
      </c>
      <c r="R35" s="1039">
        <f t="shared" si="1"/>
        <v>0</v>
      </c>
      <c r="S35" s="159">
        <f>M35*Q35+N35*P35</f>
        <v>115</v>
      </c>
      <c r="T35" s="159">
        <f>M35*R35+O35*P35</f>
        <v>0</v>
      </c>
    </row>
    <row r="36" spans="1:20">
      <c r="A36" s="923" t="s">
        <v>251</v>
      </c>
      <c r="B36" s="25" t="s">
        <v>971</v>
      </c>
      <c r="C36" s="11"/>
      <c r="D36" s="27"/>
      <c r="E36" s="457">
        <f>SI!J28</f>
        <v>20.660000000000004</v>
      </c>
      <c r="F36" s="34"/>
      <c r="G36" s="34"/>
      <c r="H36" s="480">
        <f>SI!J31</f>
        <v>10.165000000000001</v>
      </c>
      <c r="I36" s="480">
        <f>SI!J29/SI!J28</f>
        <v>0.5</v>
      </c>
      <c r="J36" s="915">
        <f>SI!J30/SI!J28</f>
        <v>0</v>
      </c>
      <c r="K36" s="38"/>
      <c r="L36" s="38"/>
      <c r="M36" s="1039">
        <f>E36</f>
        <v>20.660000000000004</v>
      </c>
      <c r="N36" s="1049"/>
      <c r="O36" s="1049"/>
      <c r="P36" s="1039">
        <f>H36-$H$15</f>
        <v>8.3650000000000002</v>
      </c>
      <c r="Q36" s="1039">
        <f t="shared" si="1"/>
        <v>0.5</v>
      </c>
      <c r="R36" s="1039">
        <f t="shared" si="1"/>
        <v>0</v>
      </c>
      <c r="S36" s="159">
        <f>M36*Q36+N36*P36</f>
        <v>10.330000000000002</v>
      </c>
      <c r="T36" s="159">
        <f>M36*R36+O36*P36</f>
        <v>0</v>
      </c>
    </row>
    <row r="37" spans="1:20">
      <c r="A37" s="923" t="s">
        <v>97</v>
      </c>
      <c r="B37" s="25" t="s">
        <v>972</v>
      </c>
      <c r="C37" s="11"/>
      <c r="D37" s="27"/>
      <c r="E37" s="457">
        <f>SI!J50</f>
        <v>42</v>
      </c>
      <c r="F37" s="34"/>
      <c r="G37" s="34"/>
      <c r="H37" s="480">
        <f>SI!J53</f>
        <v>9.7900000000000009</v>
      </c>
      <c r="I37" s="480">
        <f>SI!J51/SI!J50</f>
        <v>0.35377380952380949</v>
      </c>
      <c r="J37" s="915">
        <f>SI!J52/SI!J50</f>
        <v>0</v>
      </c>
      <c r="K37" s="38"/>
      <c r="L37" s="38"/>
      <c r="M37" s="1039">
        <f>E37</f>
        <v>42</v>
      </c>
      <c r="N37" s="1049"/>
      <c r="O37" s="1049"/>
      <c r="P37" s="1039">
        <f>H37-$H$15</f>
        <v>7.9900000000000011</v>
      </c>
      <c r="Q37" s="1039">
        <f t="shared" si="1"/>
        <v>0.35377380952380949</v>
      </c>
      <c r="R37" s="1039">
        <f t="shared" si="1"/>
        <v>0</v>
      </c>
      <c r="S37" s="159">
        <f>M37*Q37+N37*P37</f>
        <v>14.858499999999999</v>
      </c>
      <c r="T37" s="159">
        <f>M37*R37+O37*P37</f>
        <v>0</v>
      </c>
    </row>
    <row r="38" spans="1:20">
      <c r="A38" s="923"/>
      <c r="B38" s="112"/>
      <c r="C38" s="11"/>
      <c r="D38" s="27"/>
      <c r="E38" s="457"/>
      <c r="F38" s="34"/>
      <c r="G38" s="34"/>
      <c r="H38" s="480"/>
      <c r="I38" s="480"/>
      <c r="J38" s="915"/>
      <c r="K38" s="38"/>
      <c r="L38" s="38"/>
      <c r="M38" s="480"/>
      <c r="N38" s="1035"/>
      <c r="O38" s="1035"/>
      <c r="P38" s="915"/>
      <c r="Q38" s="480"/>
      <c r="R38" s="915"/>
      <c r="S38" s="159"/>
      <c r="T38" s="159"/>
    </row>
    <row r="39" spans="1:20">
      <c r="A39" s="25" t="s">
        <v>974</v>
      </c>
      <c r="B39" s="25"/>
      <c r="C39" s="26"/>
      <c r="D39" s="27"/>
      <c r="E39" s="27"/>
      <c r="F39" s="34"/>
      <c r="G39" s="34"/>
      <c r="H39" s="480"/>
      <c r="I39" s="480"/>
      <c r="J39" s="915"/>
      <c r="K39" s="38"/>
      <c r="L39" s="38"/>
      <c r="M39" s="480"/>
      <c r="N39" s="1035"/>
      <c r="O39" s="1035"/>
      <c r="P39" s="915"/>
      <c r="Q39" s="480"/>
      <c r="R39" s="915"/>
      <c r="S39" s="159"/>
      <c r="T39" s="159"/>
    </row>
    <row r="40" spans="1:20">
      <c r="A40" s="25" t="s">
        <v>975</v>
      </c>
      <c r="B40" s="25"/>
      <c r="C40" s="26"/>
      <c r="D40" s="27"/>
      <c r="E40" s="27"/>
      <c r="F40" s="34"/>
      <c r="G40" s="34"/>
      <c r="H40" s="480"/>
      <c r="I40" s="480"/>
      <c r="J40" s="915"/>
      <c r="K40" s="38"/>
      <c r="L40" s="38"/>
      <c r="M40" s="480"/>
      <c r="N40" s="1035"/>
      <c r="O40" s="1035"/>
      <c r="P40" s="915"/>
      <c r="Q40" s="480"/>
      <c r="R40" s="915"/>
      <c r="S40" s="159"/>
      <c r="T40" s="159"/>
    </row>
    <row r="41" spans="1:20">
      <c r="A41" s="25" t="s">
        <v>976</v>
      </c>
      <c r="B41" s="25" t="s">
        <v>978</v>
      </c>
      <c r="C41" s="26"/>
      <c r="D41" s="27"/>
      <c r="E41" s="1044">
        <f>LL!H60</f>
        <v>65.160399999999996</v>
      </c>
      <c r="F41" s="1032"/>
      <c r="G41" s="1032"/>
      <c r="H41" s="480">
        <f>LL!H65</f>
        <v>10.965</v>
      </c>
      <c r="I41" s="480">
        <f>LL!H61</f>
        <v>-0.5</v>
      </c>
      <c r="J41" s="915">
        <f>LL!H63</f>
        <v>-0.15509009009009</v>
      </c>
      <c r="K41" s="38"/>
      <c r="L41" s="38"/>
      <c r="M41" s="1039">
        <f>E41</f>
        <v>65.160399999999996</v>
      </c>
      <c r="N41" s="1049"/>
      <c r="O41" s="1049"/>
      <c r="P41" s="1039">
        <f>H41-$H$15</f>
        <v>9.1649999999999991</v>
      </c>
      <c r="Q41" s="1039">
        <f>I41</f>
        <v>-0.5</v>
      </c>
      <c r="R41" s="1039">
        <f>J41</f>
        <v>-0.15509009009009</v>
      </c>
      <c r="S41" s="159">
        <f>M41*Q41+N41*P41</f>
        <v>-32.580199999999998</v>
      </c>
      <c r="T41" s="159">
        <f>M41*R41+O41*P41</f>
        <v>-10.105732306306301</v>
      </c>
    </row>
    <row r="42" spans="1:20">
      <c r="A42" s="25" t="s">
        <v>977</v>
      </c>
      <c r="B42" s="25" t="s">
        <v>979</v>
      </c>
      <c r="C42" s="26"/>
      <c r="D42" s="27"/>
      <c r="E42" s="1044">
        <f>LL!J60</f>
        <v>75.185314285714313</v>
      </c>
      <c r="F42" s="1032"/>
      <c r="G42" s="1032"/>
      <c r="H42" s="480">
        <f>LL!J65</f>
        <v>10.965</v>
      </c>
      <c r="I42" s="480">
        <f>LL!J61</f>
        <v>0.5</v>
      </c>
      <c r="J42" s="915">
        <f>LL!J63</f>
        <v>-0.15509009009009</v>
      </c>
      <c r="K42" s="38"/>
      <c r="L42" s="38"/>
      <c r="M42" s="1039">
        <f>E42</f>
        <v>75.185314285714313</v>
      </c>
      <c r="N42" s="1049"/>
      <c r="O42" s="1049"/>
      <c r="P42" s="1039">
        <f>H42-$H$15</f>
        <v>9.1649999999999991</v>
      </c>
      <c r="Q42" s="1039">
        <f>I42</f>
        <v>0.5</v>
      </c>
      <c r="R42" s="1039">
        <f>J42</f>
        <v>-0.15509009009009</v>
      </c>
      <c r="S42" s="159">
        <f>M42*Q42+N42*P42</f>
        <v>37.592657142857156</v>
      </c>
      <c r="T42" s="159">
        <f>M42*R42+O42*P42</f>
        <v>-11.660497166023164</v>
      </c>
    </row>
    <row r="43" spans="1:20">
      <c r="A43" s="25"/>
      <c r="B43" s="25"/>
      <c r="C43" s="26"/>
      <c r="D43" s="27"/>
      <c r="E43" s="60"/>
      <c r="F43" s="1032"/>
      <c r="G43" s="1032"/>
      <c r="H43" s="480"/>
      <c r="I43" s="480"/>
      <c r="J43" s="915"/>
      <c r="K43" s="38"/>
      <c r="L43" s="38"/>
      <c r="M43" s="480"/>
      <c r="N43" s="1035"/>
      <c r="O43" s="1035"/>
      <c r="P43" s="915"/>
      <c r="Q43" s="480"/>
      <c r="R43" s="915"/>
      <c r="S43" s="159"/>
      <c r="T43" s="159"/>
    </row>
    <row r="44" spans="1:20">
      <c r="A44" s="25" t="s">
        <v>980</v>
      </c>
      <c r="B44" s="25"/>
      <c r="C44" s="26"/>
      <c r="D44" s="27"/>
      <c r="E44" s="60"/>
      <c r="F44" s="1032"/>
      <c r="G44" s="1032"/>
      <c r="H44" s="480"/>
      <c r="I44" s="480"/>
      <c r="J44" s="915"/>
      <c r="K44" s="38"/>
      <c r="L44" s="38"/>
      <c r="M44" s="480"/>
      <c r="N44" s="1035"/>
      <c r="O44" s="1035"/>
      <c r="P44" s="915"/>
      <c r="Q44" s="480"/>
      <c r="R44" s="915"/>
      <c r="S44" s="159"/>
      <c r="T44" s="159"/>
    </row>
    <row r="45" spans="1:20">
      <c r="A45" s="25" t="s">
        <v>976</v>
      </c>
      <c r="B45" s="25" t="s">
        <v>981</v>
      </c>
      <c r="C45" s="26"/>
      <c r="D45" s="27"/>
      <c r="E45" s="60">
        <f>LL!H70</f>
        <v>0</v>
      </c>
      <c r="F45" s="1032"/>
      <c r="G45" s="1032"/>
      <c r="H45" s="480">
        <f>LL!H75</f>
        <v>10.965</v>
      </c>
      <c r="I45" s="480">
        <f>LL!H71</f>
        <v>-0.5</v>
      </c>
      <c r="J45" s="915">
        <f>LL!H73</f>
        <v>-0.15509009009009</v>
      </c>
      <c r="K45" s="38"/>
      <c r="L45" s="38"/>
      <c r="M45" s="1039">
        <f>E45</f>
        <v>0</v>
      </c>
      <c r="N45" s="1049"/>
      <c r="O45" s="1049"/>
      <c r="P45" s="1039">
        <f>H45-$H$15</f>
        <v>9.1649999999999991</v>
      </c>
      <c r="Q45" s="1039">
        <f>I45</f>
        <v>-0.5</v>
      </c>
      <c r="R45" s="1039">
        <f>J45</f>
        <v>-0.15509009009009</v>
      </c>
      <c r="S45" s="159">
        <f>M45*Q45+N45*P45</f>
        <v>0</v>
      </c>
      <c r="T45" s="159">
        <f>M45*R45+O45*P45</f>
        <v>0</v>
      </c>
    </row>
    <row r="46" spans="1:20">
      <c r="A46" s="25" t="s">
        <v>977</v>
      </c>
      <c r="B46" s="25" t="s">
        <v>982</v>
      </c>
      <c r="C46" s="26"/>
      <c r="D46" s="27"/>
      <c r="E46" s="457">
        <f>LL!J70</f>
        <v>127.89948571428575</v>
      </c>
      <c r="F46" s="1032"/>
      <c r="G46" s="1032"/>
      <c r="H46" s="480">
        <f>LL!J75</f>
        <v>10.965</v>
      </c>
      <c r="I46" s="480">
        <f>LL!J71</f>
        <v>0.5</v>
      </c>
      <c r="J46" s="915">
        <f>LL!J73</f>
        <v>-0.15509009009009</v>
      </c>
      <c r="K46" s="38"/>
      <c r="L46" s="38"/>
      <c r="M46" s="1039">
        <f>E46</f>
        <v>127.89948571428575</v>
      </c>
      <c r="N46" s="1049"/>
      <c r="O46" s="1049"/>
      <c r="P46" s="1039">
        <f>H46-$H$15</f>
        <v>9.1649999999999991</v>
      </c>
      <c r="Q46" s="1039">
        <f>I46</f>
        <v>0.5</v>
      </c>
      <c r="R46" s="1039">
        <f>J46</f>
        <v>-0.15509009009009</v>
      </c>
      <c r="S46" s="159">
        <f>M46*Q46+N46*P46</f>
        <v>63.949742857142873</v>
      </c>
      <c r="T46" s="159">
        <f>M46*R46+O46*P46</f>
        <v>-19.835942761904757</v>
      </c>
    </row>
    <row r="47" spans="1:20">
      <c r="A47" s="923"/>
      <c r="B47" s="112"/>
      <c r="C47" s="11"/>
      <c r="D47" s="27"/>
      <c r="E47" s="457"/>
      <c r="F47" s="1032"/>
      <c r="G47" s="1032"/>
      <c r="H47" s="480"/>
      <c r="I47" s="480"/>
      <c r="J47" s="915"/>
      <c r="K47" s="38"/>
      <c r="L47" s="38"/>
      <c r="M47" s="480"/>
      <c r="N47" s="1035"/>
      <c r="O47" s="1035"/>
      <c r="P47" s="915"/>
      <c r="Q47" s="480"/>
      <c r="R47" s="915"/>
      <c r="S47" s="159"/>
      <c r="T47" s="159"/>
    </row>
    <row r="48" spans="1:20">
      <c r="A48" s="25" t="s">
        <v>983</v>
      </c>
      <c r="B48" s="25"/>
      <c r="C48" s="11"/>
      <c r="D48" s="27"/>
      <c r="E48" s="457"/>
      <c r="F48" s="1032"/>
      <c r="G48" s="1032"/>
      <c r="H48" s="480"/>
      <c r="I48" s="480"/>
      <c r="J48" s="915"/>
      <c r="K48" s="38"/>
      <c r="L48" s="38"/>
      <c r="M48" s="480"/>
      <c r="N48" s="1035"/>
      <c r="O48" s="1035"/>
      <c r="P48" s="915"/>
      <c r="Q48" s="480"/>
      <c r="R48" s="915"/>
      <c r="S48" s="159"/>
      <c r="T48" s="159"/>
    </row>
    <row r="49" spans="1:20">
      <c r="A49" s="25" t="s">
        <v>984</v>
      </c>
      <c r="B49" s="162" t="s">
        <v>1036</v>
      </c>
      <c r="C49" s="11"/>
      <c r="D49" s="27"/>
      <c r="E49" s="457"/>
      <c r="F49" s="37">
        <f>LLH!F71</f>
        <v>32.051277714285717</v>
      </c>
      <c r="G49" s="34"/>
      <c r="H49" s="480">
        <f>LLH!H71</f>
        <v>8.2800000000000011</v>
      </c>
      <c r="I49" s="480"/>
      <c r="J49" s="915"/>
      <c r="K49" s="38"/>
      <c r="L49" s="38"/>
      <c r="M49" s="1039"/>
      <c r="N49" s="1039">
        <f>F49</f>
        <v>32.051277714285717</v>
      </c>
      <c r="O49" s="1049"/>
      <c r="P49" s="1039">
        <f>H49-$H$15</f>
        <v>6.4800000000000013</v>
      </c>
      <c r="Q49" s="1039"/>
      <c r="R49" s="1039"/>
      <c r="S49" s="159">
        <f>M49*Q49+N49*P49</f>
        <v>207.69227958857149</v>
      </c>
      <c r="T49" s="159">
        <f>M49*R49+O49*P49</f>
        <v>0</v>
      </c>
    </row>
    <row r="50" spans="1:20">
      <c r="A50" s="25" t="s">
        <v>985</v>
      </c>
      <c r="B50" s="162" t="s">
        <v>1037</v>
      </c>
      <c r="C50" s="11"/>
      <c r="D50" s="27"/>
      <c r="E50" s="457"/>
      <c r="F50" s="37">
        <f>LLH!F73</f>
        <v>29.998225714285713</v>
      </c>
      <c r="G50" s="34"/>
      <c r="H50" s="480">
        <f>LLH!H73</f>
        <v>8.2800000000000011</v>
      </c>
      <c r="I50" s="480"/>
      <c r="J50" s="915"/>
      <c r="K50" s="38"/>
      <c r="L50" s="38"/>
      <c r="M50" s="1039"/>
      <c r="N50" s="1039">
        <f>F50</f>
        <v>29.998225714285713</v>
      </c>
      <c r="O50" s="1049"/>
      <c r="P50" s="1039">
        <f>H50-$H$15</f>
        <v>6.4800000000000013</v>
      </c>
      <c r="Q50" s="1039"/>
      <c r="R50" s="1039"/>
      <c r="S50" s="159">
        <f>M50*Q50+N50*P50</f>
        <v>194.38850262857147</v>
      </c>
      <c r="T50" s="159">
        <f>M50*R50+O50*P50</f>
        <v>0</v>
      </c>
    </row>
    <row r="51" spans="1:20">
      <c r="A51" s="25" t="s">
        <v>986</v>
      </c>
      <c r="B51" s="162" t="s">
        <v>1038</v>
      </c>
      <c r="C51" s="11"/>
      <c r="D51" s="27"/>
      <c r="E51" s="457"/>
      <c r="F51" s="37">
        <f>LLH!F75</f>
        <v>5.8532000000000011</v>
      </c>
      <c r="G51" s="34"/>
      <c r="H51" s="480">
        <f>LLH!H75</f>
        <v>8.2800000000000011</v>
      </c>
      <c r="I51" s="480"/>
      <c r="J51" s="915"/>
      <c r="K51" s="38"/>
      <c r="L51" s="38"/>
      <c r="M51" s="1039"/>
      <c r="N51" s="1039">
        <f>F51</f>
        <v>5.8532000000000011</v>
      </c>
      <c r="O51" s="1049"/>
      <c r="P51" s="1039">
        <f>H51-$H$15</f>
        <v>6.4800000000000013</v>
      </c>
      <c r="Q51" s="1039"/>
      <c r="R51" s="1039"/>
      <c r="S51" s="159">
        <f>M51*Q51+N51*P51</f>
        <v>37.928736000000015</v>
      </c>
      <c r="T51" s="159">
        <f>M51*R51+O51*P51</f>
        <v>0</v>
      </c>
    </row>
    <row r="52" spans="1:20">
      <c r="A52" s="25" t="s">
        <v>987</v>
      </c>
      <c r="B52" s="162" t="s">
        <v>1039</v>
      </c>
      <c r="C52" s="11"/>
      <c r="D52" s="27"/>
      <c r="E52" s="457"/>
      <c r="F52" s="37">
        <f>LLH!F77</f>
        <v>14.632999999999999</v>
      </c>
      <c r="G52" s="34"/>
      <c r="H52" s="480">
        <f>LLH!H77</f>
        <v>8.2800000000000011</v>
      </c>
      <c r="I52" s="480"/>
      <c r="J52" s="915"/>
      <c r="K52" s="38"/>
      <c r="L52" s="38"/>
      <c r="M52" s="1039"/>
      <c r="N52" s="1039">
        <f>F52</f>
        <v>14.632999999999999</v>
      </c>
      <c r="O52" s="1049"/>
      <c r="P52" s="1039">
        <f>H52-$H$15</f>
        <v>6.4800000000000013</v>
      </c>
      <c r="Q52" s="1039"/>
      <c r="R52" s="1039"/>
      <c r="S52" s="159">
        <f>M52*Q52+N52*P52</f>
        <v>94.821840000000009</v>
      </c>
      <c r="T52" s="159">
        <f>M52*R52+O52*P52</f>
        <v>0</v>
      </c>
    </row>
    <row r="53" spans="1:20">
      <c r="A53" s="923"/>
      <c r="B53" s="112"/>
      <c r="C53" s="11"/>
      <c r="D53" s="27"/>
      <c r="E53" s="457"/>
      <c r="F53" s="34"/>
      <c r="G53" s="34"/>
      <c r="H53" s="480"/>
      <c r="I53" s="480"/>
      <c r="J53" s="915"/>
      <c r="K53" s="38"/>
      <c r="L53" s="38"/>
      <c r="M53" s="480"/>
      <c r="N53" s="1035"/>
      <c r="O53" s="1035"/>
      <c r="P53" s="915"/>
      <c r="Q53" s="480"/>
      <c r="R53" s="915"/>
      <c r="S53" s="159"/>
      <c r="T53" s="159"/>
    </row>
    <row r="54" spans="1:20">
      <c r="A54" s="686" t="s">
        <v>1128</v>
      </c>
      <c r="B54" s="1047"/>
      <c r="C54" s="11"/>
      <c r="D54" s="27"/>
      <c r="E54" s="457">
        <f>GEN!H277</f>
        <v>-23.695433333970961</v>
      </c>
      <c r="G54" s="34"/>
      <c r="H54" s="480"/>
      <c r="I54" s="480"/>
      <c r="J54" s="915"/>
      <c r="K54" s="38"/>
      <c r="L54" s="38"/>
      <c r="M54" s="1042">
        <f>E54</f>
        <v>-23.695433333970961</v>
      </c>
      <c r="N54" s="1039"/>
      <c r="O54" s="1049"/>
      <c r="P54" s="1040"/>
      <c r="Q54" s="1040"/>
      <c r="R54" s="1040"/>
      <c r="S54" s="159">
        <f>M54*Q54+N54*P54</f>
        <v>0</v>
      </c>
      <c r="T54" s="159">
        <f>M54*R54+O54*P54</f>
        <v>0</v>
      </c>
    </row>
    <row r="55" spans="1:20">
      <c r="A55" s="686"/>
      <c r="B55" s="1047"/>
      <c r="C55" s="11"/>
      <c r="D55" s="27"/>
      <c r="E55" s="457"/>
      <c r="F55" s="34"/>
      <c r="G55" s="34"/>
      <c r="H55" s="480"/>
      <c r="I55" s="480"/>
      <c r="J55" s="915"/>
      <c r="K55" s="38"/>
      <c r="L55" s="38"/>
      <c r="M55" s="480"/>
      <c r="N55" s="1035"/>
      <c r="O55" s="1035"/>
      <c r="P55" s="915"/>
      <c r="Q55" s="480"/>
      <c r="R55" s="915"/>
      <c r="S55" s="159"/>
      <c r="T55" s="159"/>
    </row>
    <row r="56" spans="1:20">
      <c r="A56" s="686" t="s">
        <v>1129</v>
      </c>
      <c r="B56" s="1047"/>
      <c r="C56" s="11"/>
      <c r="D56" s="27"/>
      <c r="E56" s="457"/>
      <c r="G56" s="34"/>
      <c r="H56" s="480"/>
      <c r="I56" s="480"/>
      <c r="J56" s="915"/>
      <c r="K56" s="38"/>
      <c r="L56" s="38"/>
      <c r="M56" s="480"/>
      <c r="N56" s="1035"/>
      <c r="O56" s="1035"/>
      <c r="P56" s="915"/>
      <c r="Q56" s="480"/>
      <c r="R56" s="915"/>
      <c r="S56" s="159"/>
      <c r="T56" s="159"/>
    </row>
    <row r="57" spans="1:20">
      <c r="A57" s="686" t="s">
        <v>1130</v>
      </c>
      <c r="B57" s="1047"/>
      <c r="C57" s="11"/>
      <c r="D57" s="27"/>
      <c r="E57" s="457"/>
      <c r="F57" s="691"/>
      <c r="G57" s="692">
        <f>Hydro!F86</f>
        <v>0.82029499296999342</v>
      </c>
      <c r="H57" s="692">
        <f>Hydro!F87/Hydro!F86</f>
        <v>3.4505327302424882</v>
      </c>
      <c r="I57" s="692"/>
      <c r="K57" s="38"/>
      <c r="L57" s="38"/>
      <c r="M57" s="1039"/>
      <c r="N57" s="1049"/>
      <c r="O57" s="1039">
        <f>G57</f>
        <v>0.82029499296999342</v>
      </c>
      <c r="P57" s="1039">
        <f>H57-$H$15</f>
        <v>1.6505327302424881</v>
      </c>
      <c r="Q57" s="1039"/>
      <c r="R57" s="1039"/>
      <c r="S57" s="159">
        <f>M57*Q57+N57*P57</f>
        <v>0</v>
      </c>
      <c r="T57" s="159">
        <f>M57*R57+O57*P57</f>
        <v>1.3539237343510058</v>
      </c>
    </row>
    <row r="58" spans="1:20">
      <c r="A58" s="686" t="s">
        <v>1131</v>
      </c>
      <c r="B58" s="1047"/>
      <c r="C58" s="11"/>
      <c r="D58" s="27"/>
      <c r="E58" s="457"/>
      <c r="F58" s="691">
        <f>Hydro!H86</f>
        <v>1.566445545112501</v>
      </c>
      <c r="G58" s="692">
        <f>Hydro!J86</f>
        <v>0.77082515176153144</v>
      </c>
      <c r="H58" s="150">
        <f>Hydro!H87/Hydro!H86</f>
        <v>3.4505327302424891</v>
      </c>
      <c r="I58" s="692"/>
      <c r="J58" s="692"/>
      <c r="K58" s="38"/>
      <c r="L58" s="38"/>
      <c r="M58" s="1039"/>
      <c r="N58" s="1039">
        <f>F58</f>
        <v>1.566445545112501</v>
      </c>
      <c r="O58" s="1039">
        <f>G58</f>
        <v>0.77082515176153144</v>
      </c>
      <c r="P58" s="1039">
        <f>H58-$H$15</f>
        <v>1.650532730242489</v>
      </c>
      <c r="Q58" s="1039"/>
      <c r="R58" s="1039"/>
      <c r="S58" s="159">
        <f>M58*Q58+N58*P58</f>
        <v>2.5854696423507204</v>
      </c>
      <c r="T58" s="159">
        <f>M58*R58+O58*P58</f>
        <v>1.2722721422765415</v>
      </c>
    </row>
    <row r="59" spans="1:20">
      <c r="A59" s="25"/>
      <c r="B59" s="162"/>
      <c r="C59" s="11"/>
      <c r="D59" s="27"/>
      <c r="E59" s="457"/>
      <c r="F59" s="34"/>
      <c r="G59" s="34"/>
      <c r="H59" s="480"/>
      <c r="I59" s="480"/>
      <c r="J59" s="915"/>
      <c r="K59" s="38"/>
      <c r="L59" s="38"/>
      <c r="M59" s="480"/>
      <c r="N59" s="1035"/>
      <c r="O59" s="1035"/>
      <c r="P59" s="915"/>
      <c r="Q59" s="480"/>
      <c r="R59" s="915"/>
      <c r="S59" s="159"/>
      <c r="T59" s="159"/>
    </row>
    <row r="60" spans="1:20">
      <c r="A60" s="69" t="s">
        <v>200</v>
      </c>
      <c r="B60" s="25"/>
      <c r="C60" s="11"/>
      <c r="D60" s="27"/>
      <c r="E60" s="457"/>
      <c r="F60" s="34"/>
      <c r="G60" s="34"/>
      <c r="H60" s="480"/>
      <c r="I60" s="480"/>
      <c r="J60" s="915"/>
      <c r="K60" s="38"/>
      <c r="L60" s="38"/>
      <c r="M60" s="480"/>
      <c r="N60" s="1035"/>
      <c r="O60" s="1035"/>
      <c r="P60" s="915"/>
      <c r="Q60" s="480"/>
      <c r="R60" s="915"/>
      <c r="S60" s="159"/>
      <c r="T60" s="159"/>
    </row>
    <row r="61" spans="1:20">
      <c r="A61" s="25" t="s">
        <v>992</v>
      </c>
      <c r="B61" s="25"/>
      <c r="C61" s="11"/>
      <c r="D61" s="27"/>
      <c r="E61" s="457"/>
      <c r="F61" s="34"/>
      <c r="G61" s="34"/>
      <c r="H61" s="480"/>
      <c r="I61" s="480"/>
      <c r="J61" s="915"/>
      <c r="K61" s="38"/>
      <c r="L61" s="38"/>
      <c r="M61" s="480"/>
      <c r="N61" s="1035"/>
      <c r="O61" s="1035"/>
      <c r="P61" s="915"/>
      <c r="Q61" s="480"/>
      <c r="R61" s="915"/>
      <c r="S61" s="159"/>
      <c r="T61" s="159"/>
    </row>
    <row r="62" spans="1:20">
      <c r="A62" s="25" t="s">
        <v>990</v>
      </c>
      <c r="B62" s="25" t="s">
        <v>988</v>
      </c>
      <c r="C62" s="11"/>
      <c r="D62" s="27"/>
      <c r="E62" s="197"/>
      <c r="F62" s="254">
        <f>SUP_SEIS!E61</f>
        <v>0</v>
      </c>
      <c r="G62" s="34"/>
      <c r="H62" s="254">
        <f>SUP_SEIS!G61</f>
        <v>0</v>
      </c>
      <c r="I62" s="480"/>
      <c r="J62" s="915"/>
      <c r="K62" s="38"/>
      <c r="L62" s="38"/>
      <c r="M62" s="1039"/>
      <c r="N62" s="1039">
        <f>F62*$H$5/$J$5</f>
        <v>0</v>
      </c>
      <c r="O62" s="1049"/>
      <c r="P62" s="1039">
        <f>H62-$H$15</f>
        <v>-1.8</v>
      </c>
      <c r="Q62" s="1039"/>
      <c r="R62" s="1039"/>
      <c r="S62" s="159">
        <f>M62*Q62+N62*P62</f>
        <v>0</v>
      </c>
      <c r="T62" s="159">
        <f>M62*R62+O62*P62</f>
        <v>0</v>
      </c>
    </row>
    <row r="63" spans="1:20">
      <c r="A63" s="25" t="s">
        <v>991</v>
      </c>
      <c r="B63" s="25" t="s">
        <v>989</v>
      </c>
      <c r="C63" s="11"/>
      <c r="D63" s="27"/>
      <c r="E63" s="197"/>
      <c r="F63" s="254">
        <f>SUP_SEIS!E71</f>
        <v>94.821839999999995</v>
      </c>
      <c r="G63" s="34"/>
      <c r="H63" s="254">
        <f>SUP_SEIS!G71</f>
        <v>8.2800000000000011</v>
      </c>
      <c r="I63" s="480"/>
      <c r="J63" s="915"/>
      <c r="K63" s="38"/>
      <c r="L63" s="38"/>
      <c r="M63" s="1039"/>
      <c r="N63" s="1039">
        <f>F63*$H$5/$J$5</f>
        <v>70.238399999999984</v>
      </c>
      <c r="O63" s="1049"/>
      <c r="P63" s="1039">
        <f>H63-$H$15</f>
        <v>6.4800000000000013</v>
      </c>
      <c r="Q63" s="1039"/>
      <c r="R63" s="1039"/>
      <c r="S63" s="159">
        <f>M63*Q63+N63*P63</f>
        <v>455.14483200000001</v>
      </c>
      <c r="T63" s="159">
        <f>M63*R63+O63*P63</f>
        <v>0</v>
      </c>
    </row>
    <row r="64" spans="1:20">
      <c r="A64" s="25"/>
      <c r="B64" s="25"/>
      <c r="C64" s="11"/>
      <c r="D64" s="27"/>
      <c r="E64" s="457"/>
      <c r="F64" s="34"/>
      <c r="G64" s="34"/>
      <c r="H64" s="480"/>
      <c r="I64" s="480"/>
      <c r="J64" s="915"/>
      <c r="K64" s="38"/>
      <c r="L64" s="38"/>
      <c r="M64" s="480"/>
      <c r="N64" s="1035"/>
      <c r="O64" s="1035"/>
      <c r="P64" s="915"/>
      <c r="Q64" s="480"/>
      <c r="R64" s="915"/>
      <c r="S64" s="159"/>
      <c r="T64" s="159"/>
    </row>
    <row r="65" spans="1:20">
      <c r="A65" s="25" t="s">
        <v>1012</v>
      </c>
      <c r="B65" s="25"/>
      <c r="C65" s="11"/>
      <c r="D65" s="27"/>
      <c r="E65" s="457"/>
      <c r="F65" s="34"/>
      <c r="G65" s="34"/>
      <c r="H65" s="480"/>
      <c r="I65" s="480"/>
      <c r="J65" s="915"/>
      <c r="K65" s="38"/>
      <c r="L65" s="38"/>
      <c r="M65" s="480"/>
      <c r="N65" s="1035"/>
      <c r="O65" s="1035"/>
      <c r="P65" s="915"/>
      <c r="Q65" s="480"/>
      <c r="R65" s="915"/>
      <c r="S65" s="159"/>
      <c r="T65" s="159"/>
    </row>
    <row r="66" spans="1:20">
      <c r="A66" s="25" t="s">
        <v>993</v>
      </c>
      <c r="B66" s="25" t="s">
        <v>995</v>
      </c>
      <c r="C66" s="11"/>
      <c r="D66" s="27"/>
      <c r="E66" s="457"/>
      <c r="F66" s="34">
        <f>LL_SEIS!E66</f>
        <v>0</v>
      </c>
      <c r="G66" s="34"/>
      <c r="H66" s="480">
        <f>LL_SEIS!G66</f>
        <v>0</v>
      </c>
      <c r="I66" s="480"/>
      <c r="J66" s="915"/>
      <c r="K66" s="38"/>
      <c r="L66" s="38"/>
      <c r="M66" s="1039"/>
      <c r="N66" s="1039">
        <f>F66</f>
        <v>0</v>
      </c>
      <c r="O66" s="1049"/>
      <c r="P66" s="1039">
        <f>H66-$H$15</f>
        <v>-1.8</v>
      </c>
      <c r="Q66" s="1039"/>
      <c r="R66" s="1039"/>
      <c r="S66" s="159">
        <f>M66*Q66+N66*P66</f>
        <v>0</v>
      </c>
      <c r="T66" s="159">
        <f>M66*R66+O66*P66</f>
        <v>0</v>
      </c>
    </row>
    <row r="67" spans="1:20">
      <c r="A67" s="25" t="s">
        <v>994</v>
      </c>
      <c r="B67" s="25" t="s">
        <v>996</v>
      </c>
      <c r="C67" s="11"/>
      <c r="D67" s="27"/>
      <c r="E67" s="457"/>
      <c r="F67" s="34">
        <f>LL_SEIS!L66</f>
        <v>4.5540000000000003</v>
      </c>
      <c r="G67" s="34"/>
      <c r="H67" s="480">
        <f>LL_SEIS!N66</f>
        <v>8.2800000000000011</v>
      </c>
      <c r="I67" s="480"/>
      <c r="J67" s="915"/>
      <c r="K67" s="38"/>
      <c r="L67" s="38"/>
      <c r="M67" s="1039"/>
      <c r="N67" s="1039">
        <f>F67</f>
        <v>4.5540000000000003</v>
      </c>
      <c r="O67" s="1049"/>
      <c r="P67" s="1039">
        <f>H67-$H$15</f>
        <v>6.4800000000000013</v>
      </c>
      <c r="Q67" s="1039"/>
      <c r="R67" s="1039"/>
      <c r="S67" s="159">
        <f>M67*Q67+N67*P67</f>
        <v>29.509920000000008</v>
      </c>
      <c r="T67" s="159">
        <f>M67*R67+O67*P67</f>
        <v>0</v>
      </c>
    </row>
    <row r="68" spans="1:20">
      <c r="A68" s="25"/>
      <c r="B68" s="25"/>
      <c r="C68" s="11"/>
      <c r="D68" s="27"/>
      <c r="E68" s="457"/>
      <c r="F68" s="34"/>
      <c r="G68" s="34"/>
      <c r="H68" s="480"/>
      <c r="I68" s="480"/>
      <c r="J68" s="915"/>
      <c r="K68" s="38"/>
      <c r="L68" s="38"/>
      <c r="M68" s="480"/>
      <c r="N68" s="1035"/>
      <c r="O68" s="1035"/>
      <c r="P68" s="915"/>
      <c r="Q68" s="480"/>
      <c r="R68" s="915"/>
      <c r="S68" s="159"/>
      <c r="T68" s="159"/>
    </row>
    <row r="69" spans="1:20">
      <c r="A69" s="25" t="s">
        <v>217</v>
      </c>
      <c r="B69" s="25" t="s">
        <v>211</v>
      </c>
      <c r="C69" s="11"/>
      <c r="D69" s="27"/>
      <c r="E69" s="457"/>
      <c r="F69" s="37">
        <f>SUB_SEIS!E45</f>
        <v>26.798532263701709</v>
      </c>
      <c r="G69" s="34"/>
      <c r="H69" s="480">
        <f>SUB_SEIS!G45/SUB_SEIS!E45</f>
        <v>5.4959656538431281</v>
      </c>
      <c r="I69" s="480"/>
      <c r="J69" s="915"/>
      <c r="K69" s="38"/>
      <c r="L69" s="38"/>
      <c r="M69" s="1039"/>
      <c r="N69" s="1039">
        <f>F69*$H$5/$J$5</f>
        <v>19.850764639779044</v>
      </c>
      <c r="O69" s="1049"/>
      <c r="P69" s="1039">
        <f>H69-$H$15</f>
        <v>3.6959656538431283</v>
      </c>
      <c r="Q69" s="1039"/>
      <c r="R69" s="1039"/>
      <c r="S69" s="159">
        <f>M69*Q69+N69*P69</f>
        <v>73.367744311147007</v>
      </c>
      <c r="T69" s="159">
        <f>M69*R69+O69*P69</f>
        <v>0</v>
      </c>
    </row>
    <row r="70" spans="1:20">
      <c r="A70" s="923"/>
      <c r="B70" s="112"/>
      <c r="C70" s="11"/>
      <c r="D70" s="27"/>
      <c r="E70" s="457"/>
      <c r="F70" s="34"/>
      <c r="G70" s="34"/>
      <c r="H70" s="480"/>
      <c r="I70" s="480"/>
      <c r="J70" s="915"/>
      <c r="K70" s="38"/>
      <c r="L70" s="38"/>
      <c r="M70" s="480"/>
      <c r="N70" s="1035"/>
      <c r="O70" s="1035"/>
      <c r="P70" s="915"/>
      <c r="Q70" s="480"/>
      <c r="R70" s="915"/>
      <c r="S70" s="159"/>
      <c r="T70" s="159"/>
    </row>
    <row r="71" spans="1:20">
      <c r="A71" s="693" t="s">
        <v>1133</v>
      </c>
      <c r="B71" s="686"/>
      <c r="C71" s="11"/>
      <c r="D71" s="27"/>
      <c r="E71" s="457"/>
      <c r="F71" s="34"/>
      <c r="G71" s="34"/>
      <c r="H71" s="480"/>
      <c r="I71" s="480"/>
      <c r="J71" s="915"/>
      <c r="K71" s="38"/>
      <c r="L71" s="38"/>
      <c r="M71" s="480"/>
      <c r="N71" s="1035"/>
      <c r="O71" s="1035"/>
      <c r="P71" s="915"/>
      <c r="Q71" s="480"/>
      <c r="R71" s="915"/>
      <c r="S71" s="159"/>
      <c r="T71" s="159"/>
    </row>
    <row r="72" spans="1:20">
      <c r="A72" s="686" t="s">
        <v>1139</v>
      </c>
      <c r="B72" s="686" t="s">
        <v>1140</v>
      </c>
      <c r="C72" s="11"/>
      <c r="D72" s="27"/>
      <c r="E72" s="457"/>
      <c r="F72" s="34"/>
      <c r="G72" s="34"/>
      <c r="H72" s="480"/>
      <c r="I72" s="480"/>
      <c r="J72" s="915"/>
      <c r="K72" s="38"/>
      <c r="L72" s="38"/>
      <c r="M72" s="1038"/>
      <c r="N72" s="1051">
        <f>'Hydro dynamic'!F89*$H$5/$J$5</f>
        <v>7.3173856373850432</v>
      </c>
      <c r="O72" s="1050"/>
      <c r="P72" s="1046">
        <f>'Hydro dynamic'!F93</f>
        <v>1.1541854999999988</v>
      </c>
      <c r="Q72" s="1038"/>
      <c r="R72" s="1038"/>
      <c r="S72" s="159">
        <f>M72*Q72+N72*P72</f>
        <v>8.4456204005780648</v>
      </c>
      <c r="T72" s="159">
        <f>M72*R72+O72*P72</f>
        <v>0</v>
      </c>
    </row>
    <row r="73" spans="1:20">
      <c r="A73" s="923"/>
      <c r="B73" s="112"/>
      <c r="C73" s="11"/>
      <c r="D73" s="27"/>
      <c r="E73" s="457"/>
      <c r="F73" s="34"/>
      <c r="G73" s="34"/>
      <c r="H73" s="480"/>
      <c r="I73" s="480"/>
      <c r="J73" s="915"/>
      <c r="K73" s="38"/>
      <c r="L73" s="38"/>
      <c r="M73" s="480"/>
      <c r="O73" s="1035"/>
      <c r="P73" s="915"/>
      <c r="Q73" s="480"/>
      <c r="R73" s="915"/>
      <c r="S73" s="159"/>
      <c r="T73" s="159"/>
    </row>
    <row r="74" spans="1:20">
      <c r="A74" s="69" t="s">
        <v>1135</v>
      </c>
      <c r="B74" s="25"/>
      <c r="C74" s="11"/>
      <c r="D74" s="27"/>
      <c r="E74" s="457"/>
      <c r="F74" s="34"/>
      <c r="G74" s="34"/>
      <c r="H74" s="480"/>
      <c r="I74" s="480"/>
      <c r="J74" s="915"/>
      <c r="K74" s="38"/>
      <c r="L74" s="38"/>
      <c r="M74" s="480"/>
      <c r="O74" s="1035"/>
      <c r="P74" s="915"/>
      <c r="Q74" s="480"/>
      <c r="R74" s="915"/>
      <c r="S74" s="159"/>
      <c r="T74" s="159"/>
    </row>
    <row r="75" spans="1:20">
      <c r="A75" s="25" t="s">
        <v>992</v>
      </c>
      <c r="B75" s="25"/>
      <c r="C75" s="11"/>
      <c r="D75" s="27"/>
      <c r="E75" s="457"/>
      <c r="F75" s="34"/>
      <c r="G75" s="34"/>
      <c r="H75" s="480"/>
      <c r="I75" s="480"/>
      <c r="J75" s="915"/>
      <c r="K75" s="38"/>
      <c r="L75" s="38"/>
      <c r="M75" s="480"/>
      <c r="N75" s="1035"/>
      <c r="O75" s="1035"/>
      <c r="P75" s="915"/>
      <c r="Q75" s="480"/>
      <c r="R75" s="915"/>
      <c r="S75" s="159"/>
      <c r="T75" s="159"/>
    </row>
    <row r="76" spans="1:20">
      <c r="A76" s="25" t="s">
        <v>997</v>
      </c>
      <c r="B76" s="25" t="s">
        <v>988</v>
      </c>
      <c r="C76" s="11"/>
      <c r="D76" s="27"/>
      <c r="E76" s="457"/>
      <c r="F76" s="34"/>
      <c r="G76" s="37">
        <f>SUP_SEIS!F63</f>
        <v>47.410919999999997</v>
      </c>
      <c r="H76" s="480">
        <f>SUP_SEIS!G63</f>
        <v>9.1350395561312929</v>
      </c>
      <c r="I76" s="480"/>
      <c r="J76" s="915"/>
      <c r="K76" s="38"/>
      <c r="L76" s="38"/>
      <c r="M76" s="1039"/>
      <c r="N76" s="1039"/>
      <c r="O76" s="1039">
        <f>G76*$H$6/$J$6</f>
        <v>35.119199999999992</v>
      </c>
      <c r="P76" s="1039">
        <f>H76-$H$15</f>
        <v>7.3350395561312931</v>
      </c>
      <c r="Q76" s="1039"/>
      <c r="R76" s="1039"/>
      <c r="S76" s="159">
        <f>M76*Q76+N76*P76</f>
        <v>0</v>
      </c>
      <c r="T76" s="159">
        <f>M76*R76+O76*P76</f>
        <v>257.60072117968605</v>
      </c>
    </row>
    <row r="77" spans="1:20">
      <c r="A77" s="25" t="s">
        <v>998</v>
      </c>
      <c r="B77" s="25" t="s">
        <v>989</v>
      </c>
      <c r="C77" s="11"/>
      <c r="D77" s="27"/>
      <c r="E77" s="457"/>
      <c r="F77" s="34"/>
      <c r="G77" s="37">
        <f>SUP_SEIS!F73</f>
        <v>47.410919999999997</v>
      </c>
      <c r="H77" s="480">
        <f>SUP_SEIS!G73</f>
        <v>9.1350395561312929</v>
      </c>
      <c r="I77" s="480"/>
      <c r="J77" s="915"/>
      <c r="K77" s="38"/>
      <c r="L77" s="38"/>
      <c r="M77" s="1039"/>
      <c r="N77" s="1039"/>
      <c r="O77" s="1039">
        <f>G77*$H$6/$J$6</f>
        <v>35.119199999999992</v>
      </c>
      <c r="P77" s="1039">
        <f>H77-$H$15</f>
        <v>7.3350395561312931</v>
      </c>
      <c r="Q77" s="1039"/>
      <c r="R77" s="1039"/>
      <c r="S77" s="159">
        <f>M77*Q77+N77*P77</f>
        <v>0</v>
      </c>
      <c r="T77" s="159">
        <f>M77*R77+O77*P77</f>
        <v>257.60072117968605</v>
      </c>
    </row>
    <row r="78" spans="1:20">
      <c r="A78" s="69"/>
      <c r="B78" s="25"/>
      <c r="C78" s="11"/>
      <c r="D78" s="27"/>
      <c r="E78" s="457"/>
      <c r="F78" s="34"/>
      <c r="G78" s="34"/>
      <c r="H78" s="480"/>
      <c r="I78" s="480"/>
      <c r="J78" s="915"/>
      <c r="K78" s="38"/>
      <c r="L78" s="38"/>
      <c r="M78" s="480"/>
      <c r="N78" s="1035"/>
      <c r="O78" s="1035"/>
      <c r="P78" s="915"/>
      <c r="Q78" s="480"/>
      <c r="R78" s="915"/>
      <c r="S78" s="159"/>
      <c r="T78" s="159"/>
    </row>
    <row r="79" spans="1:20">
      <c r="A79" s="25" t="s">
        <v>999</v>
      </c>
      <c r="B79" s="25"/>
      <c r="C79" s="11"/>
      <c r="D79" s="27"/>
      <c r="E79" s="457"/>
      <c r="F79" s="34"/>
      <c r="G79" s="34"/>
      <c r="H79" s="480"/>
      <c r="I79" s="480"/>
      <c r="J79" s="915"/>
      <c r="K79" s="38"/>
      <c r="L79" s="38"/>
      <c r="M79" s="480"/>
      <c r="N79" s="1035"/>
      <c r="O79" s="1035"/>
      <c r="P79" s="915"/>
      <c r="Q79" s="480"/>
      <c r="R79" s="915"/>
      <c r="S79" s="159"/>
      <c r="T79" s="159"/>
    </row>
    <row r="80" spans="1:20">
      <c r="A80" s="25" t="s">
        <v>1002</v>
      </c>
      <c r="B80" s="25"/>
      <c r="C80" s="11"/>
      <c r="D80" s="27"/>
      <c r="E80" s="457"/>
      <c r="F80" s="34"/>
      <c r="G80" s="34"/>
      <c r="H80" s="480"/>
      <c r="I80" s="480"/>
      <c r="J80" s="915"/>
      <c r="K80" s="38"/>
      <c r="L80" s="38"/>
      <c r="M80" s="480"/>
      <c r="N80" s="1035"/>
      <c r="O80" s="1035"/>
      <c r="P80" s="915"/>
      <c r="Q80" s="480"/>
      <c r="R80" s="915"/>
      <c r="S80" s="159"/>
      <c r="T80" s="159"/>
    </row>
    <row r="81" spans="1:20">
      <c r="A81" s="25" t="s">
        <v>1004</v>
      </c>
      <c r="B81" s="25" t="s">
        <v>1000</v>
      </c>
      <c r="C81" s="11"/>
      <c r="D81" s="27"/>
      <c r="E81" s="457"/>
      <c r="F81" s="34"/>
      <c r="G81" s="37">
        <f>LL_SEIS!F68</f>
        <v>10.555984799999999</v>
      </c>
      <c r="H81" s="480">
        <f>LL_SEIS!G68</f>
        <v>10.965</v>
      </c>
      <c r="I81" s="480"/>
      <c r="J81" s="915"/>
      <c r="K81" s="38"/>
      <c r="L81" s="38"/>
      <c r="M81" s="1039"/>
      <c r="N81" s="1039"/>
      <c r="O81" s="1039">
        <f>G81*$H$6/$J$6</f>
        <v>7.8192479999999991</v>
      </c>
      <c r="P81" s="1039">
        <f>H81-$H$15</f>
        <v>9.1649999999999991</v>
      </c>
      <c r="Q81" s="1039"/>
      <c r="R81" s="1039"/>
      <c r="S81" s="159">
        <f>M81*Q81+N81*P81</f>
        <v>0</v>
      </c>
      <c r="T81" s="159">
        <f>M81*R81+O81*P81</f>
        <v>71.663407919999983</v>
      </c>
    </row>
    <row r="82" spans="1:20">
      <c r="A82" s="25" t="s">
        <v>1005</v>
      </c>
      <c r="B82" s="25" t="s">
        <v>1001</v>
      </c>
      <c r="C82" s="11"/>
      <c r="D82" s="27"/>
      <c r="E82" s="457"/>
      <c r="F82" s="34"/>
      <c r="G82" s="37">
        <f>LL_SEIS!M68</f>
        <v>12.18002091428572</v>
      </c>
      <c r="H82" s="480">
        <f>LL_SEIS!N68</f>
        <v>10.965</v>
      </c>
      <c r="I82" s="480"/>
      <c r="J82" s="915"/>
      <c r="K82" s="38"/>
      <c r="L82" s="38"/>
      <c r="M82" s="1039"/>
      <c r="N82" s="1039"/>
      <c r="O82" s="1039">
        <f>G82*$H$6/$J$6</f>
        <v>9.0222377142857191</v>
      </c>
      <c r="P82" s="1039">
        <f>H82-$H$15</f>
        <v>9.1649999999999991</v>
      </c>
      <c r="Q82" s="1039"/>
      <c r="R82" s="1039"/>
      <c r="S82" s="159">
        <f>M82*Q82+N82*P82</f>
        <v>0</v>
      </c>
      <c r="T82" s="159">
        <f>M82*R82+O82*P82</f>
        <v>82.688808651428602</v>
      </c>
    </row>
    <row r="83" spans="1:20">
      <c r="A83" s="25" t="s">
        <v>1003</v>
      </c>
      <c r="B83" s="25"/>
      <c r="C83" s="11"/>
      <c r="D83" s="27"/>
      <c r="E83" s="457"/>
      <c r="F83" s="34"/>
      <c r="G83" s="34"/>
      <c r="H83" s="480"/>
      <c r="I83" s="480"/>
      <c r="J83" s="915"/>
      <c r="K83" s="38"/>
      <c r="L83" s="38"/>
      <c r="M83" s="480"/>
      <c r="N83" s="1035"/>
      <c r="O83" s="1035"/>
      <c r="P83" s="915"/>
      <c r="Q83" s="480"/>
      <c r="R83" s="915"/>
      <c r="S83" s="159"/>
      <c r="T83" s="159"/>
    </row>
    <row r="84" spans="1:20">
      <c r="A84" s="25" t="s">
        <v>1004</v>
      </c>
      <c r="B84" s="25" t="s">
        <v>1000</v>
      </c>
      <c r="C84" s="11"/>
      <c r="D84" s="27"/>
      <c r="E84" s="457"/>
      <c r="F84" s="34"/>
      <c r="G84" s="35">
        <f>LL_SEIS!F80</f>
        <v>0</v>
      </c>
      <c r="H84" s="480">
        <f>LL_SEIS!G80</f>
        <v>10.965</v>
      </c>
      <c r="I84" s="480"/>
      <c r="J84" s="915"/>
      <c r="K84" s="38"/>
      <c r="L84" s="38"/>
      <c r="M84" s="1039"/>
      <c r="N84" s="1039"/>
      <c r="O84" s="1039">
        <f>G84*$H$6/$J$6</f>
        <v>0</v>
      </c>
      <c r="P84" s="1039">
        <f>H84-$H$15</f>
        <v>9.1649999999999991</v>
      </c>
      <c r="Q84" s="1039"/>
      <c r="R84" s="1039"/>
      <c r="S84" s="159">
        <f>M84*Q84+N84*P84</f>
        <v>0</v>
      </c>
      <c r="T84" s="159">
        <f>M84*R84+O84*P84</f>
        <v>0</v>
      </c>
    </row>
    <row r="85" spans="1:20">
      <c r="A85" s="25" t="s">
        <v>1005</v>
      </c>
      <c r="B85" s="25" t="s">
        <v>1001</v>
      </c>
      <c r="C85" s="11"/>
      <c r="D85" s="27"/>
      <c r="E85" s="457"/>
      <c r="F85" s="34"/>
      <c r="G85" s="37">
        <f>LL_SEIS!M80</f>
        <v>20.719716685714292</v>
      </c>
      <c r="H85" s="480">
        <f>LL_SEIS!N80</f>
        <v>10.965</v>
      </c>
      <c r="I85" s="480"/>
      <c r="J85" s="915"/>
      <c r="K85" s="38"/>
      <c r="L85" s="38"/>
      <c r="M85" s="1039"/>
      <c r="N85" s="1039"/>
      <c r="O85" s="1039">
        <f>G85*$H$6/$J$6</f>
        <v>15.347938285714291</v>
      </c>
      <c r="P85" s="1039">
        <f>H85-$H$15</f>
        <v>9.1649999999999991</v>
      </c>
      <c r="Q85" s="1039"/>
      <c r="R85" s="1039"/>
      <c r="S85" s="159">
        <f>M85*Q85+N85*P85</f>
        <v>0</v>
      </c>
      <c r="T85" s="159">
        <f>M85*R85+O85*P85</f>
        <v>140.66385438857145</v>
      </c>
    </row>
    <row r="86" spans="1:20">
      <c r="A86" s="69"/>
      <c r="B86" s="25"/>
      <c r="C86" s="11"/>
      <c r="D86" s="27"/>
      <c r="E86" s="457"/>
      <c r="F86" s="34"/>
      <c r="G86" s="34"/>
      <c r="H86" s="480"/>
      <c r="I86" s="480"/>
      <c r="J86" s="915"/>
      <c r="K86" s="38"/>
      <c r="L86" s="38"/>
      <c r="M86" s="480"/>
      <c r="N86" s="1035"/>
      <c r="O86" s="1035"/>
      <c r="P86" s="915"/>
      <c r="Q86" s="480"/>
      <c r="R86" s="915"/>
      <c r="S86" s="159"/>
      <c r="T86" s="159"/>
    </row>
    <row r="87" spans="1:20">
      <c r="A87" s="25" t="s">
        <v>1006</v>
      </c>
      <c r="B87" s="25" t="s">
        <v>211</v>
      </c>
      <c r="C87" s="11"/>
      <c r="D87" s="27"/>
      <c r="E87" s="457"/>
      <c r="F87" s="34"/>
      <c r="G87" s="37">
        <f>SUB_SEIS!F47</f>
        <v>26.798532263701709</v>
      </c>
      <c r="H87" s="480">
        <f>SUB_SEIS!H47/SUB_SEIS!F47</f>
        <v>5.4959656538431281</v>
      </c>
      <c r="I87" s="480"/>
      <c r="J87" s="915"/>
      <c r="K87" s="38"/>
      <c r="L87" s="38"/>
      <c r="M87" s="1039"/>
      <c r="N87" s="1039"/>
      <c r="O87" s="1039">
        <f>G87*$H$6/$J$6</f>
        <v>19.850764639779044</v>
      </c>
      <c r="P87" s="1039">
        <f>H87-$H$15</f>
        <v>3.6959656538431283</v>
      </c>
      <c r="Q87" s="1039"/>
      <c r="R87" s="1039"/>
      <c r="S87" s="159">
        <f>M87*Q87+N87*P87</f>
        <v>0</v>
      </c>
      <c r="T87" s="159">
        <f>M87*R87+O87*P87</f>
        <v>73.367744311147007</v>
      </c>
    </row>
    <row r="88" spans="1:20">
      <c r="A88" s="25"/>
      <c r="B88" s="25"/>
      <c r="C88" s="11"/>
      <c r="D88" s="27"/>
      <c r="E88" s="457"/>
      <c r="F88" s="34"/>
      <c r="G88" s="34"/>
      <c r="H88" s="480"/>
      <c r="I88" s="480"/>
      <c r="J88" s="915"/>
      <c r="K88" s="38"/>
      <c r="L88" s="38"/>
      <c r="M88" s="480"/>
      <c r="N88" s="1035"/>
      <c r="O88" s="1035"/>
      <c r="P88" s="915"/>
      <c r="Q88" s="480"/>
      <c r="R88" s="915"/>
      <c r="S88" s="159"/>
      <c r="T88" s="159"/>
    </row>
    <row r="89" spans="1:20">
      <c r="A89" s="693" t="s">
        <v>1817</v>
      </c>
      <c r="B89" s="686"/>
      <c r="C89" s="11"/>
      <c r="D89" s="27"/>
      <c r="E89" s="457"/>
      <c r="F89" s="34"/>
      <c r="G89" s="34"/>
      <c r="H89" s="480"/>
      <c r="I89" s="480"/>
      <c r="J89" s="915"/>
      <c r="K89" s="38"/>
      <c r="L89" s="38"/>
      <c r="M89" s="480"/>
      <c r="N89" s="1035"/>
      <c r="O89" s="1035"/>
      <c r="P89" s="915"/>
      <c r="Q89" s="480"/>
      <c r="R89" s="915"/>
      <c r="S89" s="159"/>
      <c r="T89" s="159"/>
    </row>
    <row r="90" spans="1:20">
      <c r="A90" s="686" t="s">
        <v>1138</v>
      </c>
      <c r="B90" s="686" t="s">
        <v>1141</v>
      </c>
      <c r="C90" s="11"/>
      <c r="D90" s="27"/>
      <c r="E90" s="457"/>
      <c r="F90" s="34"/>
      <c r="G90" s="34"/>
      <c r="H90" s="480"/>
      <c r="I90" s="480"/>
      <c r="J90" s="915"/>
      <c r="K90" s="38"/>
      <c r="L90" s="38"/>
      <c r="M90" s="1038"/>
      <c r="N90" s="1050"/>
      <c r="O90" s="1038">
        <f>'Hydro dynamic'!F111*$H$5/$J$5</f>
        <v>7.3173856373850432</v>
      </c>
      <c r="P90" s="1038">
        <f>'Hydro dynamic'!F115</f>
        <v>1.1541854999999988</v>
      </c>
      <c r="Q90" s="1038"/>
      <c r="R90" s="1038"/>
      <c r="S90" s="159">
        <f>M90*Q90+N90*P90</f>
        <v>0</v>
      </c>
      <c r="T90" s="159">
        <f>M90*R90+O90*P90</f>
        <v>8.4456204005780648</v>
      </c>
    </row>
    <row r="91" spans="1:20">
      <c r="A91" s="923"/>
      <c r="B91" s="112"/>
      <c r="C91" s="11"/>
      <c r="D91" s="27"/>
      <c r="E91" s="457"/>
      <c r="F91" s="34"/>
      <c r="G91" s="34"/>
      <c r="H91" s="480"/>
      <c r="I91" s="480"/>
      <c r="J91" s="915"/>
      <c r="K91" s="38"/>
      <c r="L91" s="38"/>
      <c r="M91" s="480"/>
      <c r="N91" s="1035"/>
      <c r="O91" s="1035"/>
      <c r="P91" s="915"/>
      <c r="Q91" s="480"/>
      <c r="R91" s="915"/>
      <c r="S91" s="159"/>
      <c r="T91" s="159"/>
    </row>
    <row r="92" spans="1:20">
      <c r="A92" s="69" t="s">
        <v>204</v>
      </c>
      <c r="B92" s="25"/>
      <c r="C92" s="11"/>
      <c r="D92" s="27"/>
      <c r="E92" s="457"/>
      <c r="F92" s="34"/>
      <c r="G92" s="34"/>
      <c r="H92" s="480"/>
      <c r="I92" s="480"/>
      <c r="J92" s="915"/>
      <c r="K92" s="38"/>
      <c r="L92" s="38"/>
      <c r="M92" s="480"/>
      <c r="N92" s="1035"/>
      <c r="O92" s="1035"/>
      <c r="P92" s="915"/>
      <c r="Q92" s="480"/>
      <c r="R92" s="915"/>
      <c r="S92" s="159"/>
      <c r="T92" s="159"/>
    </row>
    <row r="93" spans="1:20">
      <c r="A93" s="25" t="s">
        <v>992</v>
      </c>
      <c r="B93" s="25"/>
      <c r="C93" s="11"/>
      <c r="D93" s="27"/>
      <c r="E93" s="457"/>
      <c r="F93" s="34"/>
      <c r="G93" s="34"/>
      <c r="H93" s="480"/>
      <c r="I93" s="480"/>
      <c r="J93" s="915"/>
      <c r="K93" s="38"/>
      <c r="L93" s="38"/>
      <c r="M93" s="480"/>
      <c r="N93" s="1035"/>
      <c r="O93" s="1035"/>
      <c r="P93" s="915"/>
      <c r="Q93" s="480"/>
      <c r="R93" s="915"/>
      <c r="S93" s="159"/>
      <c r="T93" s="159"/>
    </row>
    <row r="94" spans="1:20">
      <c r="A94" s="25" t="s">
        <v>1007</v>
      </c>
      <c r="B94" s="25" t="s">
        <v>988</v>
      </c>
      <c r="C94" s="11"/>
      <c r="D94" s="27"/>
      <c r="E94" s="457">
        <f>SUP_SEIS!D65</f>
        <v>31.607279999999999</v>
      </c>
      <c r="F94" s="34"/>
      <c r="G94" s="34"/>
      <c r="H94" s="480"/>
      <c r="I94" s="480">
        <f>SUP_SEIS!H65/SUP_SEIS!D65</f>
        <v>-0.47901489783366374</v>
      </c>
      <c r="J94" s="915">
        <f>SUP_SEIS!I65/SUP_SEIS!D65</f>
        <v>0</v>
      </c>
      <c r="K94" s="38"/>
      <c r="L94" s="38"/>
      <c r="M94" s="1039">
        <f>E94*$H$7/$J$7</f>
        <v>23.412799999999997</v>
      </c>
      <c r="N94" s="1039"/>
      <c r="O94" s="1039"/>
      <c r="P94" s="1039"/>
      <c r="Q94" s="1039">
        <f>I94</f>
        <v>-0.47901489783366374</v>
      </c>
      <c r="R94" s="1039">
        <f>J94</f>
        <v>0</v>
      </c>
      <c r="S94" s="159">
        <f>M94*Q94+N94*P94</f>
        <v>-11.21508</v>
      </c>
      <c r="T94" s="159">
        <f>M94*R94+O94*P94</f>
        <v>0</v>
      </c>
    </row>
    <row r="95" spans="1:20">
      <c r="A95" s="25" t="s">
        <v>1008</v>
      </c>
      <c r="B95" s="25" t="s">
        <v>989</v>
      </c>
      <c r="C95" s="11"/>
      <c r="D95" s="27"/>
      <c r="E95" s="457">
        <f>SUP_SEIS!D75</f>
        <v>31.607279999999999</v>
      </c>
      <c r="F95" s="34"/>
      <c r="G95" s="34"/>
      <c r="H95" s="480"/>
      <c r="I95" s="480">
        <f>SUP_SEIS!H75/SUP_SEIS!D75</f>
        <v>0.47901489783366374</v>
      </c>
      <c r="J95" s="915">
        <f>SUP_SEIS!I75/SUP_SEIS!D75</f>
        <v>0</v>
      </c>
      <c r="K95" s="38"/>
      <c r="L95" s="38"/>
      <c r="M95" s="1039">
        <f>E95*$H$7/$J$7</f>
        <v>23.412799999999997</v>
      </c>
      <c r="N95" s="1039"/>
      <c r="O95" s="1039"/>
      <c r="P95" s="1039"/>
      <c r="Q95" s="1039">
        <f>I95</f>
        <v>0.47901489783366374</v>
      </c>
      <c r="R95" s="1039">
        <f>J95</f>
        <v>0</v>
      </c>
      <c r="S95" s="159">
        <f>M95*Q95+N95*P95</f>
        <v>11.21508</v>
      </c>
      <c r="T95" s="159">
        <f>M95*R95+O95*P95</f>
        <v>0</v>
      </c>
    </row>
    <row r="96" spans="1:20">
      <c r="A96" s="69"/>
      <c r="B96" s="25"/>
      <c r="C96" s="11"/>
      <c r="D96" s="27"/>
      <c r="E96" s="457"/>
      <c r="F96" s="34"/>
      <c r="G96" s="34"/>
      <c r="H96" s="480"/>
      <c r="I96" s="480"/>
      <c r="J96" s="915"/>
      <c r="K96" s="38"/>
      <c r="L96" s="38"/>
      <c r="M96" s="480"/>
      <c r="N96" s="1035"/>
      <c r="O96" s="1035"/>
      <c r="P96" s="915"/>
      <c r="Q96" s="480"/>
      <c r="R96" s="915"/>
      <c r="S96" s="159"/>
      <c r="T96" s="159"/>
    </row>
    <row r="97" spans="1:20">
      <c r="A97" s="25" t="s">
        <v>999</v>
      </c>
      <c r="B97" s="25"/>
      <c r="C97" s="11"/>
      <c r="D97" s="27"/>
      <c r="E97" s="457"/>
      <c r="F97" s="34"/>
      <c r="G97" s="34"/>
      <c r="H97" s="480"/>
      <c r="I97" s="480"/>
      <c r="J97" s="915"/>
      <c r="K97" s="38"/>
      <c r="L97" s="38"/>
      <c r="M97" s="480"/>
      <c r="N97" s="1035"/>
      <c r="O97" s="1035"/>
      <c r="P97" s="915"/>
      <c r="Q97" s="480"/>
      <c r="R97" s="915"/>
      <c r="S97" s="159"/>
      <c r="T97" s="159"/>
    </row>
    <row r="98" spans="1:20">
      <c r="A98" s="25" t="s">
        <v>1002</v>
      </c>
      <c r="B98" s="25"/>
      <c r="C98" s="11"/>
      <c r="D98" s="27"/>
      <c r="E98" s="457"/>
      <c r="F98" s="34"/>
      <c r="G98" s="34"/>
      <c r="H98" s="480"/>
      <c r="I98" s="480"/>
      <c r="J98" s="915"/>
      <c r="K98" s="38"/>
      <c r="L98" s="38"/>
      <c r="M98" s="480"/>
      <c r="N98" s="1035"/>
      <c r="O98" s="1035"/>
      <c r="P98" s="915"/>
      <c r="Q98" s="480"/>
      <c r="R98" s="915"/>
      <c r="S98" s="159"/>
      <c r="T98" s="159"/>
    </row>
    <row r="99" spans="1:20">
      <c r="A99" s="25" t="s">
        <v>1009</v>
      </c>
      <c r="B99" s="25" t="s">
        <v>1000</v>
      </c>
      <c r="C99" s="11"/>
      <c r="D99" s="27"/>
      <c r="E99" s="457">
        <f>LL_SEIS!D70</f>
        <v>7.0373232000000003</v>
      </c>
      <c r="F99" s="34"/>
      <c r="G99" s="34"/>
      <c r="H99" s="480"/>
      <c r="I99" s="480">
        <f>LL_SEIS!H70/LL_SEIS!D70</f>
        <v>-0.5</v>
      </c>
      <c r="J99" s="915">
        <f>LL_SEIS!I70/LL_SEIS!D70</f>
        <v>-0.15509009009009003</v>
      </c>
      <c r="K99" s="38"/>
      <c r="L99" s="38"/>
      <c r="M99" s="1039">
        <f>E99*$H$7/$J$7</f>
        <v>5.2128319999999997</v>
      </c>
      <c r="N99" s="1039"/>
      <c r="O99" s="1039"/>
      <c r="P99" s="1039"/>
      <c r="Q99" s="1039">
        <f>I99</f>
        <v>-0.5</v>
      </c>
      <c r="R99" s="1039">
        <f>J99</f>
        <v>-0.15509009009009003</v>
      </c>
      <c r="S99" s="159">
        <f>M99*Q99+N99*P99</f>
        <v>-2.6064159999999998</v>
      </c>
      <c r="T99" s="159">
        <f>M99*R99+O99*P99</f>
        <v>-0.80845858450450414</v>
      </c>
    </row>
    <row r="100" spans="1:20">
      <c r="A100" s="25" t="s">
        <v>1010</v>
      </c>
      <c r="B100" s="25" t="s">
        <v>1001</v>
      </c>
      <c r="C100" s="11"/>
      <c r="D100" s="27"/>
      <c r="E100" s="457">
        <f>LL_SEIS!K70</f>
        <v>8.1200139428571472</v>
      </c>
      <c r="F100" s="34"/>
      <c r="G100" s="34"/>
      <c r="H100" s="480"/>
      <c r="I100" s="480">
        <f>LL_SEIS!O70/LL_SEIS!K70</f>
        <v>0.5</v>
      </c>
      <c r="J100" s="915">
        <f>LL_SEIS!P70/LL_SEIS!K70</f>
        <v>-0.15509009009009</v>
      </c>
      <c r="K100" s="38"/>
      <c r="L100" s="38"/>
      <c r="M100" s="1039">
        <f>E100*$H$7/$J$7</f>
        <v>6.0148251428571458</v>
      </c>
      <c r="N100" s="1039"/>
      <c r="O100" s="1039"/>
      <c r="P100" s="1039"/>
      <c r="Q100" s="1039">
        <f>I100</f>
        <v>0.5</v>
      </c>
      <c r="R100" s="1039">
        <f>J100</f>
        <v>-0.15509009009009</v>
      </c>
      <c r="S100" s="159">
        <f>M100*Q100+N100*P100</f>
        <v>3.0074125714285729</v>
      </c>
      <c r="T100" s="159">
        <f>M100*R100+O100*P100</f>
        <v>-0.93283977328185319</v>
      </c>
    </row>
    <row r="101" spans="1:20">
      <c r="A101" s="25" t="s">
        <v>1003</v>
      </c>
      <c r="B101" s="25"/>
      <c r="C101" s="11"/>
      <c r="D101" s="27"/>
      <c r="E101" s="457"/>
      <c r="F101" s="34"/>
      <c r="G101" s="34"/>
      <c r="H101" s="480"/>
      <c r="I101" s="480"/>
      <c r="J101" s="915"/>
      <c r="K101" s="38"/>
      <c r="L101" s="38"/>
      <c r="M101" s="480"/>
      <c r="N101" s="1035"/>
      <c r="O101" s="1035"/>
      <c r="P101" s="915"/>
      <c r="Q101" s="480"/>
      <c r="R101" s="915"/>
      <c r="S101" s="159"/>
      <c r="T101" s="159"/>
    </row>
    <row r="102" spans="1:20">
      <c r="A102" s="25" t="s">
        <v>1009</v>
      </c>
      <c r="B102" s="25" t="s">
        <v>1000</v>
      </c>
      <c r="C102" s="11"/>
      <c r="D102" s="27"/>
      <c r="E102" s="457">
        <f>LL_SEIS!D82</f>
        <v>0</v>
      </c>
      <c r="F102" s="34"/>
      <c r="G102" s="34"/>
      <c r="H102" s="480"/>
      <c r="I102" s="480">
        <f>IF(LL_SEIS!H82=0,0,LL_SEIS!H82/LL_SEIS!D82)</f>
        <v>0</v>
      </c>
      <c r="J102" s="915">
        <f>IF(LL_SEIS!I82=0,0,LL_SEIS!I82/LL_SEIS!D82)</f>
        <v>0</v>
      </c>
      <c r="K102" s="38"/>
      <c r="L102" s="38"/>
      <c r="M102" s="1039">
        <f>E102*$H$7/$J$7</f>
        <v>0</v>
      </c>
      <c r="N102" s="1039"/>
      <c r="O102" s="1039"/>
      <c r="P102" s="1039"/>
      <c r="Q102" s="1039">
        <f>I102</f>
        <v>0</v>
      </c>
      <c r="R102" s="1039">
        <f>J102</f>
        <v>0</v>
      </c>
      <c r="S102" s="159">
        <f>M102*Q102+N102*P102</f>
        <v>0</v>
      </c>
      <c r="T102" s="159">
        <f>M102*R102+O102*P102</f>
        <v>0</v>
      </c>
    </row>
    <row r="103" spans="1:20">
      <c r="A103" s="25" t="s">
        <v>1010</v>
      </c>
      <c r="B103" s="25" t="s">
        <v>1001</v>
      </c>
      <c r="C103" s="11"/>
      <c r="D103" s="27"/>
      <c r="E103" s="457">
        <f>LL_SEIS!K82</f>
        <v>13.813144457142862</v>
      </c>
      <c r="F103" s="34"/>
      <c r="G103" s="34"/>
      <c r="H103" s="480"/>
      <c r="I103" s="480">
        <f>LL_SEIS!O82/LL_SEIS!K82</f>
        <v>0.5</v>
      </c>
      <c r="J103" s="915">
        <f>LL_SEIS!P82/LL_SEIS!K82</f>
        <v>-0.15509009009009</v>
      </c>
      <c r="K103" s="38"/>
      <c r="L103" s="38"/>
      <c r="M103" s="1039">
        <f>E103*$H$7/$J$7</f>
        <v>10.231958857142859</v>
      </c>
      <c r="N103" s="1039"/>
      <c r="O103" s="1039"/>
      <c r="P103" s="1039"/>
      <c r="Q103" s="1039">
        <f>I103</f>
        <v>0.5</v>
      </c>
      <c r="R103" s="1039">
        <f>J103</f>
        <v>-0.15509009009009</v>
      </c>
      <c r="S103" s="159">
        <f>M103*Q103+N103*P103</f>
        <v>5.1159794285714293</v>
      </c>
      <c r="T103" s="159">
        <f>M103*R103+O103*P103</f>
        <v>-1.5868754209523803</v>
      </c>
    </row>
    <row r="104" spans="1:20">
      <c r="A104" s="69"/>
      <c r="B104" s="25"/>
      <c r="C104" s="11"/>
      <c r="D104" s="27"/>
      <c r="E104" s="457"/>
      <c r="F104" s="34"/>
      <c r="G104" s="34"/>
      <c r="H104" s="480"/>
      <c r="I104" s="480"/>
      <c r="J104" s="915"/>
      <c r="K104" s="38"/>
      <c r="L104" s="38"/>
      <c r="M104" s="480"/>
      <c r="N104" s="1035"/>
      <c r="O104" s="1035"/>
      <c r="P104" s="915"/>
      <c r="Q104" s="480"/>
      <c r="R104" s="915"/>
      <c r="S104" s="159"/>
      <c r="T104" s="159"/>
    </row>
    <row r="105" spans="1:20">
      <c r="A105" s="25" t="s">
        <v>1011</v>
      </c>
      <c r="B105" s="25" t="s">
        <v>211</v>
      </c>
      <c r="C105" s="11"/>
      <c r="D105" s="27"/>
      <c r="E105" s="457">
        <f>SUB_SEIS!D49</f>
        <v>17.865688175801139</v>
      </c>
      <c r="F105" s="34"/>
      <c r="G105" s="34"/>
      <c r="H105" s="480"/>
      <c r="I105" s="480">
        <f>SUB_SEIS!G49/SUB_SEIS!D49</f>
        <v>0</v>
      </c>
      <c r="J105" s="915">
        <f>SUB_SEIS!H49/SUB_SEIS!D49</f>
        <v>0</v>
      </c>
      <c r="K105" s="38"/>
      <c r="L105" s="38"/>
      <c r="M105" s="1039">
        <f>E105*$H$7/$J$7</f>
        <v>13.233843093186028</v>
      </c>
      <c r="N105" s="1039"/>
      <c r="O105" s="1039"/>
      <c r="P105" s="1039"/>
      <c r="Q105" s="1039">
        <f>I105</f>
        <v>0</v>
      </c>
      <c r="R105" s="1039">
        <f>J105</f>
        <v>0</v>
      </c>
      <c r="S105" s="159">
        <f>M105*Q105+N105*P105</f>
        <v>0</v>
      </c>
      <c r="T105" s="159">
        <f>M105*R105+O105*P105</f>
        <v>0</v>
      </c>
    </row>
    <row r="106" spans="1:20">
      <c r="A106" s="25"/>
      <c r="B106" s="25"/>
      <c r="C106" s="11"/>
      <c r="D106" s="27"/>
      <c r="E106" s="457"/>
      <c r="F106" s="34"/>
      <c r="G106" s="34"/>
      <c r="H106" s="480"/>
      <c r="I106" s="480"/>
      <c r="J106" s="915"/>
      <c r="K106" s="38"/>
      <c r="L106" s="38"/>
      <c r="M106" s="480"/>
      <c r="N106" s="1035"/>
      <c r="O106" s="1035"/>
      <c r="P106" s="915"/>
      <c r="Q106" s="480"/>
      <c r="R106" s="915"/>
      <c r="S106" s="159"/>
      <c r="T106" s="159"/>
    </row>
    <row r="107" spans="1:20">
      <c r="A107" s="923"/>
      <c r="B107" s="112"/>
      <c r="C107" s="11"/>
      <c r="D107" s="27"/>
      <c r="E107" s="457"/>
      <c r="F107" s="34"/>
      <c r="G107" s="34"/>
      <c r="H107" s="480"/>
      <c r="I107" s="480"/>
      <c r="J107" s="915"/>
      <c r="K107" s="38"/>
      <c r="L107" s="38"/>
      <c r="M107" s="480"/>
      <c r="N107" s="1035"/>
      <c r="O107" s="1035"/>
      <c r="P107" s="915"/>
      <c r="Q107" s="480"/>
      <c r="R107" s="915"/>
      <c r="S107" s="159"/>
      <c r="T107" s="159"/>
    </row>
    <row r="108" spans="1:20">
      <c r="A108" s="923"/>
      <c r="B108" s="112"/>
      <c r="C108" s="11"/>
      <c r="D108" s="27"/>
      <c r="E108" s="457"/>
      <c r="F108" s="34"/>
      <c r="G108" s="34"/>
      <c r="H108" s="480"/>
      <c r="I108" s="480"/>
      <c r="J108" s="915"/>
      <c r="K108" s="38"/>
      <c r="L108" s="38"/>
      <c r="M108" s="480"/>
      <c r="N108" s="1035"/>
      <c r="O108" s="1035"/>
      <c r="P108" s="915"/>
      <c r="Q108" s="480"/>
      <c r="R108" s="915"/>
      <c r="S108" s="159"/>
      <c r="T108" s="159"/>
    </row>
    <row r="109" spans="1:20">
      <c r="A109" s="923"/>
      <c r="B109" s="112"/>
      <c r="C109" s="11"/>
      <c r="D109" s="27"/>
      <c r="E109" s="457"/>
      <c r="F109" s="37"/>
      <c r="G109" s="34"/>
      <c r="H109" s="480"/>
      <c r="I109" s="480"/>
      <c r="J109" s="480"/>
      <c r="K109" s="38"/>
      <c r="L109" s="38"/>
      <c r="M109" s="480"/>
      <c r="N109" s="1035"/>
      <c r="O109" s="1035"/>
      <c r="P109" s="480"/>
      <c r="Q109" s="480"/>
      <c r="R109" s="480"/>
      <c r="S109" s="159"/>
      <c r="T109" s="159"/>
    </row>
    <row r="110" spans="1:20">
      <c r="N110" s="1"/>
      <c r="O110" s="1"/>
    </row>
    <row r="111" spans="1:20">
      <c r="N111" s="1"/>
      <c r="O111" s="1"/>
    </row>
    <row r="112" spans="1:20">
      <c r="A112" s="1043"/>
      <c r="C112" s="372"/>
      <c r="D112" s="26"/>
      <c r="E112" s="419"/>
      <c r="F112" s="528"/>
      <c r="H112" s="419"/>
      <c r="I112" s="419"/>
      <c r="J112" s="419"/>
      <c r="K112" s="38"/>
      <c r="L112" s="38"/>
      <c r="M112" s="419"/>
      <c r="N112" s="924"/>
      <c r="O112" s="924"/>
      <c r="P112" s="419"/>
      <c r="Q112" s="419"/>
      <c r="R112" s="419"/>
    </row>
  </sheetData>
  <mergeCells count="5">
    <mergeCell ref="H3:K3"/>
    <mergeCell ref="A24:A26"/>
    <mergeCell ref="B24:D26"/>
    <mergeCell ref="E24:J24"/>
    <mergeCell ref="M24:T24"/>
  </mergeCells>
  <pageMargins left="0.70866141732283505" right="0.70866141732283505" top="0.74803149606299202" bottom="0.74803149606299202" header="0.31496062992126" footer="0.31496062992126"/>
  <pageSetup paperSize="9" scale="83" orientation="landscape" blackAndWhite="1" r:id="rId1"/>
  <rowBreaks count="1" manualBreakCount="1">
    <brk id="38" max="16383" man="1"/>
  </rowBreaks>
  <drawing r:id="rId2"/>
</worksheet>
</file>

<file path=xl/worksheets/sheet38.xml><?xml version="1.0" encoding="utf-8"?>
<worksheet xmlns="http://schemas.openxmlformats.org/spreadsheetml/2006/main" xmlns:r="http://schemas.openxmlformats.org/officeDocument/2006/relationships">
  <sheetPr codeName="Sheet49">
    <tabColor theme="5" tint="0.39997558519241921"/>
  </sheetPr>
  <dimension ref="A1:K96"/>
  <sheetViews>
    <sheetView view="pageBreakPreview" topLeftCell="A88" zoomScaleSheetLayoutView="100" workbookViewId="0">
      <selection activeCell="M33" sqref="M33"/>
    </sheetView>
  </sheetViews>
  <sheetFormatPr defaultColWidth="7.7109375" defaultRowHeight="15"/>
  <cols>
    <col min="1" max="2" width="7.7109375" style="1"/>
    <col min="3" max="3" width="7.7109375" style="1" customWidth="1"/>
    <col min="4" max="4" width="9.5703125" style="1" bestFit="1" customWidth="1"/>
    <col min="5" max="6" width="7.7109375" style="1"/>
    <col min="7" max="7" width="7.85546875" style="1" bestFit="1" customWidth="1"/>
    <col min="8" max="8" width="7.85546875" style="1" customWidth="1"/>
    <col min="9" max="9" width="7.7109375" style="1" customWidth="1"/>
    <col min="10" max="16384" width="7.7109375" style="1"/>
  </cols>
  <sheetData>
    <row r="1" spans="1:11">
      <c r="A1" s="9" t="s">
        <v>213</v>
      </c>
    </row>
    <row r="2" spans="1:11">
      <c r="A2" s="9" t="s">
        <v>1535</v>
      </c>
      <c r="K2" s="116"/>
    </row>
    <row r="3" spans="1:11">
      <c r="A3" s="9" t="s">
        <v>218</v>
      </c>
      <c r="K3" s="116"/>
    </row>
    <row r="4" spans="1:11">
      <c r="A4" s="84"/>
      <c r="C4" s="84"/>
      <c r="E4" s="84"/>
      <c r="G4" s="84"/>
      <c r="I4" s="84"/>
    </row>
    <row r="9" spans="1:11">
      <c r="A9" s="84"/>
    </row>
    <row r="10" spans="1:11">
      <c r="A10" s="24"/>
      <c r="B10" s="24"/>
      <c r="C10" s="24"/>
      <c r="D10" s="24"/>
      <c r="E10" s="21"/>
      <c r="F10" s="1599" t="s">
        <v>742</v>
      </c>
      <c r="G10" s="1635"/>
      <c r="H10" s="1635"/>
      <c r="I10" s="1635"/>
      <c r="J10" s="1600"/>
    </row>
    <row r="11" spans="1:11" ht="18">
      <c r="A11" s="25" t="s">
        <v>73</v>
      </c>
      <c r="B11" s="26" t="s">
        <v>74</v>
      </c>
      <c r="C11" s="26"/>
      <c r="D11" s="26"/>
      <c r="E11" s="27"/>
      <c r="F11" s="33" t="s">
        <v>23</v>
      </c>
      <c r="G11" s="33" t="s">
        <v>87</v>
      </c>
      <c r="H11" s="33" t="s">
        <v>212</v>
      </c>
      <c r="I11" s="33" t="s">
        <v>80</v>
      </c>
      <c r="J11" s="33" t="s">
        <v>81</v>
      </c>
    </row>
    <row r="12" spans="1:11">
      <c r="A12" s="25"/>
      <c r="B12" s="26"/>
      <c r="C12" s="26"/>
      <c r="D12" s="26"/>
      <c r="E12" s="27"/>
      <c r="F12" s="36" t="s">
        <v>34</v>
      </c>
      <c r="G12" s="36" t="s">
        <v>34</v>
      </c>
      <c r="H12" s="36" t="s">
        <v>34</v>
      </c>
      <c r="I12" s="36" t="s">
        <v>77</v>
      </c>
      <c r="J12" s="36" t="s">
        <v>77</v>
      </c>
    </row>
    <row r="13" spans="1:11">
      <c r="A13" s="261"/>
      <c r="B13" s="262"/>
      <c r="C13" s="262"/>
      <c r="D13" s="262"/>
      <c r="E13" s="263"/>
      <c r="F13" s="264"/>
      <c r="G13" s="263"/>
      <c r="H13" s="264"/>
      <c r="I13" s="264"/>
      <c r="J13" s="264"/>
    </row>
    <row r="14" spans="1:11">
      <c r="A14" s="25" t="s">
        <v>88</v>
      </c>
      <c r="B14" s="26" t="s">
        <v>75</v>
      </c>
      <c r="C14" s="26"/>
      <c r="D14" s="26"/>
      <c r="E14" s="27"/>
      <c r="F14" s="195">
        <f>SHAFT!M28</f>
        <v>165.42303866482536</v>
      </c>
      <c r="G14" s="210"/>
      <c r="H14" s="34"/>
      <c r="I14" s="195">
        <f>SHAFT!S28</f>
        <v>0</v>
      </c>
      <c r="J14" s="195">
        <f>SHAFT!T28</f>
        <v>0</v>
      </c>
    </row>
    <row r="15" spans="1:11">
      <c r="A15" s="25"/>
      <c r="B15" s="26"/>
      <c r="C15" s="26"/>
      <c r="D15" s="26"/>
      <c r="E15" s="27"/>
      <c r="F15" s="196"/>
      <c r="G15" s="210"/>
      <c r="H15" s="34"/>
      <c r="I15" s="196"/>
      <c r="J15" s="34"/>
    </row>
    <row r="16" spans="1:11">
      <c r="A16" s="25" t="s">
        <v>966</v>
      </c>
      <c r="B16" s="26"/>
      <c r="C16" s="26"/>
      <c r="D16" s="26"/>
      <c r="E16" s="27"/>
      <c r="F16" s="34"/>
      <c r="G16" s="27"/>
      <c r="H16" s="34"/>
      <c r="I16" s="34"/>
      <c r="J16" s="34"/>
    </row>
    <row r="17" spans="1:10">
      <c r="A17" s="25" t="s">
        <v>250</v>
      </c>
      <c r="B17" s="26" t="s">
        <v>967</v>
      </c>
      <c r="C17" s="26"/>
      <c r="D17" s="26"/>
      <c r="E17" s="27"/>
      <c r="F17" s="195">
        <f>SHAFT!M31</f>
        <v>230</v>
      </c>
      <c r="G17" s="210"/>
      <c r="H17" s="34"/>
      <c r="I17" s="195">
        <f>SHAFT!S31</f>
        <v>-115</v>
      </c>
      <c r="J17" s="195">
        <f>SHAFT!T31</f>
        <v>0</v>
      </c>
    </row>
    <row r="18" spans="1:10">
      <c r="A18" s="25" t="s">
        <v>251</v>
      </c>
      <c r="B18" s="26" t="s">
        <v>968</v>
      </c>
      <c r="C18" s="26"/>
      <c r="D18" s="26"/>
      <c r="E18" s="27"/>
      <c r="F18" s="195">
        <f>SHAFT!M32</f>
        <v>20.660000000000004</v>
      </c>
      <c r="G18" s="210"/>
      <c r="H18" s="34"/>
      <c r="I18" s="195">
        <f>SHAFT!S32</f>
        <v>-10.330000000000002</v>
      </c>
      <c r="J18" s="195">
        <f>SHAFT!T32</f>
        <v>0</v>
      </c>
    </row>
    <row r="19" spans="1:10">
      <c r="A19" s="25" t="s">
        <v>97</v>
      </c>
      <c r="B19" s="26" t="s">
        <v>969</v>
      </c>
      <c r="C19" s="26"/>
      <c r="D19" s="26"/>
      <c r="E19" s="27"/>
      <c r="F19" s="195">
        <f>SHAFT!M33</f>
        <v>42</v>
      </c>
      <c r="G19" s="210"/>
      <c r="H19" s="34"/>
      <c r="I19" s="195">
        <f>SHAFT!S33</f>
        <v>-14.858499999999999</v>
      </c>
      <c r="J19" s="195">
        <f>SHAFT!T33</f>
        <v>0</v>
      </c>
    </row>
    <row r="20" spans="1:10">
      <c r="A20" s="25" t="s">
        <v>973</v>
      </c>
      <c r="B20" s="26"/>
      <c r="C20" s="26"/>
      <c r="D20" s="26"/>
      <c r="E20" s="27"/>
      <c r="F20" s="34"/>
      <c r="G20" s="27"/>
      <c r="H20" s="34"/>
      <c r="I20" s="34"/>
      <c r="J20" s="34"/>
    </row>
    <row r="21" spans="1:10">
      <c r="A21" s="25" t="s">
        <v>250</v>
      </c>
      <c r="B21" s="26" t="s">
        <v>970</v>
      </c>
      <c r="C21" s="26"/>
      <c r="D21" s="26"/>
      <c r="E21" s="27"/>
      <c r="F21" s="195">
        <f>SHAFT!M35</f>
        <v>230</v>
      </c>
      <c r="G21" s="210"/>
      <c r="H21" s="34"/>
      <c r="I21" s="195">
        <f>SHAFT!S35</f>
        <v>115</v>
      </c>
      <c r="J21" s="195">
        <f>SHAFT!T35</f>
        <v>0</v>
      </c>
    </row>
    <row r="22" spans="1:10">
      <c r="A22" s="25" t="s">
        <v>251</v>
      </c>
      <c r="B22" s="26" t="s">
        <v>971</v>
      </c>
      <c r="C22" s="26"/>
      <c r="D22" s="26"/>
      <c r="E22" s="27"/>
      <c r="F22" s="195">
        <f>SHAFT!M36</f>
        <v>20.660000000000004</v>
      </c>
      <c r="G22" s="210"/>
      <c r="H22" s="34"/>
      <c r="I22" s="195">
        <f>SHAFT!S36</f>
        <v>10.330000000000002</v>
      </c>
      <c r="J22" s="195">
        <f>SHAFT!T36</f>
        <v>0</v>
      </c>
    </row>
    <row r="23" spans="1:10">
      <c r="A23" s="25" t="s">
        <v>97</v>
      </c>
      <c r="B23" s="26" t="s">
        <v>972</v>
      </c>
      <c r="C23" s="26"/>
      <c r="D23" s="26"/>
      <c r="E23" s="27"/>
      <c r="F23" s="195">
        <f>SHAFT!M37</f>
        <v>42</v>
      </c>
      <c r="G23" s="210"/>
      <c r="H23" s="34"/>
      <c r="I23" s="195">
        <f>SHAFT!S37</f>
        <v>14.858499999999999</v>
      </c>
      <c r="J23" s="195">
        <f>SHAFT!T37</f>
        <v>0</v>
      </c>
    </row>
    <row r="24" spans="1:10">
      <c r="A24" s="25"/>
      <c r="B24" s="26"/>
      <c r="C24" s="26"/>
      <c r="D24" s="26"/>
      <c r="E24" s="27"/>
      <c r="F24" s="34"/>
      <c r="G24" s="27"/>
      <c r="H24" s="34"/>
      <c r="I24" s="34"/>
      <c r="J24" s="34"/>
    </row>
    <row r="25" spans="1:10">
      <c r="A25" s="25" t="s">
        <v>974</v>
      </c>
      <c r="B25" s="26"/>
      <c r="C25" s="26"/>
      <c r="D25" s="26"/>
      <c r="E25" s="27"/>
      <c r="F25" s="34"/>
      <c r="G25" s="27"/>
      <c r="H25" s="34"/>
      <c r="I25" s="34"/>
      <c r="J25" s="34"/>
    </row>
    <row r="26" spans="1:10">
      <c r="A26" s="25" t="s">
        <v>975</v>
      </c>
      <c r="B26" s="26"/>
      <c r="C26" s="26"/>
      <c r="D26" s="26"/>
      <c r="E26" s="27"/>
      <c r="F26" s="34"/>
      <c r="G26" s="27"/>
      <c r="H26" s="34"/>
      <c r="I26" s="34"/>
      <c r="J26" s="34"/>
    </row>
    <row r="27" spans="1:10">
      <c r="A27" s="25" t="s">
        <v>976</v>
      </c>
      <c r="B27" s="26" t="s">
        <v>978</v>
      </c>
      <c r="C27" s="26"/>
      <c r="D27" s="26"/>
      <c r="E27" s="27"/>
      <c r="F27" s="195">
        <f>SHAFT!M41</f>
        <v>65.160399999999996</v>
      </c>
      <c r="G27" s="210"/>
      <c r="H27" s="34"/>
      <c r="I27" s="195">
        <f>SHAFT!S41</f>
        <v>-32.580199999999998</v>
      </c>
      <c r="J27" s="195">
        <f>SHAFT!T41</f>
        <v>-10.105732306306301</v>
      </c>
    </row>
    <row r="28" spans="1:10">
      <c r="A28" s="25" t="s">
        <v>977</v>
      </c>
      <c r="B28" s="26" t="s">
        <v>979</v>
      </c>
      <c r="C28" s="26"/>
      <c r="D28" s="26"/>
      <c r="E28" s="27"/>
      <c r="F28" s="195">
        <f>SHAFT!M42</f>
        <v>75.185314285714313</v>
      </c>
      <c r="G28" s="210"/>
      <c r="H28" s="34"/>
      <c r="I28" s="195">
        <f>SHAFT!S42</f>
        <v>37.592657142857156</v>
      </c>
      <c r="J28" s="195">
        <f>SHAFT!T42</f>
        <v>-11.660497166023164</v>
      </c>
    </row>
    <row r="29" spans="1:10">
      <c r="A29" s="25"/>
      <c r="B29" s="26"/>
      <c r="C29" s="26"/>
      <c r="D29" s="26"/>
      <c r="E29" s="27"/>
      <c r="F29" s="34"/>
      <c r="G29" s="27"/>
      <c r="H29" s="34"/>
      <c r="I29" s="34"/>
      <c r="J29" s="34"/>
    </row>
    <row r="30" spans="1:10">
      <c r="A30" s="25" t="s">
        <v>980</v>
      </c>
      <c r="B30" s="26"/>
      <c r="C30" s="26"/>
      <c r="D30" s="26"/>
      <c r="E30" s="27"/>
      <c r="F30" s="34"/>
      <c r="G30" s="27"/>
      <c r="H30" s="34"/>
      <c r="I30" s="34"/>
      <c r="J30" s="34"/>
    </row>
    <row r="31" spans="1:10">
      <c r="A31" s="25" t="s">
        <v>976</v>
      </c>
      <c r="B31" s="26" t="s">
        <v>981</v>
      </c>
      <c r="C31" s="26"/>
      <c r="D31" s="26"/>
      <c r="E31" s="27"/>
      <c r="F31" s="195">
        <f>SHAFT!M45</f>
        <v>0</v>
      </c>
      <c r="G31" s="210"/>
      <c r="H31" s="34"/>
      <c r="I31" s="195">
        <f>SHAFT!S45</f>
        <v>0</v>
      </c>
      <c r="J31" s="195">
        <f>SHAFT!T45</f>
        <v>0</v>
      </c>
    </row>
    <row r="32" spans="1:10">
      <c r="A32" s="25" t="s">
        <v>977</v>
      </c>
      <c r="B32" s="26" t="s">
        <v>982</v>
      </c>
      <c r="C32" s="26"/>
      <c r="D32" s="26"/>
      <c r="E32" s="27"/>
      <c r="F32" s="195">
        <f>SHAFT!M46</f>
        <v>127.89948571428575</v>
      </c>
      <c r="G32" s="210"/>
      <c r="H32" s="34"/>
      <c r="I32" s="195">
        <f>SHAFT!S46</f>
        <v>63.949742857142873</v>
      </c>
      <c r="J32" s="195">
        <f>SHAFT!T46</f>
        <v>-19.835942761904757</v>
      </c>
    </row>
    <row r="33" spans="1:10">
      <c r="A33" s="25"/>
      <c r="B33" s="26"/>
      <c r="C33" s="26"/>
      <c r="D33" s="26"/>
      <c r="E33" s="27"/>
      <c r="F33" s="34"/>
      <c r="G33" s="27"/>
      <c r="H33" s="34"/>
      <c r="I33" s="34"/>
      <c r="J33" s="34"/>
    </row>
    <row r="34" spans="1:10">
      <c r="A34" s="25" t="s">
        <v>983</v>
      </c>
      <c r="B34" s="26"/>
      <c r="C34" s="26"/>
      <c r="D34" s="26"/>
      <c r="E34" s="27"/>
      <c r="F34" s="34"/>
      <c r="G34" s="27"/>
      <c r="H34" s="34"/>
      <c r="I34" s="34"/>
      <c r="J34" s="34"/>
    </row>
    <row r="35" spans="1:10">
      <c r="A35" s="25" t="s">
        <v>984</v>
      </c>
      <c r="B35" s="163" t="s">
        <v>951</v>
      </c>
      <c r="C35" s="26"/>
      <c r="D35" s="26"/>
      <c r="E35" s="27"/>
      <c r="F35" s="34"/>
      <c r="G35" s="195">
        <f>SHAFT!N49</f>
        <v>32.051277714285717</v>
      </c>
      <c r="H35" s="34"/>
      <c r="I35" s="195">
        <f>SHAFT!S49</f>
        <v>207.69227958857149</v>
      </c>
      <c r="J35" s="34"/>
    </row>
    <row r="36" spans="1:10">
      <c r="A36" s="25" t="s">
        <v>985</v>
      </c>
      <c r="B36" s="163" t="s">
        <v>953</v>
      </c>
      <c r="C36" s="26"/>
      <c r="D36" s="26"/>
      <c r="E36" s="27"/>
      <c r="F36" s="34"/>
      <c r="G36" s="195">
        <f>SHAFT!N50</f>
        <v>29.998225714285713</v>
      </c>
      <c r="H36" s="34"/>
      <c r="I36" s="195">
        <f>SHAFT!S50</f>
        <v>194.38850262857147</v>
      </c>
      <c r="J36" s="34"/>
    </row>
    <row r="37" spans="1:10">
      <c r="A37" s="25" t="s">
        <v>986</v>
      </c>
      <c r="B37" s="163" t="s">
        <v>955</v>
      </c>
      <c r="C37" s="26"/>
      <c r="D37" s="26"/>
      <c r="E37" s="27"/>
      <c r="F37" s="34"/>
      <c r="G37" s="195">
        <f>SHAFT!N51</f>
        <v>5.8532000000000011</v>
      </c>
      <c r="H37" s="34"/>
      <c r="I37" s="195">
        <f>SHAFT!S51</f>
        <v>37.928736000000015</v>
      </c>
      <c r="J37" s="34"/>
    </row>
    <row r="38" spans="1:10">
      <c r="A38" s="25" t="s">
        <v>987</v>
      </c>
      <c r="B38" s="163" t="s">
        <v>957</v>
      </c>
      <c r="C38" s="26"/>
      <c r="D38" s="26"/>
      <c r="E38" s="27"/>
      <c r="F38" s="34"/>
      <c r="G38" s="195">
        <f>SHAFT!N52</f>
        <v>14.632999999999999</v>
      </c>
      <c r="H38" s="34"/>
      <c r="I38" s="195">
        <f>SHAFT!S52</f>
        <v>94.821840000000009</v>
      </c>
      <c r="J38" s="34"/>
    </row>
    <row r="39" spans="1:10">
      <c r="A39" s="25"/>
      <c r="B39" s="163"/>
      <c r="C39" s="26"/>
      <c r="D39" s="26"/>
      <c r="E39" s="27"/>
      <c r="F39" s="34"/>
      <c r="G39" s="27"/>
      <c r="H39" s="34"/>
      <c r="I39" s="34"/>
      <c r="J39" s="34"/>
    </row>
    <row r="40" spans="1:10">
      <c r="A40" s="686" t="s">
        <v>1128</v>
      </c>
      <c r="B40" s="687"/>
      <c r="C40" s="688"/>
      <c r="D40" s="688"/>
      <c r="E40" s="689"/>
      <c r="F40" s="195">
        <f>SHAFT!M54</f>
        <v>-23.695433333970961</v>
      </c>
      <c r="G40" s="689"/>
      <c r="H40" s="690"/>
      <c r="I40" s="195">
        <f>SHAFT!S54</f>
        <v>0</v>
      </c>
      <c r="J40" s="195">
        <f>SHAFT!T54</f>
        <v>0</v>
      </c>
    </row>
    <row r="41" spans="1:10">
      <c r="A41" s="686"/>
      <c r="B41" s="687"/>
      <c r="C41" s="688"/>
      <c r="D41" s="688"/>
      <c r="E41" s="689"/>
      <c r="F41" s="690"/>
      <c r="G41" s="689"/>
      <c r="H41" s="690"/>
      <c r="I41" s="690"/>
      <c r="J41" s="690"/>
    </row>
    <row r="42" spans="1:10">
      <c r="A42" s="686" t="s">
        <v>1129</v>
      </c>
      <c r="B42" s="687"/>
      <c r="C42" s="688"/>
      <c r="D42" s="688"/>
      <c r="E42" s="689"/>
      <c r="F42" s="690"/>
      <c r="G42" s="689"/>
      <c r="H42" s="690"/>
      <c r="I42" s="690"/>
      <c r="J42" s="690"/>
    </row>
    <row r="43" spans="1:10">
      <c r="A43" s="686" t="s">
        <v>1130</v>
      </c>
      <c r="B43" s="687"/>
      <c r="C43" s="688"/>
      <c r="D43" s="688"/>
      <c r="E43" s="689"/>
      <c r="F43" s="690"/>
      <c r="G43" s="691"/>
      <c r="H43" s="195">
        <f>SHAFT!O57</f>
        <v>0.82029499296999342</v>
      </c>
      <c r="I43" s="692"/>
      <c r="J43" s="195">
        <f>SHAFT!T57</f>
        <v>1.3539237343510058</v>
      </c>
    </row>
    <row r="44" spans="1:10">
      <c r="A44" s="686" t="s">
        <v>1131</v>
      </c>
      <c r="B44" s="687"/>
      <c r="C44" s="688"/>
      <c r="D44" s="688"/>
      <c r="E44" s="689"/>
      <c r="F44" s="690"/>
      <c r="G44" s="195">
        <f>SHAFT!N58</f>
        <v>1.566445545112501</v>
      </c>
      <c r="H44" s="195">
        <f>SHAFT!O58</f>
        <v>0.77082515176153144</v>
      </c>
      <c r="I44" s="195">
        <f>SHAFT!S58</f>
        <v>2.5854696423507204</v>
      </c>
      <c r="J44" s="195">
        <f>SHAFT!T58</f>
        <v>1.2722721422765415</v>
      </c>
    </row>
    <row r="45" spans="1:10">
      <c r="A45" s="112"/>
      <c r="B45" s="11"/>
      <c r="C45" s="11"/>
      <c r="D45" s="11"/>
      <c r="E45" s="191"/>
      <c r="F45" s="599"/>
      <c r="G45" s="652"/>
      <c r="H45" s="599"/>
      <c r="I45" s="599"/>
      <c r="J45" s="599"/>
    </row>
    <row r="46" spans="1:10">
      <c r="A46" s="278" t="s">
        <v>1132</v>
      </c>
      <c r="B46" s="262"/>
      <c r="C46" s="262"/>
      <c r="D46" s="262"/>
      <c r="E46" s="263"/>
      <c r="F46" s="1052"/>
      <c r="G46" s="1053"/>
      <c r="H46" s="267"/>
      <c r="I46" s="1052"/>
      <c r="J46" s="267"/>
    </row>
    <row r="47" spans="1:10">
      <c r="A47" s="25" t="s">
        <v>992</v>
      </c>
      <c r="B47" s="26"/>
      <c r="C47" s="26"/>
      <c r="D47" s="26"/>
      <c r="E47" s="27"/>
      <c r="F47" s="197"/>
      <c r="G47" s="211"/>
      <c r="H47" s="34"/>
      <c r="I47" s="211"/>
      <c r="J47" s="89"/>
    </row>
    <row r="48" spans="1:10">
      <c r="A48" s="25" t="s">
        <v>990</v>
      </c>
      <c r="B48" s="26" t="s">
        <v>988</v>
      </c>
      <c r="C48" s="26"/>
      <c r="D48" s="26"/>
      <c r="E48" s="27"/>
      <c r="F48" s="197"/>
      <c r="G48" s="195">
        <f>SHAFT!N62</f>
        <v>0</v>
      </c>
      <c r="H48" s="34"/>
      <c r="I48" s="195">
        <f>SHAFT!S62</f>
        <v>0</v>
      </c>
      <c r="J48" s="89"/>
    </row>
    <row r="49" spans="1:10">
      <c r="A49" s="25" t="s">
        <v>991</v>
      </c>
      <c r="B49" s="26" t="s">
        <v>989</v>
      </c>
      <c r="C49" s="26"/>
      <c r="D49" s="26"/>
      <c r="E49" s="27"/>
      <c r="F49" s="197"/>
      <c r="G49" s="195">
        <f>SHAFT!N63</f>
        <v>70.238399999999984</v>
      </c>
      <c r="H49" s="34"/>
      <c r="I49" s="195">
        <f>SHAFT!S63</f>
        <v>455.14483200000001</v>
      </c>
      <c r="J49" s="89"/>
    </row>
    <row r="50" spans="1:10">
      <c r="A50" s="25"/>
      <c r="B50" s="26"/>
      <c r="C50" s="26"/>
      <c r="D50" s="26"/>
      <c r="E50" s="27"/>
      <c r="F50" s="197"/>
      <c r="G50" s="211"/>
      <c r="H50" s="34"/>
      <c r="I50" s="211"/>
      <c r="J50" s="89"/>
    </row>
    <row r="51" spans="1:10">
      <c r="A51" s="25" t="s">
        <v>1012</v>
      </c>
      <c r="B51" s="26"/>
      <c r="C51" s="26"/>
      <c r="D51" s="26"/>
      <c r="E51" s="27"/>
      <c r="F51" s="197"/>
      <c r="G51" s="211"/>
      <c r="H51" s="34"/>
      <c r="I51" s="211"/>
      <c r="J51" s="89"/>
    </row>
    <row r="52" spans="1:10">
      <c r="A52" s="25" t="s">
        <v>993</v>
      </c>
      <c r="B52" s="26" t="s">
        <v>995</v>
      </c>
      <c r="C52" s="26"/>
      <c r="D52" s="26"/>
      <c r="E52" s="27"/>
      <c r="F52" s="197"/>
      <c r="G52" s="195">
        <f>SHAFT!N66</f>
        <v>0</v>
      </c>
      <c r="H52" s="34"/>
      <c r="I52" s="195">
        <f>SHAFT!S66</f>
        <v>0</v>
      </c>
      <c r="J52" s="89"/>
    </row>
    <row r="53" spans="1:10">
      <c r="A53" s="25" t="s">
        <v>994</v>
      </c>
      <c r="B53" s="26" t="s">
        <v>996</v>
      </c>
      <c r="C53" s="26"/>
      <c r="D53" s="26"/>
      <c r="E53" s="27"/>
      <c r="F53" s="197"/>
      <c r="G53" s="195">
        <f>SHAFT!N67</f>
        <v>4.5540000000000003</v>
      </c>
      <c r="H53" s="34"/>
      <c r="I53" s="195">
        <f>SHAFT!S67</f>
        <v>29.509920000000008</v>
      </c>
      <c r="J53" s="89"/>
    </row>
    <row r="54" spans="1:10">
      <c r="A54" s="25"/>
      <c r="B54" s="26"/>
      <c r="C54" s="26"/>
      <c r="D54" s="26"/>
      <c r="E54" s="27"/>
      <c r="F54" s="197"/>
      <c r="G54" s="211"/>
      <c r="H54" s="34"/>
      <c r="I54" s="211"/>
      <c r="J54" s="89"/>
    </row>
    <row r="55" spans="1:10">
      <c r="A55" s="25" t="s">
        <v>217</v>
      </c>
      <c r="B55" s="26" t="s">
        <v>211</v>
      </c>
      <c r="C55" s="26"/>
      <c r="D55" s="26"/>
      <c r="E55" s="27"/>
      <c r="F55" s="197"/>
      <c r="G55" s="195">
        <f>SHAFT!N69</f>
        <v>19.850764639779044</v>
      </c>
      <c r="H55" s="34"/>
      <c r="I55" s="195">
        <f>SHAFT!S69</f>
        <v>73.367744311147007</v>
      </c>
      <c r="J55" s="89"/>
    </row>
    <row r="56" spans="1:10">
      <c r="A56" s="69"/>
      <c r="B56" s="26"/>
      <c r="C56" s="26"/>
      <c r="D56" s="26"/>
      <c r="E56" s="27"/>
      <c r="F56" s="197"/>
      <c r="G56" s="211"/>
      <c r="H56" s="34"/>
      <c r="I56" s="197"/>
      <c r="J56" s="89"/>
    </row>
    <row r="57" spans="1:10">
      <c r="A57" s="693" t="s">
        <v>1133</v>
      </c>
      <c r="B57" s="688"/>
      <c r="C57" s="688"/>
      <c r="D57" s="688"/>
      <c r="E57" s="689"/>
      <c r="F57" s="620"/>
      <c r="G57" s="621"/>
      <c r="H57" s="34"/>
      <c r="I57" s="620"/>
      <c r="J57" s="89"/>
    </row>
    <row r="58" spans="1:10">
      <c r="A58" s="686" t="s">
        <v>1139</v>
      </c>
      <c r="B58" s="688" t="s">
        <v>1140</v>
      </c>
      <c r="C58" s="688"/>
      <c r="D58" s="688"/>
      <c r="E58" s="689"/>
      <c r="F58" s="620"/>
      <c r="G58" s="195">
        <f>SHAFT!N72</f>
        <v>7.3173856373850432</v>
      </c>
      <c r="H58" s="690"/>
      <c r="I58" s="195">
        <f>SHAFT!S72</f>
        <v>8.4456204005780648</v>
      </c>
      <c r="J58" s="269"/>
    </row>
    <row r="59" spans="1:10">
      <c r="A59" s="113"/>
      <c r="B59" s="651"/>
      <c r="C59" s="651"/>
      <c r="D59" s="651"/>
      <c r="E59" s="652"/>
      <c r="F59" s="212"/>
      <c r="G59" s="653"/>
      <c r="H59" s="599"/>
      <c r="I59" s="212"/>
      <c r="J59" s="599"/>
    </row>
    <row r="60" spans="1:10">
      <c r="A60" s="278" t="s">
        <v>1135</v>
      </c>
      <c r="B60" s="262"/>
      <c r="C60" s="262"/>
      <c r="D60" s="262"/>
      <c r="E60" s="263"/>
      <c r="F60" s="279"/>
      <c r="G60" s="280"/>
      <c r="H60" s="264"/>
      <c r="I60" s="279"/>
      <c r="J60" s="264"/>
    </row>
    <row r="61" spans="1:10">
      <c r="A61" s="25" t="s">
        <v>992</v>
      </c>
      <c r="B61" s="26"/>
      <c r="C61" s="26"/>
      <c r="D61" s="26"/>
      <c r="E61" s="27"/>
      <c r="F61" s="197"/>
      <c r="G61" s="211"/>
      <c r="H61" s="34"/>
      <c r="I61" s="197"/>
      <c r="J61" s="89"/>
    </row>
    <row r="62" spans="1:10">
      <c r="A62" s="25" t="s">
        <v>997</v>
      </c>
      <c r="B62" s="26" t="s">
        <v>988</v>
      </c>
      <c r="C62" s="26"/>
      <c r="D62" s="26"/>
      <c r="E62" s="27"/>
      <c r="F62" s="197"/>
      <c r="G62" s="211"/>
      <c r="H62" s="195">
        <f>SHAFT!O76</f>
        <v>35.119199999999992</v>
      </c>
      <c r="I62" s="197"/>
      <c r="J62" s="195">
        <f>SHAFT!T76</f>
        <v>257.60072117968605</v>
      </c>
    </row>
    <row r="63" spans="1:10">
      <c r="A63" s="25" t="s">
        <v>998</v>
      </c>
      <c r="B63" s="26" t="s">
        <v>989</v>
      </c>
      <c r="C63" s="26"/>
      <c r="D63" s="26"/>
      <c r="E63" s="27"/>
      <c r="F63" s="197"/>
      <c r="G63" s="211"/>
      <c r="H63" s="195">
        <f>SHAFT!O77</f>
        <v>35.119199999999992</v>
      </c>
      <c r="I63" s="197"/>
      <c r="J63" s="195">
        <f>SHAFT!T77</f>
        <v>257.60072117968605</v>
      </c>
    </row>
    <row r="64" spans="1:10">
      <c r="A64" s="69"/>
      <c r="B64" s="26"/>
      <c r="C64" s="26"/>
      <c r="D64" s="26"/>
      <c r="E64" s="27"/>
      <c r="F64" s="197"/>
      <c r="G64" s="211"/>
      <c r="H64" s="34"/>
      <c r="I64" s="197"/>
      <c r="J64" s="89"/>
    </row>
    <row r="65" spans="1:10">
      <c r="A65" s="25" t="s">
        <v>999</v>
      </c>
      <c r="B65" s="26"/>
      <c r="C65" s="26"/>
      <c r="D65" s="26"/>
      <c r="E65" s="27"/>
      <c r="F65" s="197"/>
      <c r="G65" s="211"/>
      <c r="H65" s="34"/>
      <c r="I65" s="197"/>
      <c r="J65" s="89"/>
    </row>
    <row r="66" spans="1:10">
      <c r="A66" s="25" t="s">
        <v>1002</v>
      </c>
      <c r="B66" s="26"/>
      <c r="C66" s="26"/>
      <c r="D66" s="26"/>
      <c r="E66" s="27"/>
      <c r="F66" s="197"/>
      <c r="G66" s="211"/>
      <c r="H66" s="34"/>
      <c r="I66" s="197"/>
      <c r="J66" s="89"/>
    </row>
    <row r="67" spans="1:10">
      <c r="A67" s="25" t="s">
        <v>1004</v>
      </c>
      <c r="B67" s="26" t="s">
        <v>1000</v>
      </c>
      <c r="C67" s="26"/>
      <c r="D67" s="26"/>
      <c r="E67" s="27"/>
      <c r="F67" s="197"/>
      <c r="G67" s="211"/>
      <c r="H67" s="195">
        <f>SHAFT!O81</f>
        <v>7.8192479999999991</v>
      </c>
      <c r="I67" s="197"/>
      <c r="J67" s="195">
        <f>SHAFT!T81</f>
        <v>71.663407919999983</v>
      </c>
    </row>
    <row r="68" spans="1:10">
      <c r="A68" s="25" t="s">
        <v>1005</v>
      </c>
      <c r="B68" s="26" t="s">
        <v>1001</v>
      </c>
      <c r="C68" s="26"/>
      <c r="D68" s="26"/>
      <c r="E68" s="27"/>
      <c r="F68" s="197"/>
      <c r="G68" s="211"/>
      <c r="H68" s="195">
        <f>SHAFT!O82</f>
        <v>9.0222377142857191</v>
      </c>
      <c r="I68" s="197"/>
      <c r="J68" s="195">
        <f>SHAFT!T82</f>
        <v>82.688808651428602</v>
      </c>
    </row>
    <row r="69" spans="1:10">
      <c r="A69" s="25" t="s">
        <v>1003</v>
      </c>
      <c r="B69" s="26"/>
      <c r="C69" s="26"/>
      <c r="D69" s="26"/>
      <c r="E69" s="27"/>
      <c r="F69" s="197"/>
      <c r="G69" s="211"/>
      <c r="H69" s="34"/>
      <c r="I69" s="197"/>
      <c r="J69" s="89"/>
    </row>
    <row r="70" spans="1:10">
      <c r="A70" s="25" t="s">
        <v>1004</v>
      </c>
      <c r="B70" s="26" t="s">
        <v>1000</v>
      </c>
      <c r="C70" s="26"/>
      <c r="D70" s="26"/>
      <c r="E70" s="27"/>
      <c r="F70" s="197"/>
      <c r="G70" s="211"/>
      <c r="H70" s="195">
        <f>SHAFT!O84</f>
        <v>0</v>
      </c>
      <c r="I70" s="197"/>
      <c r="J70" s="195">
        <f>SHAFT!T84</f>
        <v>0</v>
      </c>
    </row>
    <row r="71" spans="1:10">
      <c r="A71" s="25" t="s">
        <v>1005</v>
      </c>
      <c r="B71" s="26" t="s">
        <v>1001</v>
      </c>
      <c r="C71" s="26"/>
      <c r="D71" s="26"/>
      <c r="E71" s="27"/>
      <c r="F71" s="197"/>
      <c r="G71" s="211"/>
      <c r="H71" s="195">
        <f>SHAFT!O85</f>
        <v>15.347938285714291</v>
      </c>
      <c r="I71" s="197"/>
      <c r="J71" s="195">
        <f>SHAFT!T85</f>
        <v>140.66385438857145</v>
      </c>
    </row>
    <row r="72" spans="1:10">
      <c r="A72" s="69"/>
      <c r="B72" s="26"/>
      <c r="C72" s="26"/>
      <c r="D72" s="26"/>
      <c r="E72" s="27"/>
      <c r="F72" s="197"/>
      <c r="G72" s="211"/>
      <c r="H72" s="34"/>
      <c r="I72" s="197"/>
      <c r="J72" s="89"/>
    </row>
    <row r="73" spans="1:10">
      <c r="A73" s="25" t="s">
        <v>1006</v>
      </c>
      <c r="B73" s="26" t="s">
        <v>211</v>
      </c>
      <c r="C73" s="26"/>
      <c r="D73" s="26"/>
      <c r="E73" s="27"/>
      <c r="F73" s="197"/>
      <c r="G73" s="211"/>
      <c r="H73" s="195">
        <f>SHAFT!O87</f>
        <v>19.850764639779044</v>
      </c>
      <c r="I73" s="197"/>
      <c r="J73" s="195">
        <f>SHAFT!T87</f>
        <v>73.367744311147007</v>
      </c>
    </row>
    <row r="74" spans="1:10">
      <c r="A74" s="25"/>
      <c r="B74" s="26"/>
      <c r="C74" s="26"/>
      <c r="D74" s="26"/>
      <c r="E74" s="27"/>
      <c r="F74" s="34"/>
      <c r="G74" s="27"/>
      <c r="H74" s="34"/>
      <c r="I74" s="34"/>
      <c r="J74" s="34"/>
    </row>
    <row r="75" spans="1:10">
      <c r="A75" s="982" t="s">
        <v>1134</v>
      </c>
      <c r="B75" s="983"/>
      <c r="C75" s="983"/>
      <c r="D75" s="983"/>
      <c r="E75" s="984"/>
      <c r="F75" s="985"/>
      <c r="G75" s="986"/>
      <c r="H75" s="987"/>
      <c r="I75" s="985"/>
      <c r="J75" s="988"/>
    </row>
    <row r="76" spans="1:10">
      <c r="A76" s="686" t="s">
        <v>1138</v>
      </c>
      <c r="B76" s="688" t="s">
        <v>1141</v>
      </c>
      <c r="C76" s="26"/>
      <c r="D76" s="26"/>
      <c r="E76" s="27"/>
      <c r="F76" s="34"/>
      <c r="G76" s="27"/>
      <c r="H76" s="195">
        <f>SHAFT!O90</f>
        <v>7.3173856373850432</v>
      </c>
      <c r="I76" s="620"/>
      <c r="J76" s="195">
        <f>SHAFT!T90</f>
        <v>8.4456204005780648</v>
      </c>
    </row>
    <row r="77" spans="1:10">
      <c r="A77" s="283"/>
      <c r="B77" s="284"/>
      <c r="C77" s="284"/>
      <c r="D77" s="284"/>
      <c r="E77" s="285"/>
      <c r="F77" s="286"/>
      <c r="G77" s="285"/>
      <c r="H77" s="286"/>
      <c r="I77" s="286"/>
      <c r="J77" s="286"/>
    </row>
    <row r="78" spans="1:10">
      <c r="A78" s="290" t="s">
        <v>1137</v>
      </c>
      <c r="B78" s="11"/>
      <c r="C78" s="11"/>
      <c r="D78" s="11"/>
      <c r="E78" s="191"/>
      <c r="F78" s="197"/>
      <c r="G78" s="211"/>
      <c r="H78" s="89"/>
      <c r="I78" s="197"/>
      <c r="J78" s="89"/>
    </row>
    <row r="79" spans="1:10">
      <c r="A79" s="25" t="s">
        <v>992</v>
      </c>
      <c r="B79" s="26"/>
      <c r="C79" s="26"/>
      <c r="D79" s="26"/>
      <c r="E79" s="27"/>
      <c r="F79" s="197"/>
      <c r="G79" s="211"/>
      <c r="H79" s="34"/>
      <c r="I79" s="197"/>
      <c r="J79" s="89"/>
    </row>
    <row r="80" spans="1:10">
      <c r="A80" s="25" t="s">
        <v>1007</v>
      </c>
      <c r="B80" s="26" t="s">
        <v>988</v>
      </c>
      <c r="C80" s="26"/>
      <c r="D80" s="26"/>
      <c r="E80" s="27"/>
      <c r="F80" s="195">
        <f>SHAFT!M94</f>
        <v>23.412799999999997</v>
      </c>
      <c r="G80" s="211"/>
      <c r="H80" s="34"/>
      <c r="I80" s="195">
        <f>SHAFT!S94</f>
        <v>-11.21508</v>
      </c>
      <c r="J80" s="195">
        <f>SHAFT!T94</f>
        <v>0</v>
      </c>
    </row>
    <row r="81" spans="1:10">
      <c r="A81" s="25" t="s">
        <v>1008</v>
      </c>
      <c r="B81" s="26" t="s">
        <v>989</v>
      </c>
      <c r="C81" s="26"/>
      <c r="D81" s="26"/>
      <c r="E81" s="27"/>
      <c r="F81" s="195">
        <f>SHAFT!M95</f>
        <v>23.412799999999997</v>
      </c>
      <c r="G81" s="211"/>
      <c r="H81" s="34"/>
      <c r="I81" s="195">
        <f>SHAFT!S95</f>
        <v>11.21508</v>
      </c>
      <c r="J81" s="195">
        <f>SHAFT!T95</f>
        <v>0</v>
      </c>
    </row>
    <row r="82" spans="1:10">
      <c r="A82" s="69"/>
      <c r="B82" s="26"/>
      <c r="C82" s="26"/>
      <c r="D82" s="26"/>
      <c r="E82" s="27"/>
      <c r="F82" s="197"/>
      <c r="G82" s="211"/>
      <c r="H82" s="34"/>
      <c r="I82" s="197"/>
      <c r="J82" s="89"/>
    </row>
    <row r="83" spans="1:10">
      <c r="A83" s="25" t="s">
        <v>999</v>
      </c>
      <c r="B83" s="26"/>
      <c r="C83" s="26"/>
      <c r="D83" s="26"/>
      <c r="E83" s="27"/>
      <c r="F83" s="197"/>
      <c r="G83" s="211"/>
      <c r="H83" s="34"/>
      <c r="I83" s="197"/>
      <c r="J83" s="89"/>
    </row>
    <row r="84" spans="1:10">
      <c r="A84" s="25" t="s">
        <v>1002</v>
      </c>
      <c r="B84" s="26"/>
      <c r="C84" s="26"/>
      <c r="D84" s="26"/>
      <c r="E84" s="27"/>
      <c r="F84" s="197"/>
      <c r="G84" s="211"/>
      <c r="H84" s="34"/>
      <c r="I84" s="197"/>
      <c r="J84" s="89"/>
    </row>
    <row r="85" spans="1:10">
      <c r="A85" s="25" t="s">
        <v>1009</v>
      </c>
      <c r="B85" s="26" t="s">
        <v>1000</v>
      </c>
      <c r="C85" s="26"/>
      <c r="D85" s="26"/>
      <c r="E85" s="27"/>
      <c r="F85" s="195">
        <f>SHAFT!M99</f>
        <v>5.2128319999999997</v>
      </c>
      <c r="G85" s="211"/>
      <c r="H85" s="34"/>
      <c r="I85" s="195">
        <f>SHAFT!S99</f>
        <v>-2.6064159999999998</v>
      </c>
      <c r="J85" s="195">
        <f>SHAFT!T99</f>
        <v>-0.80845858450450414</v>
      </c>
    </row>
    <row r="86" spans="1:10">
      <c r="A86" s="25" t="s">
        <v>1010</v>
      </c>
      <c r="B86" s="26" t="s">
        <v>1001</v>
      </c>
      <c r="C86" s="26"/>
      <c r="D86" s="26"/>
      <c r="E86" s="27"/>
      <c r="F86" s="195">
        <f>SHAFT!M100</f>
        <v>6.0148251428571458</v>
      </c>
      <c r="G86" s="211"/>
      <c r="H86" s="34"/>
      <c r="I86" s="195">
        <f>SHAFT!S100</f>
        <v>3.0074125714285729</v>
      </c>
      <c r="J86" s="195">
        <f>SHAFT!T100</f>
        <v>-0.93283977328185319</v>
      </c>
    </row>
    <row r="87" spans="1:10">
      <c r="A87" s="25" t="s">
        <v>1003</v>
      </c>
      <c r="B87" s="26"/>
      <c r="C87" s="26"/>
      <c r="D87" s="26"/>
      <c r="E87" s="27"/>
      <c r="F87" s="197"/>
      <c r="G87" s="211"/>
      <c r="H87" s="34"/>
      <c r="I87" s="197"/>
      <c r="J87" s="89"/>
    </row>
    <row r="88" spans="1:10">
      <c r="A88" s="25" t="s">
        <v>1009</v>
      </c>
      <c r="B88" s="26" t="s">
        <v>1000</v>
      </c>
      <c r="C88" s="26"/>
      <c r="D88" s="26"/>
      <c r="E88" s="27"/>
      <c r="F88" s="195">
        <f>SHAFT!M102</f>
        <v>0</v>
      </c>
      <c r="G88" s="211"/>
      <c r="H88" s="34"/>
      <c r="I88" s="195">
        <f>SHAFT!S102</f>
        <v>0</v>
      </c>
      <c r="J88" s="195">
        <f>SHAFT!T102</f>
        <v>0</v>
      </c>
    </row>
    <row r="89" spans="1:10">
      <c r="A89" s="25" t="s">
        <v>1010</v>
      </c>
      <c r="B89" s="26" t="s">
        <v>1001</v>
      </c>
      <c r="C89" s="26"/>
      <c r="D89" s="26"/>
      <c r="E89" s="27"/>
      <c r="F89" s="195">
        <f>SHAFT!M103</f>
        <v>10.231958857142859</v>
      </c>
      <c r="G89" s="211"/>
      <c r="H89" s="34"/>
      <c r="I89" s="195">
        <f>SHAFT!S103</f>
        <v>5.1159794285714293</v>
      </c>
      <c r="J89" s="195">
        <f>SHAFT!T103</f>
        <v>-1.5868754209523803</v>
      </c>
    </row>
    <row r="90" spans="1:10">
      <c r="A90" s="69"/>
      <c r="B90" s="26"/>
      <c r="C90" s="26"/>
      <c r="D90" s="26"/>
      <c r="E90" s="27"/>
      <c r="F90" s="197"/>
      <c r="G90" s="211"/>
      <c r="H90" s="34"/>
      <c r="I90" s="197"/>
      <c r="J90" s="89"/>
    </row>
    <row r="91" spans="1:10">
      <c r="A91" s="25" t="s">
        <v>1011</v>
      </c>
      <c r="B91" s="26" t="s">
        <v>211</v>
      </c>
      <c r="C91" s="26"/>
      <c r="D91" s="26"/>
      <c r="E91" s="27"/>
      <c r="F91" s="195">
        <f>SHAFT!M105</f>
        <v>13.233843093186028</v>
      </c>
      <c r="G91" s="211"/>
      <c r="H91" s="197"/>
      <c r="I91" s="195">
        <f>SHAFT!S105</f>
        <v>0</v>
      </c>
      <c r="J91" s="195">
        <f>SHAFT!T105</f>
        <v>0</v>
      </c>
    </row>
    <row r="92" spans="1:10">
      <c r="A92" s="25"/>
      <c r="B92" s="26"/>
      <c r="C92" s="26"/>
      <c r="D92" s="26"/>
      <c r="E92" s="27"/>
      <c r="F92" s="195"/>
      <c r="G92" s="211"/>
      <c r="H92" s="197"/>
      <c r="I92" s="195"/>
      <c r="J92" s="195"/>
    </row>
    <row r="93" spans="1:10">
      <c r="A93" s="686"/>
      <c r="B93" s="688"/>
      <c r="C93" s="688"/>
      <c r="D93" s="688"/>
      <c r="E93" s="689"/>
      <c r="F93" s="695"/>
      <c r="G93" s="621"/>
      <c r="H93" s="620"/>
      <c r="I93" s="695"/>
      <c r="J93" s="695"/>
    </row>
    <row r="94" spans="1:10">
      <c r="A94" s="25"/>
      <c r="B94" s="26"/>
      <c r="C94" s="26"/>
      <c r="D94" s="11"/>
      <c r="E94" s="191"/>
      <c r="F94" s="197"/>
      <c r="G94" s="211"/>
      <c r="H94" s="197"/>
      <c r="I94" s="197"/>
      <c r="J94" s="89"/>
    </row>
    <row r="95" spans="1:10">
      <c r="A95" s="15"/>
      <c r="B95" s="15"/>
      <c r="C95" s="15"/>
      <c r="D95" s="15"/>
      <c r="E95" s="22"/>
      <c r="F95" s="212"/>
      <c r="G95" s="213"/>
      <c r="H95" s="198"/>
      <c r="I95" s="198"/>
      <c r="J95" s="58"/>
    </row>
    <row r="96" spans="1:10">
      <c r="A96" s="46"/>
      <c r="B96" s="46"/>
      <c r="C96" s="46"/>
      <c r="D96" s="46"/>
      <c r="E96" s="46"/>
      <c r="F96" s="46"/>
      <c r="G96" s="46"/>
      <c r="H96" s="46"/>
      <c r="I96" s="46"/>
      <c r="J96" s="46"/>
    </row>
  </sheetData>
  <mergeCells count="1">
    <mergeCell ref="F10:J10"/>
  </mergeCells>
  <pageMargins left="0.70866141732283472" right="0.70866141732283472" top="0.74803149606299213" bottom="0.74803149606299213" header="0.31496062992125984" footer="0.31496062992125984"/>
  <pageSetup paperSize="9" orientation="portrait" blackAndWhite="1" r:id="rId1"/>
</worksheet>
</file>

<file path=xl/worksheets/sheet39.xml><?xml version="1.0" encoding="utf-8"?>
<worksheet xmlns="http://schemas.openxmlformats.org/spreadsheetml/2006/main" xmlns:r="http://schemas.openxmlformats.org/officeDocument/2006/relationships">
  <sheetPr codeName="Sheet50">
    <tabColor theme="5" tint="0.39997558519241921"/>
  </sheetPr>
  <dimension ref="A1:BQ105"/>
  <sheetViews>
    <sheetView view="pageBreakPreview" zoomScaleSheetLayoutView="100" workbookViewId="0">
      <selection activeCell="M33" sqref="M33"/>
    </sheetView>
  </sheetViews>
  <sheetFormatPr defaultColWidth="7.7109375" defaultRowHeight="15"/>
  <cols>
    <col min="1" max="2" width="7.7109375" style="1"/>
    <col min="3" max="3" width="7.7109375" style="1" customWidth="1"/>
    <col min="4" max="4" width="9.5703125" style="1" bestFit="1" customWidth="1"/>
    <col min="5" max="6" width="7.7109375" style="1"/>
    <col min="7" max="7" width="7.85546875" style="1" bestFit="1" customWidth="1"/>
    <col min="8" max="8" width="7.85546875" style="1" customWidth="1"/>
    <col min="9" max="9" width="7.7109375" style="1" customWidth="1"/>
    <col min="10" max="10" width="7.7109375" style="1"/>
    <col min="11" max="11" width="7.7109375" style="116"/>
    <col min="12" max="12" width="7.7109375" style="270"/>
    <col min="13" max="54" width="7.7109375" style="87"/>
    <col min="55" max="16384" width="7.7109375" style="1"/>
  </cols>
  <sheetData>
    <row r="1" spans="1:67">
      <c r="A1" s="9" t="s">
        <v>213</v>
      </c>
    </row>
    <row r="2" spans="1:67">
      <c r="A2" s="9" t="s">
        <v>1536</v>
      </c>
      <c r="L2" s="116"/>
      <c r="M2" s="380"/>
      <c r="N2" s="380"/>
      <c r="O2" s="380"/>
      <c r="P2" s="380"/>
      <c r="Q2" s="380"/>
      <c r="R2" s="380"/>
      <c r="S2" s="380"/>
      <c r="T2" s="380"/>
      <c r="U2" s="380"/>
      <c r="V2" s="380"/>
      <c r="W2" s="380"/>
      <c r="X2" s="380"/>
      <c r="Y2" s="380"/>
      <c r="Z2" s="380"/>
      <c r="AA2" s="380"/>
      <c r="AB2" s="380"/>
      <c r="AC2" s="380"/>
      <c r="AD2" s="380"/>
      <c r="AE2" s="380"/>
      <c r="AF2" s="380"/>
      <c r="AG2" s="380"/>
      <c r="AH2" s="380"/>
      <c r="AI2" s="380"/>
      <c r="AJ2" s="380"/>
      <c r="AK2" s="380"/>
      <c r="AL2" s="380"/>
      <c r="AM2" s="380"/>
      <c r="AN2" s="380"/>
      <c r="AO2" s="380"/>
      <c r="AP2" s="380"/>
      <c r="AQ2" s="380"/>
      <c r="AR2" s="380"/>
      <c r="AS2" s="380"/>
      <c r="AT2" s="380"/>
      <c r="AU2" s="380"/>
      <c r="AV2" s="380"/>
      <c r="AW2" s="380"/>
      <c r="AX2" s="380"/>
      <c r="AY2" s="380"/>
      <c r="AZ2" s="380"/>
      <c r="BA2" s="380"/>
      <c r="BB2" s="380"/>
      <c r="BC2" s="116"/>
      <c r="BD2" s="116"/>
      <c r="BE2" s="116"/>
    </row>
    <row r="3" spans="1:67">
      <c r="A3" s="9" t="s">
        <v>218</v>
      </c>
      <c r="BA3" s="380"/>
      <c r="BB3" s="380"/>
      <c r="BC3" s="116"/>
      <c r="BD3" s="116"/>
      <c r="BE3" s="116"/>
    </row>
    <row r="4" spans="1:67">
      <c r="A4" s="84"/>
      <c r="C4" s="84"/>
      <c r="E4" s="84"/>
      <c r="G4" s="84"/>
      <c r="I4" s="84"/>
    </row>
    <row r="5" spans="1:67">
      <c r="A5" s="811" t="s">
        <v>232</v>
      </c>
      <c r="B5" s="31"/>
      <c r="C5" s="215">
        <f>ROW(A10)</f>
        <v>10</v>
      </c>
    </row>
    <row r="6" spans="1:67">
      <c r="A6" s="225" t="s">
        <v>231</v>
      </c>
      <c r="B6" s="15"/>
      <c r="C6" s="216">
        <f>ROW(A96)</f>
        <v>96</v>
      </c>
      <c r="K6" s="1"/>
      <c r="L6" s="293"/>
      <c r="M6" s="149"/>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149"/>
      <c r="AZ6" s="149"/>
    </row>
    <row r="7" spans="1:67">
      <c r="A7" s="225" t="s">
        <v>220</v>
      </c>
      <c r="B7" s="1034" t="s">
        <v>1</v>
      </c>
      <c r="C7" s="216">
        <f>COUNTA(M10:BI10)+COUNTBLANK(M10:BI10)</f>
        <v>49</v>
      </c>
    </row>
    <row r="8" spans="1:67">
      <c r="A8" s="225" t="s">
        <v>592</v>
      </c>
      <c r="B8" s="1034"/>
      <c r="C8" s="216">
        <f>ROW(U_3.4_SH_SUM!A28)+1</f>
        <v>29</v>
      </c>
      <c r="M8" s="381"/>
    </row>
    <row r="9" spans="1:67">
      <c r="A9" s="84"/>
      <c r="M9" s="382" t="s">
        <v>252</v>
      </c>
      <c r="N9" s="383"/>
      <c r="O9" s="383"/>
      <c r="P9" s="383"/>
      <c r="Q9" s="383"/>
      <c r="R9" s="383"/>
      <c r="S9" s="383"/>
      <c r="T9" s="383"/>
      <c r="U9" s="383"/>
      <c r="V9" s="383"/>
      <c r="W9" s="383"/>
      <c r="X9" s="383"/>
      <c r="Y9" s="383"/>
      <c r="Z9" s="383"/>
      <c r="AA9" s="383"/>
      <c r="AB9" s="383"/>
      <c r="AC9" s="383"/>
      <c r="AD9" s="383"/>
      <c r="AE9" s="383"/>
      <c r="AF9" s="383"/>
      <c r="AG9" s="383"/>
      <c r="AH9" s="383"/>
      <c r="AI9" s="383"/>
      <c r="AJ9" s="383"/>
      <c r="AK9" s="383"/>
      <c r="AL9" s="383"/>
      <c r="AM9" s="383"/>
      <c r="AN9" s="383"/>
      <c r="AO9" s="383"/>
      <c r="AP9" s="383"/>
      <c r="AQ9" s="383"/>
      <c r="AR9" s="383"/>
      <c r="AS9" s="383"/>
      <c r="AT9" s="383"/>
      <c r="AU9" s="383"/>
      <c r="AV9" s="383"/>
      <c r="AW9" s="383"/>
      <c r="AX9" s="383"/>
      <c r="AY9" s="383"/>
      <c r="AZ9" s="382"/>
      <c r="BA9" s="383"/>
      <c r="BB9" s="383"/>
      <c r="BC9" s="92"/>
      <c r="BD9" s="92"/>
      <c r="BE9" s="92"/>
      <c r="BF9" s="92"/>
      <c r="BG9" s="92"/>
      <c r="BH9" s="92"/>
      <c r="BI9" s="292"/>
    </row>
    <row r="10" spans="1:67">
      <c r="A10" s="225" t="str">
        <f>M10</f>
        <v>LC-1</v>
      </c>
      <c r="B10" s="24" t="str">
        <f>VLOOKUP(A10,LC_DEF_2!A3:B42,2,FALSE)</f>
        <v>NS LWL Span dislodge case</v>
      </c>
      <c r="C10" s="24"/>
      <c r="D10" s="24"/>
      <c r="E10" s="21"/>
      <c r="F10" s="1599" t="s">
        <v>742</v>
      </c>
      <c r="G10" s="1635"/>
      <c r="H10" s="1635"/>
      <c r="I10" s="1635"/>
      <c r="J10" s="1600"/>
      <c r="K10" s="73"/>
      <c r="L10" s="272"/>
      <c r="M10" s="384" t="s">
        <v>122</v>
      </c>
      <c r="N10" s="384" t="s">
        <v>123</v>
      </c>
      <c r="O10" s="384" t="s">
        <v>126</v>
      </c>
      <c r="P10" s="384" t="s">
        <v>214</v>
      </c>
      <c r="Q10" s="384"/>
      <c r="R10" s="384" t="s">
        <v>215</v>
      </c>
      <c r="S10" s="384" t="s">
        <v>216</v>
      </c>
      <c r="T10" s="384" t="s">
        <v>222</v>
      </c>
      <c r="U10" s="384" t="s">
        <v>223</v>
      </c>
      <c r="V10" s="384"/>
      <c r="W10" s="413" t="s">
        <v>224</v>
      </c>
      <c r="X10" s="413" t="s">
        <v>225</v>
      </c>
      <c r="Y10" s="413" t="s">
        <v>230</v>
      </c>
      <c r="Z10" s="413" t="s">
        <v>238</v>
      </c>
      <c r="AA10" s="413"/>
      <c r="AB10" s="413" t="s">
        <v>239</v>
      </c>
      <c r="AC10" s="413" t="s">
        <v>240</v>
      </c>
      <c r="AD10" s="413" t="s">
        <v>241</v>
      </c>
      <c r="AE10" s="413" t="s">
        <v>242</v>
      </c>
      <c r="AF10" s="413"/>
      <c r="AG10" s="980" t="s">
        <v>243</v>
      </c>
      <c r="AH10" s="980" t="s">
        <v>244</v>
      </c>
      <c r="AI10" s="980" t="s">
        <v>668</v>
      </c>
      <c r="AJ10" s="980" t="s">
        <v>669</v>
      </c>
      <c r="AK10" s="697"/>
      <c r="AL10" s="980" t="s">
        <v>682</v>
      </c>
      <c r="AM10" s="980" t="s">
        <v>683</v>
      </c>
      <c r="AN10" s="980" t="s">
        <v>245</v>
      </c>
      <c r="AO10" s="980" t="s">
        <v>684</v>
      </c>
      <c r="AP10" s="697"/>
      <c r="AQ10" s="980" t="s">
        <v>1162</v>
      </c>
      <c r="AR10" s="980" t="s">
        <v>1163</v>
      </c>
      <c r="AS10" s="980" t="s">
        <v>1164</v>
      </c>
      <c r="AT10" s="980" t="s">
        <v>1165</v>
      </c>
      <c r="AU10" s="980"/>
      <c r="AV10" s="980" t="s">
        <v>1166</v>
      </c>
      <c r="AW10" s="980" t="s">
        <v>1167</v>
      </c>
      <c r="AX10" s="980" t="s">
        <v>1168</v>
      </c>
      <c r="AY10" s="1057" t="s">
        <v>1169</v>
      </c>
      <c r="AZ10" s="697"/>
      <c r="BA10" s="697" t="s">
        <v>1170</v>
      </c>
      <c r="BB10" s="697" t="s">
        <v>1171</v>
      </c>
      <c r="BC10" s="697" t="s">
        <v>1172</v>
      </c>
      <c r="BD10" s="697" t="s">
        <v>1173</v>
      </c>
      <c r="BE10" s="592"/>
      <c r="BF10" s="697" t="s">
        <v>1174</v>
      </c>
      <c r="BG10" s="697" t="s">
        <v>1175</v>
      </c>
      <c r="BH10" s="697" t="s">
        <v>1176</v>
      </c>
      <c r="BI10" s="697" t="s">
        <v>1177</v>
      </c>
    </row>
    <row r="11" spans="1:67" ht="18">
      <c r="A11" s="25" t="s">
        <v>73</v>
      </c>
      <c r="B11" s="26" t="s">
        <v>74</v>
      </c>
      <c r="C11" s="26"/>
      <c r="D11" s="26"/>
      <c r="E11" s="27"/>
      <c r="F11" s="33" t="s">
        <v>23</v>
      </c>
      <c r="G11" s="33" t="s">
        <v>87</v>
      </c>
      <c r="H11" s="33" t="s">
        <v>212</v>
      </c>
      <c r="I11" s="33" t="s">
        <v>80</v>
      </c>
      <c r="J11" s="33" t="s">
        <v>81</v>
      </c>
      <c r="K11" s="273"/>
      <c r="L11" s="274"/>
      <c r="M11" s="376"/>
      <c r="N11" s="376"/>
      <c r="O11" s="385"/>
      <c r="P11" s="385"/>
      <c r="Q11" s="385"/>
      <c r="R11" s="385"/>
      <c r="S11" s="385"/>
      <c r="T11" s="385"/>
      <c r="U11" s="385"/>
      <c r="V11" s="385"/>
      <c r="W11" s="385"/>
      <c r="X11" s="385"/>
      <c r="Y11" s="385"/>
      <c r="Z11" s="385"/>
      <c r="AA11" s="385"/>
      <c r="AB11" s="385"/>
      <c r="AC11" s="385"/>
      <c r="AD11" s="385"/>
      <c r="AE11" s="385"/>
      <c r="AF11" s="385"/>
      <c r="AG11" s="376"/>
      <c r="AH11" s="376"/>
      <c r="AI11" s="376"/>
      <c r="AJ11" s="376"/>
      <c r="AK11" s="385"/>
      <c r="AL11" s="700"/>
      <c r="AM11" s="704"/>
      <c r="AN11" s="704"/>
      <c r="AO11" s="704"/>
      <c r="AP11" s="385"/>
      <c r="AQ11" s="376"/>
      <c r="AR11" s="376"/>
      <c r="AS11" s="376"/>
      <c r="AT11" s="376"/>
      <c r="AU11" s="385"/>
      <c r="AV11" s="376"/>
      <c r="AW11" s="376"/>
      <c r="AX11" s="376"/>
      <c r="AY11" s="376"/>
    </row>
    <row r="12" spans="1:67">
      <c r="A12" s="25"/>
      <c r="B12" s="26"/>
      <c r="C12" s="26"/>
      <c r="D12" s="26"/>
      <c r="E12" s="27"/>
      <c r="F12" s="36" t="s">
        <v>34</v>
      </c>
      <c r="G12" s="36" t="s">
        <v>34</v>
      </c>
      <c r="H12" s="36" t="s">
        <v>34</v>
      </c>
      <c r="I12" s="36" t="s">
        <v>77</v>
      </c>
      <c r="J12" s="36" t="s">
        <v>77</v>
      </c>
      <c r="K12" s="74"/>
      <c r="L12" s="277"/>
      <c r="M12" s="655"/>
      <c r="N12" s="655"/>
      <c r="O12" s="741"/>
      <c r="P12" s="741"/>
      <c r="Q12" s="741"/>
      <c r="R12" s="741"/>
      <c r="S12" s="741"/>
      <c r="T12" s="741"/>
      <c r="U12" s="741"/>
      <c r="V12" s="741"/>
      <c r="W12" s="385"/>
      <c r="X12" s="385"/>
      <c r="Y12" s="385"/>
      <c r="Z12" s="385"/>
      <c r="AA12" s="385"/>
      <c r="AB12" s="385"/>
      <c r="AC12" s="385"/>
      <c r="AD12" s="385"/>
      <c r="AE12" s="385"/>
      <c r="AF12" s="385"/>
      <c r="AG12" s="376"/>
      <c r="AH12" s="376"/>
      <c r="AI12" s="376"/>
      <c r="AJ12" s="376"/>
      <c r="AK12" s="385"/>
      <c r="AL12" s="700"/>
      <c r="AM12" s="704"/>
      <c r="AN12" s="704"/>
      <c r="AO12" s="704"/>
      <c r="AP12" s="385"/>
      <c r="AQ12" s="376"/>
      <c r="AR12" s="376"/>
      <c r="AS12" s="376"/>
      <c r="AT12" s="376"/>
      <c r="AU12" s="385"/>
      <c r="AV12" s="376"/>
      <c r="AW12" s="376"/>
      <c r="AX12" s="376"/>
      <c r="AY12" s="376"/>
    </row>
    <row r="13" spans="1:67">
      <c r="A13" s="261"/>
      <c r="B13" s="262"/>
      <c r="C13" s="262"/>
      <c r="D13" s="262"/>
      <c r="E13" s="263"/>
      <c r="F13" s="264"/>
      <c r="G13" s="263"/>
      <c r="H13" s="264"/>
      <c r="I13" s="264"/>
      <c r="J13" s="264"/>
      <c r="K13" s="273"/>
      <c r="L13" s="274"/>
      <c r="M13" s="268"/>
      <c r="N13" s="268"/>
      <c r="O13" s="268"/>
      <c r="P13" s="268"/>
      <c r="Q13" s="89"/>
      <c r="R13" s="268"/>
      <c r="S13" s="268"/>
      <c r="T13" s="268"/>
      <c r="U13" s="268"/>
      <c r="V13" s="268"/>
      <c r="W13" s="377"/>
      <c r="X13" s="377"/>
      <c r="Y13" s="377"/>
      <c r="Z13" s="377"/>
      <c r="AA13" s="377"/>
      <c r="AB13" s="377"/>
      <c r="AC13" s="377"/>
      <c r="AD13" s="377"/>
      <c r="AE13" s="377"/>
      <c r="AF13" s="377"/>
      <c r="AG13" s="377"/>
      <c r="AH13" s="377"/>
      <c r="AI13" s="377"/>
      <c r="AJ13" s="377"/>
      <c r="AK13" s="377"/>
      <c r="AL13" s="698"/>
      <c r="AM13" s="698"/>
      <c r="AN13" s="698"/>
      <c r="AO13" s="698"/>
      <c r="AP13" s="377"/>
      <c r="AQ13" s="698"/>
      <c r="AR13" s="698"/>
      <c r="AS13" s="698"/>
      <c r="AT13" s="698"/>
      <c r="AU13" s="377"/>
      <c r="AV13" s="377"/>
      <c r="AW13" s="377"/>
      <c r="AX13" s="377"/>
      <c r="AY13" s="377"/>
      <c r="AZ13" s="377"/>
      <c r="BA13" s="377"/>
      <c r="BB13" s="377"/>
      <c r="BC13" s="377"/>
      <c r="BD13" s="377"/>
      <c r="BE13" s="377"/>
      <c r="BF13" s="377"/>
      <c r="BG13" s="377"/>
      <c r="BH13" s="377"/>
      <c r="BI13" s="377"/>
    </row>
    <row r="14" spans="1:67">
      <c r="A14" s="25" t="s">
        <v>88</v>
      </c>
      <c r="B14" s="26" t="s">
        <v>75</v>
      </c>
      <c r="C14" s="26"/>
      <c r="D14" s="26"/>
      <c r="E14" s="27"/>
      <c r="F14" s="195">
        <f>SHF!F14</f>
        <v>165.42303866482536</v>
      </c>
      <c r="G14" s="210"/>
      <c r="H14" s="34"/>
      <c r="I14" s="195">
        <f>SHF!I14</f>
        <v>0</v>
      </c>
      <c r="J14" s="195">
        <f>SHF!J14</f>
        <v>0</v>
      </c>
      <c r="K14" s="273"/>
      <c r="L14" s="274"/>
      <c r="M14" s="268">
        <v>1.35</v>
      </c>
      <c r="N14" s="268">
        <v>1.35</v>
      </c>
      <c r="O14" s="268">
        <v>1.35</v>
      </c>
      <c r="P14" s="268">
        <v>1.35</v>
      </c>
      <c r="Q14" s="89"/>
      <c r="R14" s="268">
        <v>1.35</v>
      </c>
      <c r="S14" s="268">
        <v>1.35</v>
      </c>
      <c r="T14" s="268">
        <v>1.35</v>
      </c>
      <c r="U14" s="268">
        <v>1.35</v>
      </c>
      <c r="V14" s="268"/>
      <c r="W14" s="268">
        <v>1.35</v>
      </c>
      <c r="X14" s="268">
        <v>1.35</v>
      </c>
      <c r="Y14" s="268">
        <v>1.35</v>
      </c>
      <c r="Z14" s="268">
        <v>1.35</v>
      </c>
      <c r="AA14" s="268"/>
      <c r="AB14" s="268">
        <v>1.35</v>
      </c>
      <c r="AC14" s="268">
        <v>1.35</v>
      </c>
      <c r="AD14" s="268">
        <v>1.35</v>
      </c>
      <c r="AE14" s="268">
        <v>1.35</v>
      </c>
      <c r="AF14" s="268"/>
      <c r="AG14" s="268">
        <v>1.35</v>
      </c>
      <c r="AH14" s="268">
        <v>1.35</v>
      </c>
      <c r="AI14" s="268">
        <v>1.35</v>
      </c>
      <c r="AJ14" s="268">
        <v>1.35</v>
      </c>
      <c r="AK14" s="268"/>
      <c r="AL14" s="699">
        <v>1.35</v>
      </c>
      <c r="AM14" s="699">
        <v>1.35</v>
      </c>
      <c r="AN14" s="699">
        <v>1.35</v>
      </c>
      <c r="AO14" s="699">
        <v>1.35</v>
      </c>
      <c r="AP14" s="268"/>
      <c r="AQ14" s="699">
        <v>1.35</v>
      </c>
      <c r="AR14" s="699">
        <v>1.35</v>
      </c>
      <c r="AS14" s="699">
        <v>1.35</v>
      </c>
      <c r="AT14" s="699">
        <v>1.35</v>
      </c>
      <c r="AU14" s="268"/>
      <c r="AV14" s="699">
        <v>1.35</v>
      </c>
      <c r="AW14" s="699">
        <v>1.35</v>
      </c>
      <c r="AX14" s="699">
        <v>1.35</v>
      </c>
      <c r="AY14" s="699">
        <v>1.35</v>
      </c>
      <c r="AZ14" s="268"/>
      <c r="BA14" s="699">
        <v>1.35</v>
      </c>
      <c r="BB14" s="699">
        <v>1.35</v>
      </c>
      <c r="BC14" s="699">
        <v>1.35</v>
      </c>
      <c r="BD14" s="699">
        <v>1.35</v>
      </c>
      <c r="BE14" s="268"/>
      <c r="BF14" s="699">
        <v>1.35</v>
      </c>
      <c r="BG14" s="699">
        <v>1.35</v>
      </c>
      <c r="BH14" s="699">
        <v>1.35</v>
      </c>
      <c r="BI14" s="699">
        <v>1.35</v>
      </c>
    </row>
    <row r="15" spans="1:67">
      <c r="A15" s="25"/>
      <c r="B15" s="26"/>
      <c r="C15" s="26"/>
      <c r="D15" s="26"/>
      <c r="E15" s="27"/>
      <c r="F15" s="196"/>
      <c r="G15" s="210"/>
      <c r="H15" s="34"/>
      <c r="I15" s="196"/>
      <c r="J15" s="34"/>
      <c r="K15" s="273"/>
      <c r="L15" s="274"/>
      <c r="M15" s="376"/>
      <c r="N15" s="376"/>
      <c r="O15" s="376"/>
      <c r="P15" s="376"/>
      <c r="Q15" s="89"/>
      <c r="R15" s="376"/>
      <c r="S15" s="376"/>
      <c r="T15" s="376"/>
      <c r="U15" s="376"/>
      <c r="V15" s="376"/>
      <c r="W15" s="376"/>
      <c r="X15" s="376"/>
      <c r="Y15" s="376"/>
      <c r="Z15" s="376"/>
      <c r="AA15" s="376"/>
      <c r="AB15" s="376"/>
      <c r="AC15" s="376"/>
      <c r="AD15" s="376"/>
      <c r="AE15" s="376"/>
      <c r="AF15" s="376"/>
      <c r="AG15" s="376"/>
      <c r="AH15" s="376"/>
      <c r="AI15" s="376"/>
      <c r="AJ15" s="376"/>
      <c r="AK15" s="376"/>
      <c r="AL15" s="700"/>
      <c r="AM15" s="700"/>
      <c r="AN15" s="700"/>
      <c r="AO15" s="700"/>
      <c r="AP15" s="376"/>
      <c r="AQ15" s="700"/>
      <c r="AR15" s="700"/>
      <c r="AS15" s="700"/>
      <c r="AT15" s="700"/>
      <c r="AU15" s="376"/>
      <c r="AV15" s="376"/>
      <c r="AW15" s="376"/>
      <c r="AX15" s="376"/>
      <c r="AY15" s="376"/>
      <c r="AZ15" s="376"/>
      <c r="BA15" s="376"/>
      <c r="BB15" s="376"/>
      <c r="BC15" s="376"/>
      <c r="BD15" s="376"/>
      <c r="BE15" s="376"/>
      <c r="BF15" s="376"/>
      <c r="BG15" s="376"/>
      <c r="BH15" s="376"/>
      <c r="BI15" s="376"/>
      <c r="BJ15" s="7"/>
      <c r="BK15" s="7"/>
      <c r="BL15" s="7"/>
      <c r="BM15" s="7"/>
      <c r="BN15" s="7"/>
      <c r="BO15" s="7"/>
    </row>
    <row r="16" spans="1:67">
      <c r="A16" s="25" t="s">
        <v>966</v>
      </c>
      <c r="B16" s="26"/>
      <c r="C16" s="26"/>
      <c r="D16" s="26"/>
      <c r="E16" s="27"/>
      <c r="F16" s="34"/>
      <c r="G16" s="27"/>
      <c r="H16" s="34"/>
      <c r="I16" s="34"/>
      <c r="J16" s="34"/>
      <c r="K16" s="273"/>
      <c r="L16" s="274"/>
      <c r="M16" s="376"/>
      <c r="N16" s="376"/>
      <c r="O16" s="376"/>
      <c r="P16" s="376"/>
      <c r="Q16" s="89"/>
      <c r="R16" s="376"/>
      <c r="S16" s="376"/>
      <c r="T16" s="376"/>
      <c r="U16" s="376"/>
      <c r="V16" s="376"/>
      <c r="W16" s="376"/>
      <c r="X16" s="376"/>
      <c r="Y16" s="376"/>
      <c r="Z16" s="376"/>
      <c r="AA16" s="376"/>
      <c r="AB16" s="376"/>
      <c r="AC16" s="376"/>
      <c r="AD16" s="376"/>
      <c r="AE16" s="376"/>
      <c r="AF16" s="376"/>
      <c r="AG16" s="376"/>
      <c r="AH16" s="376"/>
      <c r="AI16" s="376"/>
      <c r="AJ16" s="376"/>
      <c r="AK16" s="376"/>
      <c r="AL16" s="700"/>
      <c r="AM16" s="700"/>
      <c r="AN16" s="700"/>
      <c r="AO16" s="700"/>
      <c r="AP16" s="376"/>
      <c r="AQ16" s="700"/>
      <c r="AR16" s="700"/>
      <c r="AS16" s="700"/>
      <c r="AT16" s="700"/>
      <c r="AU16" s="376"/>
      <c r="AV16" s="376"/>
      <c r="AW16" s="376"/>
      <c r="AX16" s="376"/>
      <c r="AY16" s="376"/>
      <c r="AZ16" s="376"/>
      <c r="BA16" s="376"/>
      <c r="BB16" s="376"/>
      <c r="BC16" s="376"/>
      <c r="BD16" s="376"/>
      <c r="BE16" s="376"/>
      <c r="BF16" s="376"/>
      <c r="BG16" s="376"/>
      <c r="BH16" s="376"/>
      <c r="BI16" s="376"/>
      <c r="BJ16" s="7"/>
      <c r="BK16" s="7"/>
      <c r="BL16" s="7"/>
      <c r="BM16" s="7"/>
      <c r="BN16" s="7"/>
      <c r="BO16" s="7"/>
    </row>
    <row r="17" spans="1:69">
      <c r="A17" s="25" t="s">
        <v>250</v>
      </c>
      <c r="B17" s="26" t="s">
        <v>967</v>
      </c>
      <c r="C17" s="26"/>
      <c r="D17" s="26"/>
      <c r="E17" s="27"/>
      <c r="F17" s="195">
        <f>SHF!F17</f>
        <v>230</v>
      </c>
      <c r="G17" s="210"/>
      <c r="H17" s="34"/>
      <c r="I17" s="195">
        <f>SHF!I17</f>
        <v>-115</v>
      </c>
      <c r="J17" s="195">
        <f>SHF!J17</f>
        <v>0</v>
      </c>
      <c r="K17" s="273"/>
      <c r="L17" s="274"/>
      <c r="M17" s="268">
        <v>0</v>
      </c>
      <c r="N17" s="268">
        <v>1.35</v>
      </c>
      <c r="O17" s="268">
        <v>1.35</v>
      </c>
      <c r="P17" s="268">
        <v>1.35</v>
      </c>
      <c r="Q17" s="89"/>
      <c r="R17" s="268">
        <v>0</v>
      </c>
      <c r="S17" s="268">
        <v>0</v>
      </c>
      <c r="T17" s="268">
        <v>0</v>
      </c>
      <c r="U17" s="268">
        <v>0</v>
      </c>
      <c r="V17" s="268"/>
      <c r="W17" s="268">
        <v>1.35</v>
      </c>
      <c r="X17" s="268">
        <v>1.35</v>
      </c>
      <c r="Y17" s="268">
        <v>1.35</v>
      </c>
      <c r="Z17" s="268">
        <v>1.35</v>
      </c>
      <c r="AA17" s="268"/>
      <c r="AB17" s="268">
        <v>1.35</v>
      </c>
      <c r="AC17" s="268">
        <v>1.35</v>
      </c>
      <c r="AD17" s="268">
        <v>1.35</v>
      </c>
      <c r="AE17" s="268">
        <v>1.35</v>
      </c>
      <c r="AF17" s="268"/>
      <c r="AG17" s="268">
        <v>1.35</v>
      </c>
      <c r="AH17" s="268">
        <v>1.35</v>
      </c>
      <c r="AI17" s="268">
        <v>1.35</v>
      </c>
      <c r="AJ17" s="268">
        <v>1.35</v>
      </c>
      <c r="AK17" s="268"/>
      <c r="AL17" s="699">
        <v>0</v>
      </c>
      <c r="AM17" s="699">
        <v>1.35</v>
      </c>
      <c r="AN17" s="699">
        <v>1.35</v>
      </c>
      <c r="AO17" s="699">
        <v>1.35</v>
      </c>
      <c r="AP17" s="268"/>
      <c r="AQ17" s="699">
        <v>0</v>
      </c>
      <c r="AR17" s="699">
        <v>0</v>
      </c>
      <c r="AS17" s="699">
        <v>0</v>
      </c>
      <c r="AT17" s="699">
        <v>0</v>
      </c>
      <c r="AU17" s="268"/>
      <c r="AV17" s="268">
        <v>1.35</v>
      </c>
      <c r="AW17" s="268">
        <v>1.35</v>
      </c>
      <c r="AX17" s="268">
        <v>1.35</v>
      </c>
      <c r="AY17" s="268">
        <v>1.35</v>
      </c>
      <c r="AZ17" s="268"/>
      <c r="BA17" s="268">
        <v>1.35</v>
      </c>
      <c r="BB17" s="268">
        <v>1.35</v>
      </c>
      <c r="BC17" s="268">
        <v>1.35</v>
      </c>
      <c r="BD17" s="268">
        <v>1.35</v>
      </c>
      <c r="BE17" s="268"/>
      <c r="BF17" s="268">
        <v>1.35</v>
      </c>
      <c r="BG17" s="268">
        <v>1.35</v>
      </c>
      <c r="BH17" s="268">
        <v>1.35</v>
      </c>
      <c r="BI17" s="268">
        <v>1.35</v>
      </c>
    </row>
    <row r="18" spans="1:69">
      <c r="A18" s="25" t="s">
        <v>251</v>
      </c>
      <c r="B18" s="26" t="s">
        <v>968</v>
      </c>
      <c r="C18" s="26"/>
      <c r="D18" s="26"/>
      <c r="E18" s="27"/>
      <c r="F18" s="195">
        <f>SHF!F18</f>
        <v>20.660000000000004</v>
      </c>
      <c r="G18" s="210"/>
      <c r="H18" s="34"/>
      <c r="I18" s="195">
        <f>SHF!I18</f>
        <v>-10.330000000000002</v>
      </c>
      <c r="J18" s="195">
        <f>SHF!J18</f>
        <v>0</v>
      </c>
      <c r="K18" s="273"/>
      <c r="L18" s="274"/>
      <c r="M18" s="268">
        <v>0</v>
      </c>
      <c r="N18" s="268">
        <v>1.35</v>
      </c>
      <c r="O18" s="268">
        <v>1.35</v>
      </c>
      <c r="P18" s="268">
        <v>1.35</v>
      </c>
      <c r="Q18" s="89"/>
      <c r="R18" s="268">
        <v>0</v>
      </c>
      <c r="S18" s="268">
        <v>0</v>
      </c>
      <c r="T18" s="268">
        <v>0</v>
      </c>
      <c r="U18" s="268">
        <v>0</v>
      </c>
      <c r="V18" s="268"/>
      <c r="W18" s="268">
        <v>1.35</v>
      </c>
      <c r="X18" s="268">
        <v>1.35</v>
      </c>
      <c r="Y18" s="268">
        <v>1.35</v>
      </c>
      <c r="Z18" s="268">
        <v>1.35</v>
      </c>
      <c r="AA18" s="268"/>
      <c r="AB18" s="268">
        <v>1.35</v>
      </c>
      <c r="AC18" s="268">
        <v>1.35</v>
      </c>
      <c r="AD18" s="268">
        <v>1.35</v>
      </c>
      <c r="AE18" s="268">
        <v>1.35</v>
      </c>
      <c r="AF18" s="268"/>
      <c r="AG18" s="268">
        <v>1.35</v>
      </c>
      <c r="AH18" s="268">
        <v>1.35</v>
      </c>
      <c r="AI18" s="268">
        <v>1.35</v>
      </c>
      <c r="AJ18" s="268">
        <v>1.35</v>
      </c>
      <c r="AK18" s="268"/>
      <c r="AL18" s="699">
        <v>0</v>
      </c>
      <c r="AM18" s="699">
        <v>1.35</v>
      </c>
      <c r="AN18" s="699">
        <v>1.35</v>
      </c>
      <c r="AO18" s="699">
        <v>1.35</v>
      </c>
      <c r="AP18" s="268"/>
      <c r="AQ18" s="699">
        <v>0</v>
      </c>
      <c r="AR18" s="699">
        <v>0</v>
      </c>
      <c r="AS18" s="699">
        <v>0</v>
      </c>
      <c r="AT18" s="699">
        <v>0</v>
      </c>
      <c r="AU18" s="268"/>
      <c r="AV18" s="268">
        <v>1.35</v>
      </c>
      <c r="AW18" s="268">
        <v>1.35</v>
      </c>
      <c r="AX18" s="268">
        <v>1.35</v>
      </c>
      <c r="AY18" s="268">
        <v>1.35</v>
      </c>
      <c r="AZ18" s="268"/>
      <c r="BA18" s="268">
        <v>1.35</v>
      </c>
      <c r="BB18" s="268">
        <v>1.35</v>
      </c>
      <c r="BC18" s="268">
        <v>1.35</v>
      </c>
      <c r="BD18" s="268">
        <v>1.35</v>
      </c>
      <c r="BE18" s="268"/>
      <c r="BF18" s="268">
        <v>1.35</v>
      </c>
      <c r="BG18" s="268">
        <v>1.35</v>
      </c>
      <c r="BH18" s="268">
        <v>1.35</v>
      </c>
      <c r="BI18" s="268">
        <v>1.35</v>
      </c>
    </row>
    <row r="19" spans="1:69">
      <c r="A19" s="25" t="s">
        <v>97</v>
      </c>
      <c r="B19" s="26" t="s">
        <v>969</v>
      </c>
      <c r="C19" s="26"/>
      <c r="D19" s="26"/>
      <c r="E19" s="27"/>
      <c r="F19" s="195">
        <f>SHF!F19</f>
        <v>42</v>
      </c>
      <c r="G19" s="210"/>
      <c r="H19" s="34"/>
      <c r="I19" s="195">
        <f>SHF!I19</f>
        <v>-14.858499999999999</v>
      </c>
      <c r="J19" s="195">
        <f>SHF!J19</f>
        <v>0</v>
      </c>
      <c r="K19" s="273"/>
      <c r="L19" s="274"/>
      <c r="M19" s="268">
        <v>0</v>
      </c>
      <c r="N19" s="268">
        <v>1.35</v>
      </c>
      <c r="O19" s="268">
        <v>1.35</v>
      </c>
      <c r="P19" s="268">
        <v>1.35</v>
      </c>
      <c r="Q19" s="89"/>
      <c r="R19" s="268">
        <v>0</v>
      </c>
      <c r="S19" s="268">
        <v>0</v>
      </c>
      <c r="T19" s="268">
        <v>0</v>
      </c>
      <c r="U19" s="268">
        <v>0</v>
      </c>
      <c r="V19" s="268"/>
      <c r="W19" s="268">
        <v>1.35</v>
      </c>
      <c r="X19" s="268">
        <v>1.35</v>
      </c>
      <c r="Y19" s="268">
        <v>1.35</v>
      </c>
      <c r="Z19" s="268">
        <v>1.35</v>
      </c>
      <c r="AA19" s="268"/>
      <c r="AB19" s="268">
        <v>1.35</v>
      </c>
      <c r="AC19" s="268">
        <v>1.35</v>
      </c>
      <c r="AD19" s="268">
        <v>1.35</v>
      </c>
      <c r="AE19" s="268">
        <v>1.35</v>
      </c>
      <c r="AF19" s="268"/>
      <c r="AG19" s="268">
        <v>1.35</v>
      </c>
      <c r="AH19" s="268">
        <v>1.35</v>
      </c>
      <c r="AI19" s="268">
        <v>1.35</v>
      </c>
      <c r="AJ19" s="268">
        <v>1.35</v>
      </c>
      <c r="AK19" s="268"/>
      <c r="AL19" s="699">
        <v>0</v>
      </c>
      <c r="AM19" s="699">
        <v>1.35</v>
      </c>
      <c r="AN19" s="699">
        <v>1.35</v>
      </c>
      <c r="AO19" s="699">
        <v>1.35</v>
      </c>
      <c r="AP19" s="268"/>
      <c r="AQ19" s="699">
        <v>0</v>
      </c>
      <c r="AR19" s="699">
        <v>0</v>
      </c>
      <c r="AS19" s="699">
        <v>0</v>
      </c>
      <c r="AT19" s="699">
        <v>0</v>
      </c>
      <c r="AU19" s="268"/>
      <c r="AV19" s="268">
        <v>1.35</v>
      </c>
      <c r="AW19" s="268">
        <v>1.35</v>
      </c>
      <c r="AX19" s="268">
        <v>1.35</v>
      </c>
      <c r="AY19" s="268">
        <v>1.35</v>
      </c>
      <c r="AZ19" s="268"/>
      <c r="BA19" s="268">
        <v>1.35</v>
      </c>
      <c r="BB19" s="268">
        <v>1.35</v>
      </c>
      <c r="BC19" s="268">
        <v>1.35</v>
      </c>
      <c r="BD19" s="268">
        <v>1.35</v>
      </c>
      <c r="BE19" s="268"/>
      <c r="BF19" s="268">
        <v>1.35</v>
      </c>
      <c r="BG19" s="268">
        <v>1.35</v>
      </c>
      <c r="BH19" s="268">
        <v>1.35</v>
      </c>
      <c r="BI19" s="268">
        <v>1.35</v>
      </c>
    </row>
    <row r="20" spans="1:69">
      <c r="A20" s="25" t="s">
        <v>973</v>
      </c>
      <c r="B20" s="26"/>
      <c r="C20" s="26"/>
      <c r="D20" s="26"/>
      <c r="E20" s="27"/>
      <c r="F20" s="34"/>
      <c r="G20" s="27"/>
      <c r="H20" s="34"/>
      <c r="I20" s="34"/>
      <c r="J20" s="34"/>
      <c r="K20" s="273"/>
      <c r="L20" s="274"/>
      <c r="M20" s="376"/>
      <c r="N20" s="376"/>
      <c r="O20" s="376"/>
      <c r="P20" s="376"/>
      <c r="Q20" s="89"/>
      <c r="R20" s="376"/>
      <c r="S20" s="376"/>
      <c r="T20" s="376"/>
      <c r="U20" s="376"/>
      <c r="V20" s="376"/>
      <c r="W20" s="376"/>
      <c r="X20" s="376"/>
      <c r="Y20" s="376"/>
      <c r="Z20" s="376"/>
      <c r="AA20" s="376"/>
      <c r="AB20" s="376"/>
      <c r="AC20" s="376"/>
      <c r="AD20" s="376"/>
      <c r="AE20" s="376"/>
      <c r="AF20" s="376"/>
      <c r="AG20" s="376"/>
      <c r="AH20" s="376"/>
      <c r="AI20" s="376"/>
      <c r="AJ20" s="376"/>
      <c r="AK20" s="376"/>
      <c r="AL20" s="700"/>
      <c r="AM20" s="700"/>
      <c r="AN20" s="700"/>
      <c r="AO20" s="700"/>
      <c r="AP20" s="376"/>
      <c r="AQ20" s="700"/>
      <c r="AR20" s="700"/>
      <c r="AS20" s="700"/>
      <c r="AT20" s="700"/>
      <c r="AU20" s="376"/>
      <c r="AV20" s="376"/>
      <c r="AW20" s="376"/>
      <c r="AX20" s="376"/>
      <c r="AY20" s="376"/>
      <c r="AZ20" s="376"/>
      <c r="BA20" s="376"/>
      <c r="BB20" s="376"/>
      <c r="BC20" s="376"/>
      <c r="BD20" s="376"/>
      <c r="BE20" s="376"/>
      <c r="BF20" s="376"/>
      <c r="BG20" s="376"/>
      <c r="BH20" s="376"/>
      <c r="BI20" s="376"/>
    </row>
    <row r="21" spans="1:69">
      <c r="A21" s="25" t="s">
        <v>250</v>
      </c>
      <c r="B21" s="26" t="s">
        <v>970</v>
      </c>
      <c r="C21" s="26"/>
      <c r="D21" s="26"/>
      <c r="E21" s="27"/>
      <c r="F21" s="195">
        <f>SHF!F21</f>
        <v>230</v>
      </c>
      <c r="G21" s="210"/>
      <c r="H21" s="34"/>
      <c r="I21" s="195">
        <f>SHF!I21</f>
        <v>115</v>
      </c>
      <c r="J21" s="195">
        <f>SHF!J21</f>
        <v>0</v>
      </c>
      <c r="K21" s="273"/>
      <c r="L21" s="274"/>
      <c r="M21" s="376">
        <v>1.35</v>
      </c>
      <c r="N21" s="376">
        <v>1.35</v>
      </c>
      <c r="O21" s="376">
        <v>1.35</v>
      </c>
      <c r="P21" s="376">
        <v>1.35</v>
      </c>
      <c r="Q21" s="89"/>
      <c r="R21" s="376">
        <v>1.35</v>
      </c>
      <c r="S21" s="376">
        <v>1.35</v>
      </c>
      <c r="T21" s="376">
        <v>1.35</v>
      </c>
      <c r="U21" s="376">
        <v>1.35</v>
      </c>
      <c r="V21" s="376"/>
      <c r="W21" s="376">
        <v>1.35</v>
      </c>
      <c r="X21" s="376">
        <v>1.35</v>
      </c>
      <c r="Y21" s="376">
        <v>1.35</v>
      </c>
      <c r="Z21" s="376">
        <v>1.35</v>
      </c>
      <c r="AA21" s="376"/>
      <c r="AB21" s="376">
        <v>1.35</v>
      </c>
      <c r="AC21" s="376">
        <v>1.35</v>
      </c>
      <c r="AD21" s="376">
        <v>1.35</v>
      </c>
      <c r="AE21" s="376">
        <v>1.35</v>
      </c>
      <c r="AF21" s="376"/>
      <c r="AG21" s="376">
        <v>1.35</v>
      </c>
      <c r="AH21" s="376">
        <v>1.35</v>
      </c>
      <c r="AI21" s="376">
        <v>1.35</v>
      </c>
      <c r="AJ21" s="376">
        <v>1.35</v>
      </c>
      <c r="AK21" s="376"/>
      <c r="AL21" s="700">
        <v>1.35</v>
      </c>
      <c r="AM21" s="700">
        <v>1.35</v>
      </c>
      <c r="AN21" s="700">
        <v>1.35</v>
      </c>
      <c r="AO21" s="700">
        <v>1.35</v>
      </c>
      <c r="AP21" s="376"/>
      <c r="AQ21" s="700">
        <v>1.35</v>
      </c>
      <c r="AR21" s="700">
        <v>1.35</v>
      </c>
      <c r="AS21" s="700">
        <v>1.35</v>
      </c>
      <c r="AT21" s="700">
        <v>1.35</v>
      </c>
      <c r="AU21" s="376"/>
      <c r="AV21" s="376">
        <v>1.35</v>
      </c>
      <c r="AW21" s="376">
        <v>1.35</v>
      </c>
      <c r="AX21" s="376">
        <v>1.35</v>
      </c>
      <c r="AY21" s="376">
        <v>1.35</v>
      </c>
      <c r="AZ21" s="376"/>
      <c r="BA21" s="376">
        <v>1.35</v>
      </c>
      <c r="BB21" s="376">
        <v>1.35</v>
      </c>
      <c r="BC21" s="376">
        <v>1.35</v>
      </c>
      <c r="BD21" s="376">
        <v>1.35</v>
      </c>
      <c r="BE21" s="376"/>
      <c r="BF21" s="376">
        <v>1.35</v>
      </c>
      <c r="BG21" s="376">
        <v>1.35</v>
      </c>
      <c r="BH21" s="376">
        <v>1.35</v>
      </c>
      <c r="BI21" s="376">
        <v>1.35</v>
      </c>
    </row>
    <row r="22" spans="1:69">
      <c r="A22" s="25" t="s">
        <v>251</v>
      </c>
      <c r="B22" s="26" t="s">
        <v>971</v>
      </c>
      <c r="C22" s="26"/>
      <c r="D22" s="26"/>
      <c r="E22" s="27"/>
      <c r="F22" s="195">
        <f>SHF!F22</f>
        <v>20.660000000000004</v>
      </c>
      <c r="G22" s="210"/>
      <c r="H22" s="34"/>
      <c r="I22" s="195">
        <f>SHF!I22</f>
        <v>10.330000000000002</v>
      </c>
      <c r="J22" s="195">
        <f>SHF!J22</f>
        <v>0</v>
      </c>
      <c r="K22" s="273"/>
      <c r="L22" s="274"/>
      <c r="M22" s="376">
        <v>1.35</v>
      </c>
      <c r="N22" s="376">
        <v>1.35</v>
      </c>
      <c r="O22" s="376">
        <v>1.35</v>
      </c>
      <c r="P22" s="376">
        <v>1.35</v>
      </c>
      <c r="Q22" s="89"/>
      <c r="R22" s="376">
        <v>1.35</v>
      </c>
      <c r="S22" s="376">
        <v>1.35</v>
      </c>
      <c r="T22" s="376">
        <v>1.35</v>
      </c>
      <c r="U22" s="376">
        <v>1.35</v>
      </c>
      <c r="V22" s="376"/>
      <c r="W22" s="376">
        <v>1.35</v>
      </c>
      <c r="X22" s="376">
        <v>1.35</v>
      </c>
      <c r="Y22" s="376">
        <v>1.35</v>
      </c>
      <c r="Z22" s="376">
        <v>1.35</v>
      </c>
      <c r="AA22" s="376"/>
      <c r="AB22" s="376">
        <v>1.35</v>
      </c>
      <c r="AC22" s="376">
        <v>1.35</v>
      </c>
      <c r="AD22" s="376">
        <v>1.35</v>
      </c>
      <c r="AE22" s="376">
        <v>1.35</v>
      </c>
      <c r="AF22" s="376"/>
      <c r="AG22" s="376">
        <v>1.35</v>
      </c>
      <c r="AH22" s="376">
        <v>1.35</v>
      </c>
      <c r="AI22" s="376">
        <v>1.35</v>
      </c>
      <c r="AJ22" s="376">
        <v>1.35</v>
      </c>
      <c r="AK22" s="376"/>
      <c r="AL22" s="700">
        <v>1.35</v>
      </c>
      <c r="AM22" s="700">
        <v>1.35</v>
      </c>
      <c r="AN22" s="700">
        <v>1.35</v>
      </c>
      <c r="AO22" s="700">
        <v>1.35</v>
      </c>
      <c r="AP22" s="376"/>
      <c r="AQ22" s="700">
        <v>1.35</v>
      </c>
      <c r="AR22" s="700">
        <v>1.35</v>
      </c>
      <c r="AS22" s="700">
        <v>1.35</v>
      </c>
      <c r="AT22" s="700">
        <v>1.35</v>
      </c>
      <c r="AU22" s="376"/>
      <c r="AV22" s="376">
        <v>1.35</v>
      </c>
      <c r="AW22" s="376">
        <v>1.35</v>
      </c>
      <c r="AX22" s="376">
        <v>1.35</v>
      </c>
      <c r="AY22" s="376">
        <v>1.35</v>
      </c>
      <c r="AZ22" s="376"/>
      <c r="BA22" s="376">
        <v>1.35</v>
      </c>
      <c r="BB22" s="376">
        <v>1.35</v>
      </c>
      <c r="BC22" s="376">
        <v>1.35</v>
      </c>
      <c r="BD22" s="376">
        <v>1.35</v>
      </c>
      <c r="BE22" s="376"/>
      <c r="BF22" s="376">
        <v>1.35</v>
      </c>
      <c r="BG22" s="376">
        <v>1.35</v>
      </c>
      <c r="BH22" s="376">
        <v>1.35</v>
      </c>
      <c r="BI22" s="376">
        <v>1.35</v>
      </c>
    </row>
    <row r="23" spans="1:69">
      <c r="A23" s="25" t="s">
        <v>97</v>
      </c>
      <c r="B23" s="26" t="s">
        <v>972</v>
      </c>
      <c r="C23" s="26"/>
      <c r="D23" s="26"/>
      <c r="E23" s="27"/>
      <c r="F23" s="195">
        <f>SHF!F23</f>
        <v>42</v>
      </c>
      <c r="G23" s="210"/>
      <c r="H23" s="34"/>
      <c r="I23" s="195">
        <f>SHF!I23</f>
        <v>14.858499999999999</v>
      </c>
      <c r="J23" s="195">
        <f>SHF!J23</f>
        <v>0</v>
      </c>
      <c r="K23" s="273"/>
      <c r="L23" s="274"/>
      <c r="M23" s="376">
        <v>1.75</v>
      </c>
      <c r="N23" s="376">
        <v>1.75</v>
      </c>
      <c r="O23" s="376">
        <v>1.75</v>
      </c>
      <c r="P23" s="376">
        <v>1.75</v>
      </c>
      <c r="Q23" s="89"/>
      <c r="R23" s="376">
        <v>1.75</v>
      </c>
      <c r="S23" s="376">
        <v>1.75</v>
      </c>
      <c r="T23" s="376">
        <v>1.75</v>
      </c>
      <c r="U23" s="376">
        <v>1.75</v>
      </c>
      <c r="V23" s="376"/>
      <c r="W23" s="376">
        <v>1.75</v>
      </c>
      <c r="X23" s="376">
        <v>1.75</v>
      </c>
      <c r="Y23" s="376">
        <v>1.75</v>
      </c>
      <c r="Z23" s="376">
        <v>1.75</v>
      </c>
      <c r="AA23" s="376"/>
      <c r="AB23" s="376">
        <v>1.75</v>
      </c>
      <c r="AC23" s="376">
        <v>1.75</v>
      </c>
      <c r="AD23" s="376">
        <v>1.75</v>
      </c>
      <c r="AE23" s="376">
        <v>1.75</v>
      </c>
      <c r="AF23" s="376"/>
      <c r="AG23" s="376">
        <v>1.75</v>
      </c>
      <c r="AH23" s="376">
        <v>1.75</v>
      </c>
      <c r="AI23" s="376">
        <v>1.75</v>
      </c>
      <c r="AJ23" s="376">
        <v>1.75</v>
      </c>
      <c r="AK23" s="376"/>
      <c r="AL23" s="376">
        <v>1.75</v>
      </c>
      <c r="AM23" s="376">
        <v>1.75</v>
      </c>
      <c r="AN23" s="376">
        <v>1.75</v>
      </c>
      <c r="AO23" s="376">
        <v>1.75</v>
      </c>
      <c r="AP23" s="376"/>
      <c r="AQ23" s="376">
        <v>1.75</v>
      </c>
      <c r="AR23" s="376">
        <v>1.75</v>
      </c>
      <c r="AS23" s="376">
        <v>1.75</v>
      </c>
      <c r="AT23" s="376">
        <v>1.75</v>
      </c>
      <c r="AU23" s="376"/>
      <c r="AV23" s="376">
        <v>1.75</v>
      </c>
      <c r="AW23" s="376">
        <v>1.75</v>
      </c>
      <c r="AX23" s="376">
        <v>1.75</v>
      </c>
      <c r="AY23" s="376">
        <v>1.75</v>
      </c>
      <c r="AZ23" s="376"/>
      <c r="BA23" s="376">
        <v>1.75</v>
      </c>
      <c r="BB23" s="376">
        <v>1.75</v>
      </c>
      <c r="BC23" s="376">
        <v>1.75</v>
      </c>
      <c r="BD23" s="376">
        <v>1.75</v>
      </c>
      <c r="BE23" s="376"/>
      <c r="BF23" s="376">
        <v>1.75</v>
      </c>
      <c r="BG23" s="376">
        <v>1.75</v>
      </c>
      <c r="BH23" s="376">
        <v>1.75</v>
      </c>
      <c r="BI23" s="376">
        <v>1.75</v>
      </c>
    </row>
    <row r="24" spans="1:69">
      <c r="A24" s="25"/>
      <c r="B24" s="26"/>
      <c r="C24" s="26"/>
      <c r="D24" s="26"/>
      <c r="E24" s="27"/>
      <c r="F24" s="34"/>
      <c r="G24" s="27"/>
      <c r="H24" s="34"/>
      <c r="I24" s="34"/>
      <c r="J24" s="34"/>
      <c r="K24" s="273"/>
      <c r="L24" s="274"/>
      <c r="M24" s="376"/>
      <c r="N24" s="376"/>
      <c r="O24" s="376"/>
      <c r="P24" s="376"/>
      <c r="Q24" s="89"/>
      <c r="R24" s="376"/>
      <c r="S24" s="376"/>
      <c r="T24" s="376"/>
      <c r="U24" s="376"/>
      <c r="V24" s="376"/>
      <c r="W24" s="376"/>
      <c r="X24" s="376"/>
      <c r="Y24" s="376"/>
      <c r="Z24" s="376"/>
      <c r="AA24" s="376"/>
      <c r="AB24" s="376"/>
      <c r="AC24" s="376"/>
      <c r="AD24" s="376"/>
      <c r="AE24" s="376"/>
      <c r="AF24" s="376"/>
      <c r="AG24" s="376"/>
      <c r="AH24" s="376"/>
      <c r="AI24" s="376"/>
      <c r="AJ24" s="376"/>
      <c r="AK24" s="376"/>
      <c r="AL24" s="700"/>
      <c r="AM24" s="700"/>
      <c r="AN24" s="700"/>
      <c r="AO24" s="700"/>
      <c r="AP24" s="376"/>
      <c r="AQ24" s="700"/>
      <c r="AR24" s="700"/>
      <c r="AS24" s="700"/>
      <c r="AT24" s="700"/>
      <c r="AU24" s="376"/>
      <c r="AV24" s="376"/>
      <c r="AW24" s="376"/>
      <c r="AX24" s="376"/>
      <c r="AY24" s="376"/>
      <c r="AZ24" s="376"/>
      <c r="BA24" s="376"/>
      <c r="BB24" s="376"/>
      <c r="BC24" s="376"/>
      <c r="BD24" s="376"/>
      <c r="BE24" s="376"/>
      <c r="BF24" s="376"/>
      <c r="BG24" s="376"/>
      <c r="BH24" s="376"/>
      <c r="BI24" s="376"/>
      <c r="BJ24" s="7"/>
      <c r="BK24" s="7"/>
      <c r="BL24" s="7"/>
      <c r="BM24" s="7"/>
      <c r="BN24" s="7"/>
      <c r="BO24" s="7"/>
      <c r="BP24" s="7"/>
      <c r="BQ24" s="7"/>
    </row>
    <row r="25" spans="1:69">
      <c r="A25" s="25" t="s">
        <v>974</v>
      </c>
      <c r="B25" s="26"/>
      <c r="C25" s="26"/>
      <c r="D25" s="26"/>
      <c r="E25" s="27"/>
      <c r="F25" s="34"/>
      <c r="G25" s="27"/>
      <c r="H25" s="34"/>
      <c r="I25" s="34"/>
      <c r="J25" s="34"/>
      <c r="K25" s="273"/>
      <c r="L25" s="274"/>
      <c r="M25" s="376"/>
      <c r="N25" s="376"/>
      <c r="O25" s="376"/>
      <c r="P25" s="376"/>
      <c r="Q25" s="89"/>
      <c r="R25" s="376"/>
      <c r="S25" s="376"/>
      <c r="T25" s="376"/>
      <c r="U25" s="376"/>
      <c r="V25" s="376"/>
      <c r="W25" s="376"/>
      <c r="X25" s="376"/>
      <c r="Y25" s="376"/>
      <c r="Z25" s="376"/>
      <c r="AA25" s="376"/>
      <c r="AB25" s="376"/>
      <c r="AC25" s="376"/>
      <c r="AD25" s="376"/>
      <c r="AE25" s="376"/>
      <c r="AF25" s="376"/>
      <c r="AG25" s="376"/>
      <c r="AH25" s="376"/>
      <c r="AI25" s="376"/>
      <c r="AJ25" s="376"/>
      <c r="AK25" s="376"/>
      <c r="AL25" s="700"/>
      <c r="AM25" s="700"/>
      <c r="AN25" s="700"/>
      <c r="AO25" s="700"/>
      <c r="AP25" s="376"/>
      <c r="AQ25" s="700"/>
      <c r="AR25" s="700"/>
      <c r="AS25" s="700"/>
      <c r="AT25" s="700"/>
      <c r="AU25" s="376"/>
      <c r="AV25" s="376"/>
      <c r="AW25" s="376"/>
      <c r="AX25" s="376"/>
      <c r="AY25" s="376"/>
      <c r="AZ25" s="376"/>
      <c r="BA25" s="376"/>
      <c r="BB25" s="376"/>
      <c r="BC25" s="376"/>
      <c r="BD25" s="376"/>
      <c r="BE25" s="376"/>
      <c r="BF25" s="376"/>
      <c r="BG25" s="376"/>
      <c r="BH25" s="376"/>
      <c r="BI25" s="376"/>
      <c r="BJ25" s="7"/>
      <c r="BK25" s="7"/>
      <c r="BL25" s="7"/>
      <c r="BM25" s="7"/>
      <c r="BN25" s="7"/>
      <c r="BO25" s="7"/>
      <c r="BP25" s="7"/>
      <c r="BQ25" s="7"/>
    </row>
    <row r="26" spans="1:69">
      <c r="A26" s="25" t="s">
        <v>975</v>
      </c>
      <c r="B26" s="26"/>
      <c r="C26" s="26"/>
      <c r="D26" s="26"/>
      <c r="E26" s="27"/>
      <c r="F26" s="34"/>
      <c r="G26" s="27"/>
      <c r="H26" s="34"/>
      <c r="I26" s="34"/>
      <c r="J26" s="34"/>
      <c r="K26" s="273"/>
      <c r="L26" s="274"/>
      <c r="M26" s="376"/>
      <c r="N26" s="376"/>
      <c r="O26" s="376"/>
      <c r="P26" s="376"/>
      <c r="Q26" s="89"/>
      <c r="R26" s="376"/>
      <c r="S26" s="376"/>
      <c r="T26" s="376"/>
      <c r="U26" s="376"/>
      <c r="V26" s="376"/>
      <c r="W26" s="376"/>
      <c r="X26" s="376"/>
      <c r="Y26" s="376"/>
      <c r="Z26" s="376"/>
      <c r="AA26" s="376"/>
      <c r="AB26" s="376"/>
      <c r="AC26" s="376"/>
      <c r="AD26" s="376"/>
      <c r="AE26" s="376"/>
      <c r="AF26" s="376"/>
      <c r="AG26" s="376"/>
      <c r="AH26" s="376"/>
      <c r="AI26" s="376"/>
      <c r="AJ26" s="376"/>
      <c r="AK26" s="376"/>
      <c r="AL26" s="700"/>
      <c r="AM26" s="700"/>
      <c r="AN26" s="700"/>
      <c r="AO26" s="700"/>
      <c r="AP26" s="376"/>
      <c r="AQ26" s="700"/>
      <c r="AR26" s="700"/>
      <c r="AS26" s="700"/>
      <c r="AT26" s="700"/>
      <c r="AU26" s="376"/>
      <c r="AV26" s="376"/>
      <c r="AW26" s="376"/>
      <c r="AX26" s="376"/>
      <c r="AY26" s="376"/>
      <c r="AZ26" s="376"/>
      <c r="BA26" s="376"/>
      <c r="BB26" s="376"/>
      <c r="BC26" s="376"/>
      <c r="BD26" s="376"/>
      <c r="BE26" s="376"/>
      <c r="BF26" s="376"/>
      <c r="BG26" s="376"/>
      <c r="BH26" s="376"/>
      <c r="BI26" s="376"/>
      <c r="BJ26" s="7"/>
      <c r="BK26" s="7"/>
      <c r="BL26" s="7"/>
      <c r="BM26" s="7"/>
      <c r="BN26" s="7"/>
      <c r="BO26" s="7"/>
      <c r="BP26" s="7"/>
      <c r="BQ26" s="7"/>
    </row>
    <row r="27" spans="1:69">
      <c r="A27" s="25" t="s">
        <v>976</v>
      </c>
      <c r="B27" s="26" t="s">
        <v>978</v>
      </c>
      <c r="C27" s="26"/>
      <c r="D27" s="26"/>
      <c r="E27" s="27"/>
      <c r="F27" s="195">
        <f>SHF!F27</f>
        <v>65.160399999999996</v>
      </c>
      <c r="G27" s="210"/>
      <c r="H27" s="34"/>
      <c r="I27" s="195">
        <f>SHF!I27</f>
        <v>-32.580199999999998</v>
      </c>
      <c r="J27" s="195">
        <f>SHF!J27</f>
        <v>-10.105732306306301</v>
      </c>
      <c r="K27" s="273"/>
      <c r="L27" s="274"/>
      <c r="M27" s="268">
        <v>0</v>
      </c>
      <c r="N27" s="268">
        <v>0</v>
      </c>
      <c r="O27" s="268">
        <v>1.5</v>
      </c>
      <c r="P27" s="268">
        <v>0</v>
      </c>
      <c r="Q27" s="89"/>
      <c r="R27" s="268">
        <v>0</v>
      </c>
      <c r="S27" s="268">
        <v>0</v>
      </c>
      <c r="T27" s="268">
        <v>0</v>
      </c>
      <c r="U27" s="268">
        <v>0</v>
      </c>
      <c r="V27" s="268"/>
      <c r="W27" s="268">
        <v>0</v>
      </c>
      <c r="X27" s="268">
        <v>0</v>
      </c>
      <c r="Y27" s="268">
        <v>0</v>
      </c>
      <c r="Z27" s="268">
        <v>0</v>
      </c>
      <c r="AA27" s="268"/>
      <c r="AB27" s="268">
        <v>0.2</v>
      </c>
      <c r="AC27" s="268">
        <v>0.2</v>
      </c>
      <c r="AD27" s="268">
        <v>0.2</v>
      </c>
      <c r="AE27" s="268">
        <v>0.2</v>
      </c>
      <c r="AF27" s="268"/>
      <c r="AG27" s="268">
        <v>0</v>
      </c>
      <c r="AH27" s="268">
        <v>0</v>
      </c>
      <c r="AI27" s="268">
        <v>0</v>
      </c>
      <c r="AJ27" s="268">
        <v>0</v>
      </c>
      <c r="AK27" s="268"/>
      <c r="AL27" s="699">
        <v>0</v>
      </c>
      <c r="AM27" s="699">
        <v>0</v>
      </c>
      <c r="AN27" s="699">
        <v>1.5</v>
      </c>
      <c r="AO27" s="699">
        <v>0</v>
      </c>
      <c r="AP27" s="268"/>
      <c r="AQ27" s="699">
        <v>0</v>
      </c>
      <c r="AR27" s="699">
        <v>0</v>
      </c>
      <c r="AS27" s="699">
        <v>0</v>
      </c>
      <c r="AT27" s="699">
        <v>0</v>
      </c>
      <c r="AU27" s="268"/>
      <c r="AV27" s="268">
        <v>0</v>
      </c>
      <c r="AW27" s="268">
        <v>0</v>
      </c>
      <c r="AX27" s="268">
        <v>0</v>
      </c>
      <c r="AY27" s="268">
        <v>0</v>
      </c>
      <c r="AZ27" s="268"/>
      <c r="BA27" s="268">
        <v>0.2</v>
      </c>
      <c r="BB27" s="268">
        <v>0.2</v>
      </c>
      <c r="BC27" s="268">
        <v>0.2</v>
      </c>
      <c r="BD27" s="268">
        <v>0.2</v>
      </c>
      <c r="BE27" s="268"/>
      <c r="BF27" s="268">
        <v>0</v>
      </c>
      <c r="BG27" s="268">
        <v>0</v>
      </c>
      <c r="BH27" s="268">
        <v>0</v>
      </c>
      <c r="BI27" s="268">
        <v>0</v>
      </c>
    </row>
    <row r="28" spans="1:69">
      <c r="A28" s="25" t="s">
        <v>977</v>
      </c>
      <c r="B28" s="26" t="s">
        <v>979</v>
      </c>
      <c r="C28" s="26"/>
      <c r="D28" s="26"/>
      <c r="E28" s="27"/>
      <c r="F28" s="195">
        <f>SHF!F28</f>
        <v>75.185314285714313</v>
      </c>
      <c r="G28" s="210"/>
      <c r="H28" s="34"/>
      <c r="I28" s="195">
        <f>SHF!I28</f>
        <v>37.592657142857156</v>
      </c>
      <c r="J28" s="195">
        <f>SHF!J28</f>
        <v>-11.660497166023164</v>
      </c>
      <c r="K28" s="273"/>
      <c r="L28" s="274"/>
      <c r="M28" s="268">
        <v>0</v>
      </c>
      <c r="N28" s="268">
        <v>0</v>
      </c>
      <c r="O28" s="268">
        <v>1.5</v>
      </c>
      <c r="P28" s="268">
        <v>0</v>
      </c>
      <c r="Q28" s="89"/>
      <c r="R28" s="268">
        <v>0</v>
      </c>
      <c r="S28" s="268">
        <v>0</v>
      </c>
      <c r="T28" s="268">
        <v>0</v>
      </c>
      <c r="U28" s="268">
        <v>0</v>
      </c>
      <c r="V28" s="268"/>
      <c r="W28" s="268">
        <v>0</v>
      </c>
      <c r="X28" s="268">
        <v>0</v>
      </c>
      <c r="Y28" s="268">
        <v>0</v>
      </c>
      <c r="Z28" s="268">
        <v>0</v>
      </c>
      <c r="AA28" s="268"/>
      <c r="AB28" s="268">
        <v>0.2</v>
      </c>
      <c r="AC28" s="268">
        <v>0.2</v>
      </c>
      <c r="AD28" s="268">
        <v>0.2</v>
      </c>
      <c r="AE28" s="268">
        <v>0.2</v>
      </c>
      <c r="AF28" s="268"/>
      <c r="AG28" s="268">
        <v>0</v>
      </c>
      <c r="AH28" s="268">
        <v>0</v>
      </c>
      <c r="AI28" s="268">
        <v>0</v>
      </c>
      <c r="AJ28" s="268">
        <v>0</v>
      </c>
      <c r="AK28" s="268"/>
      <c r="AL28" s="699">
        <v>0</v>
      </c>
      <c r="AM28" s="699">
        <v>0</v>
      </c>
      <c r="AN28" s="699">
        <v>1.5</v>
      </c>
      <c r="AO28" s="699">
        <v>0</v>
      </c>
      <c r="AP28" s="268"/>
      <c r="AQ28" s="699">
        <v>0</v>
      </c>
      <c r="AR28" s="699">
        <v>0</v>
      </c>
      <c r="AS28" s="699">
        <v>0</v>
      </c>
      <c r="AT28" s="699">
        <v>0</v>
      </c>
      <c r="AU28" s="268"/>
      <c r="AV28" s="268">
        <v>0</v>
      </c>
      <c r="AW28" s="268">
        <v>0</v>
      </c>
      <c r="AX28" s="268">
        <v>0</v>
      </c>
      <c r="AY28" s="268">
        <v>0</v>
      </c>
      <c r="AZ28" s="268"/>
      <c r="BA28" s="268">
        <v>0.2</v>
      </c>
      <c r="BB28" s="268">
        <v>0.2</v>
      </c>
      <c r="BC28" s="268">
        <v>0.2</v>
      </c>
      <c r="BD28" s="268">
        <v>0.2</v>
      </c>
      <c r="BE28" s="268"/>
      <c r="BF28" s="268">
        <v>0</v>
      </c>
      <c r="BG28" s="268">
        <v>0</v>
      </c>
      <c r="BH28" s="268">
        <v>0</v>
      </c>
      <c r="BI28" s="268">
        <v>0</v>
      </c>
    </row>
    <row r="29" spans="1:69">
      <c r="A29" s="25"/>
      <c r="B29" s="26"/>
      <c r="C29" s="26"/>
      <c r="D29" s="26"/>
      <c r="E29" s="27"/>
      <c r="F29" s="34"/>
      <c r="G29" s="27"/>
      <c r="H29" s="34"/>
      <c r="I29" s="34"/>
      <c r="J29" s="34"/>
      <c r="K29" s="273"/>
      <c r="L29" s="274"/>
      <c r="M29" s="376"/>
      <c r="N29" s="376"/>
      <c r="O29" s="376"/>
      <c r="P29" s="376"/>
      <c r="Q29" s="89"/>
      <c r="R29" s="376"/>
      <c r="S29" s="376"/>
      <c r="T29" s="376"/>
      <c r="U29" s="376"/>
      <c r="V29" s="376"/>
      <c r="W29" s="376"/>
      <c r="X29" s="376"/>
      <c r="Y29" s="376"/>
      <c r="Z29" s="376"/>
      <c r="AA29" s="376"/>
      <c r="AB29" s="376"/>
      <c r="AC29" s="376"/>
      <c r="AD29" s="376"/>
      <c r="AE29" s="376"/>
      <c r="AF29" s="376"/>
      <c r="AG29" s="376"/>
      <c r="AH29" s="376"/>
      <c r="AI29" s="376"/>
      <c r="AJ29" s="376"/>
      <c r="AK29" s="376"/>
      <c r="AL29" s="700"/>
      <c r="AM29" s="700"/>
      <c r="AN29" s="700"/>
      <c r="AO29" s="700"/>
      <c r="AP29" s="376"/>
      <c r="AQ29" s="700"/>
      <c r="AR29" s="700"/>
      <c r="AS29" s="700"/>
      <c r="AT29" s="700"/>
      <c r="AU29" s="376"/>
      <c r="AV29" s="376"/>
      <c r="AW29" s="376"/>
      <c r="AX29" s="376"/>
      <c r="AY29" s="376"/>
      <c r="AZ29" s="376"/>
      <c r="BA29" s="376"/>
      <c r="BB29" s="376"/>
      <c r="BC29" s="376"/>
      <c r="BD29" s="376"/>
      <c r="BE29" s="376"/>
      <c r="BF29" s="376"/>
      <c r="BG29" s="376"/>
      <c r="BH29" s="376"/>
      <c r="BI29" s="376"/>
      <c r="BJ29" s="7"/>
      <c r="BK29" s="7"/>
      <c r="BL29" s="7"/>
      <c r="BM29" s="7"/>
      <c r="BN29" s="7"/>
      <c r="BO29" s="7"/>
      <c r="BP29" s="7"/>
      <c r="BQ29" s="7"/>
    </row>
    <row r="30" spans="1:69">
      <c r="A30" s="25" t="s">
        <v>980</v>
      </c>
      <c r="B30" s="26"/>
      <c r="C30" s="26"/>
      <c r="D30" s="26"/>
      <c r="E30" s="27"/>
      <c r="F30" s="34"/>
      <c r="G30" s="27"/>
      <c r="H30" s="34"/>
      <c r="I30" s="34"/>
      <c r="J30" s="34"/>
      <c r="K30" s="273"/>
      <c r="L30" s="274"/>
      <c r="M30" s="376"/>
      <c r="N30" s="376"/>
      <c r="O30" s="376"/>
      <c r="P30" s="376"/>
      <c r="Q30" s="89"/>
      <c r="R30" s="376"/>
      <c r="S30" s="376"/>
      <c r="T30" s="376"/>
      <c r="U30" s="376"/>
      <c r="V30" s="376"/>
      <c r="W30" s="376"/>
      <c r="X30" s="376"/>
      <c r="Y30" s="376"/>
      <c r="Z30" s="376"/>
      <c r="AA30" s="376"/>
      <c r="AB30" s="376"/>
      <c r="AC30" s="376"/>
      <c r="AD30" s="376"/>
      <c r="AE30" s="376"/>
      <c r="AF30" s="376"/>
      <c r="AG30" s="376"/>
      <c r="AH30" s="376"/>
      <c r="AI30" s="376"/>
      <c r="AJ30" s="376"/>
      <c r="AK30" s="376"/>
      <c r="AL30" s="700"/>
      <c r="AM30" s="700"/>
      <c r="AN30" s="700"/>
      <c r="AO30" s="700"/>
      <c r="AP30" s="376"/>
      <c r="AQ30" s="700"/>
      <c r="AR30" s="700"/>
      <c r="AS30" s="700"/>
      <c r="AT30" s="700"/>
      <c r="AU30" s="376"/>
      <c r="AV30" s="376"/>
      <c r="AW30" s="376"/>
      <c r="AX30" s="376"/>
      <c r="AY30" s="376"/>
      <c r="AZ30" s="376"/>
      <c r="BA30" s="376"/>
      <c r="BB30" s="376"/>
      <c r="BC30" s="376"/>
      <c r="BD30" s="376"/>
      <c r="BE30" s="376"/>
      <c r="BF30" s="376"/>
      <c r="BG30" s="376"/>
      <c r="BH30" s="376"/>
      <c r="BI30" s="376"/>
      <c r="BJ30" s="7"/>
      <c r="BK30" s="7"/>
      <c r="BL30" s="7"/>
      <c r="BM30" s="7"/>
      <c r="BN30" s="7"/>
      <c r="BO30" s="7"/>
      <c r="BP30" s="7"/>
      <c r="BQ30" s="7"/>
    </row>
    <row r="31" spans="1:69">
      <c r="A31" s="25" t="s">
        <v>976</v>
      </c>
      <c r="B31" s="26" t="s">
        <v>981</v>
      </c>
      <c r="C31" s="26"/>
      <c r="D31" s="26"/>
      <c r="E31" s="27"/>
      <c r="F31" s="195">
        <f>SHF!F31</f>
        <v>0</v>
      </c>
      <c r="G31" s="210"/>
      <c r="H31" s="34"/>
      <c r="I31" s="195">
        <f>SHF!I31</f>
        <v>0</v>
      </c>
      <c r="J31" s="195">
        <f>SHF!J31</f>
        <v>0</v>
      </c>
      <c r="K31" s="273"/>
      <c r="L31" s="274"/>
      <c r="M31" s="376">
        <v>0</v>
      </c>
      <c r="N31" s="376">
        <v>0</v>
      </c>
      <c r="O31" s="376">
        <v>0</v>
      </c>
      <c r="P31" s="376">
        <v>1.5</v>
      </c>
      <c r="Q31" s="89"/>
      <c r="R31" s="376">
        <v>0</v>
      </c>
      <c r="S31" s="376">
        <v>0</v>
      </c>
      <c r="T31" s="376">
        <v>0</v>
      </c>
      <c r="U31" s="376">
        <v>0</v>
      </c>
      <c r="V31" s="376"/>
      <c r="W31" s="376">
        <v>0</v>
      </c>
      <c r="X31" s="376">
        <v>0</v>
      </c>
      <c r="Y31" s="376">
        <v>0</v>
      </c>
      <c r="Z31" s="376">
        <v>0</v>
      </c>
      <c r="AA31" s="376"/>
      <c r="AB31" s="376">
        <v>0</v>
      </c>
      <c r="AC31" s="376">
        <v>0</v>
      </c>
      <c r="AD31" s="376">
        <v>0</v>
      </c>
      <c r="AE31" s="376">
        <v>0</v>
      </c>
      <c r="AF31" s="376"/>
      <c r="AG31" s="376">
        <v>0.2</v>
      </c>
      <c r="AH31" s="376">
        <v>0.2</v>
      </c>
      <c r="AI31" s="376">
        <v>0.2</v>
      </c>
      <c r="AJ31" s="376">
        <v>0.2</v>
      </c>
      <c r="AK31" s="376"/>
      <c r="AL31" s="700">
        <v>0</v>
      </c>
      <c r="AM31" s="700">
        <v>0</v>
      </c>
      <c r="AN31" s="700">
        <v>0</v>
      </c>
      <c r="AO31" s="700">
        <v>1.5</v>
      </c>
      <c r="AP31" s="376"/>
      <c r="AQ31" s="700">
        <v>0</v>
      </c>
      <c r="AR31" s="700">
        <v>0</v>
      </c>
      <c r="AS31" s="700">
        <v>0</v>
      </c>
      <c r="AT31" s="700">
        <v>0</v>
      </c>
      <c r="AU31" s="376"/>
      <c r="AV31" s="376">
        <v>0</v>
      </c>
      <c r="AW31" s="376">
        <v>0</v>
      </c>
      <c r="AX31" s="376">
        <v>0</v>
      </c>
      <c r="AY31" s="376">
        <v>0</v>
      </c>
      <c r="AZ31" s="376"/>
      <c r="BA31" s="376">
        <v>0</v>
      </c>
      <c r="BB31" s="376">
        <v>0</v>
      </c>
      <c r="BC31" s="376">
        <v>0</v>
      </c>
      <c r="BD31" s="376">
        <v>0</v>
      </c>
      <c r="BE31" s="376"/>
      <c r="BF31" s="376">
        <v>0.2</v>
      </c>
      <c r="BG31" s="376">
        <v>0.2</v>
      </c>
      <c r="BH31" s="376">
        <v>0.2</v>
      </c>
      <c r="BI31" s="376">
        <v>0.2</v>
      </c>
    </row>
    <row r="32" spans="1:69">
      <c r="A32" s="25" t="s">
        <v>977</v>
      </c>
      <c r="B32" s="26" t="s">
        <v>982</v>
      </c>
      <c r="C32" s="26"/>
      <c r="D32" s="26"/>
      <c r="E32" s="27"/>
      <c r="F32" s="195">
        <f>SHF!F32</f>
        <v>127.89948571428575</v>
      </c>
      <c r="G32" s="210"/>
      <c r="H32" s="34"/>
      <c r="I32" s="195">
        <f>SHF!I32</f>
        <v>63.949742857142873</v>
      </c>
      <c r="J32" s="195">
        <f>SHF!J32</f>
        <v>-19.835942761904757</v>
      </c>
      <c r="K32" s="273"/>
      <c r="L32" s="274"/>
      <c r="M32" s="376">
        <v>0</v>
      </c>
      <c r="N32" s="376">
        <v>0</v>
      </c>
      <c r="O32" s="376">
        <v>0</v>
      </c>
      <c r="P32" s="376">
        <v>1.5</v>
      </c>
      <c r="Q32" s="89"/>
      <c r="R32" s="376">
        <v>0</v>
      </c>
      <c r="S32" s="376">
        <v>0</v>
      </c>
      <c r="T32" s="376">
        <v>0</v>
      </c>
      <c r="U32" s="376">
        <v>0</v>
      </c>
      <c r="V32" s="376"/>
      <c r="W32" s="376">
        <v>0</v>
      </c>
      <c r="X32" s="376">
        <v>0</v>
      </c>
      <c r="Y32" s="376">
        <v>0</v>
      </c>
      <c r="Z32" s="376">
        <v>0</v>
      </c>
      <c r="AA32" s="376"/>
      <c r="AB32" s="376">
        <v>0</v>
      </c>
      <c r="AC32" s="376">
        <v>0</v>
      </c>
      <c r="AD32" s="376">
        <v>0</v>
      </c>
      <c r="AE32" s="376">
        <v>0</v>
      </c>
      <c r="AF32" s="376"/>
      <c r="AG32" s="376">
        <v>0.2</v>
      </c>
      <c r="AH32" s="376">
        <v>0.2</v>
      </c>
      <c r="AI32" s="376">
        <v>0.2</v>
      </c>
      <c r="AJ32" s="376">
        <v>0.2</v>
      </c>
      <c r="AK32" s="376"/>
      <c r="AL32" s="700">
        <v>0</v>
      </c>
      <c r="AM32" s="700">
        <v>0</v>
      </c>
      <c r="AN32" s="700">
        <v>0</v>
      </c>
      <c r="AO32" s="700">
        <v>1.5</v>
      </c>
      <c r="AP32" s="376"/>
      <c r="AQ32" s="700">
        <v>0</v>
      </c>
      <c r="AR32" s="700">
        <v>0</v>
      </c>
      <c r="AS32" s="700">
        <v>0</v>
      </c>
      <c r="AT32" s="700">
        <v>0</v>
      </c>
      <c r="AU32" s="376"/>
      <c r="AV32" s="376">
        <v>0</v>
      </c>
      <c r="AW32" s="376">
        <v>0</v>
      </c>
      <c r="AX32" s="376">
        <v>0</v>
      </c>
      <c r="AY32" s="376">
        <v>0</v>
      </c>
      <c r="AZ32" s="376"/>
      <c r="BA32" s="376">
        <v>0</v>
      </c>
      <c r="BB32" s="376">
        <v>0</v>
      </c>
      <c r="BC32" s="376">
        <v>0</v>
      </c>
      <c r="BD32" s="376">
        <v>0</v>
      </c>
      <c r="BE32" s="376"/>
      <c r="BF32" s="376">
        <v>0.2</v>
      </c>
      <c r="BG32" s="376">
        <v>0.2</v>
      </c>
      <c r="BH32" s="376">
        <v>0.2</v>
      </c>
      <c r="BI32" s="376">
        <v>0.2</v>
      </c>
    </row>
    <row r="33" spans="1:61">
      <c r="A33" s="25"/>
      <c r="B33" s="26"/>
      <c r="C33" s="26"/>
      <c r="D33" s="26"/>
      <c r="E33" s="27"/>
      <c r="F33" s="34"/>
      <c r="G33" s="27"/>
      <c r="H33" s="34"/>
      <c r="I33" s="34"/>
      <c r="J33" s="34"/>
      <c r="K33" s="273"/>
      <c r="L33" s="274"/>
      <c r="M33" s="376"/>
      <c r="N33" s="376"/>
      <c r="O33" s="376"/>
      <c r="P33" s="376"/>
      <c r="Q33" s="89"/>
      <c r="R33" s="376"/>
      <c r="S33" s="376"/>
      <c r="T33" s="376"/>
      <c r="U33" s="376"/>
      <c r="V33" s="376"/>
      <c r="W33" s="376"/>
      <c r="X33" s="376"/>
      <c r="Y33" s="376"/>
      <c r="Z33" s="376"/>
      <c r="AA33" s="376"/>
      <c r="AB33" s="376"/>
      <c r="AC33" s="376"/>
      <c r="AD33" s="376"/>
      <c r="AE33" s="376"/>
      <c r="AF33" s="376"/>
      <c r="AG33" s="376"/>
      <c r="AH33" s="376"/>
      <c r="AI33" s="376"/>
      <c r="AJ33" s="376"/>
      <c r="AK33" s="376"/>
      <c r="AL33" s="700"/>
      <c r="AM33" s="700"/>
      <c r="AN33" s="700"/>
      <c r="AO33" s="700"/>
      <c r="AP33" s="376"/>
      <c r="AQ33" s="700"/>
      <c r="AR33" s="700"/>
      <c r="AS33" s="700"/>
      <c r="AT33" s="700"/>
      <c r="AU33" s="376"/>
      <c r="AV33" s="376"/>
      <c r="AW33" s="376"/>
      <c r="AX33" s="376"/>
      <c r="AY33" s="376"/>
      <c r="AZ33" s="376"/>
      <c r="BA33" s="376"/>
      <c r="BB33" s="376"/>
      <c r="BC33" s="376"/>
      <c r="BD33" s="376"/>
      <c r="BE33" s="376"/>
      <c r="BF33" s="376"/>
      <c r="BG33" s="376"/>
      <c r="BH33" s="376"/>
      <c r="BI33" s="376"/>
    </row>
    <row r="34" spans="1:61">
      <c r="A34" s="25" t="s">
        <v>983</v>
      </c>
      <c r="B34" s="26"/>
      <c r="C34" s="26"/>
      <c r="D34" s="26"/>
      <c r="E34" s="27"/>
      <c r="F34" s="34"/>
      <c r="G34" s="27"/>
      <c r="H34" s="34"/>
      <c r="I34" s="34"/>
      <c r="J34" s="34"/>
      <c r="K34" s="273"/>
      <c r="L34" s="274"/>
      <c r="M34" s="376"/>
      <c r="N34" s="376"/>
      <c r="O34" s="376"/>
      <c r="P34" s="376"/>
      <c r="Q34" s="89"/>
      <c r="R34" s="376"/>
      <c r="S34" s="376"/>
      <c r="T34" s="376"/>
      <c r="U34" s="376"/>
      <c r="V34" s="376"/>
      <c r="W34" s="376"/>
      <c r="X34" s="376"/>
      <c r="Y34" s="376"/>
      <c r="Z34" s="376"/>
      <c r="AA34" s="376"/>
      <c r="AB34" s="376"/>
      <c r="AC34" s="376"/>
      <c r="AD34" s="376"/>
      <c r="AE34" s="376"/>
      <c r="AF34" s="376"/>
      <c r="AG34" s="376"/>
      <c r="AH34" s="376"/>
      <c r="AI34" s="376"/>
      <c r="AJ34" s="376"/>
      <c r="AK34" s="376"/>
      <c r="AL34" s="700"/>
      <c r="AM34" s="700"/>
      <c r="AN34" s="700"/>
      <c r="AO34" s="700"/>
      <c r="AP34" s="376"/>
      <c r="AQ34" s="700"/>
      <c r="AR34" s="700"/>
      <c r="AS34" s="700"/>
      <c r="AT34" s="700"/>
      <c r="AU34" s="376"/>
      <c r="AV34" s="376"/>
      <c r="AW34" s="376"/>
      <c r="AX34" s="376"/>
      <c r="AY34" s="376"/>
      <c r="AZ34" s="376"/>
      <c r="BA34" s="376"/>
      <c r="BB34" s="376"/>
      <c r="BC34" s="376"/>
      <c r="BD34" s="376"/>
      <c r="BE34" s="376"/>
      <c r="BF34" s="376"/>
      <c r="BG34" s="376"/>
      <c r="BH34" s="376"/>
      <c r="BI34" s="376"/>
    </row>
    <row r="35" spans="1:61">
      <c r="A35" s="25" t="s">
        <v>984</v>
      </c>
      <c r="B35" s="163" t="s">
        <v>951</v>
      </c>
      <c r="C35" s="26"/>
      <c r="D35" s="26"/>
      <c r="E35" s="27"/>
      <c r="F35" s="34"/>
      <c r="G35" s="195">
        <f>SHF!G35</f>
        <v>32.051277714285717</v>
      </c>
      <c r="H35" s="34"/>
      <c r="I35" s="195">
        <f>SHF!I35</f>
        <v>207.69227958857149</v>
      </c>
      <c r="J35" s="34"/>
      <c r="K35" s="273"/>
      <c r="L35" s="274"/>
      <c r="M35" s="376">
        <v>0</v>
      </c>
      <c r="N35" s="376">
        <v>0</v>
      </c>
      <c r="O35" s="376">
        <v>1.5</v>
      </c>
      <c r="P35" s="376">
        <v>0</v>
      </c>
      <c r="Q35" s="89"/>
      <c r="R35" s="376">
        <v>0</v>
      </c>
      <c r="S35" s="376">
        <v>0</v>
      </c>
      <c r="T35" s="376">
        <v>0</v>
      </c>
      <c r="U35" s="376">
        <v>0</v>
      </c>
      <c r="V35" s="376"/>
      <c r="W35" s="376">
        <v>0</v>
      </c>
      <c r="X35" s="376">
        <v>0</v>
      </c>
      <c r="Y35" s="376">
        <v>0</v>
      </c>
      <c r="Z35" s="376">
        <v>0</v>
      </c>
      <c r="AA35" s="376"/>
      <c r="AB35" s="376">
        <v>0</v>
      </c>
      <c r="AC35" s="376">
        <v>0</v>
      </c>
      <c r="AD35" s="376">
        <v>0</v>
      </c>
      <c r="AE35" s="376">
        <v>0</v>
      </c>
      <c r="AF35" s="376"/>
      <c r="AG35" s="376">
        <v>0</v>
      </c>
      <c r="AH35" s="376">
        <v>0</v>
      </c>
      <c r="AI35" s="376">
        <v>0</v>
      </c>
      <c r="AJ35" s="376">
        <v>0</v>
      </c>
      <c r="AK35" s="376"/>
      <c r="AL35" s="700">
        <v>0</v>
      </c>
      <c r="AM35" s="700">
        <v>0</v>
      </c>
      <c r="AN35" s="700">
        <v>1.5</v>
      </c>
      <c r="AO35" s="700">
        <v>0</v>
      </c>
      <c r="AP35" s="376"/>
      <c r="AQ35" s="700">
        <v>0</v>
      </c>
      <c r="AR35" s="700">
        <v>0</v>
      </c>
      <c r="AS35" s="700">
        <v>0</v>
      </c>
      <c r="AT35" s="700">
        <v>0</v>
      </c>
      <c r="AU35" s="376"/>
      <c r="AV35" s="376">
        <v>0</v>
      </c>
      <c r="AW35" s="376">
        <v>0</v>
      </c>
      <c r="AX35" s="376">
        <v>0</v>
      </c>
      <c r="AY35" s="376">
        <v>0</v>
      </c>
      <c r="AZ35" s="376"/>
      <c r="BA35" s="376">
        <v>0</v>
      </c>
      <c r="BB35" s="376">
        <v>0</v>
      </c>
      <c r="BC35" s="376">
        <v>0</v>
      </c>
      <c r="BD35" s="376">
        <v>0</v>
      </c>
      <c r="BE35" s="376"/>
      <c r="BF35" s="376">
        <v>0</v>
      </c>
      <c r="BG35" s="376">
        <v>0</v>
      </c>
      <c r="BH35" s="376">
        <v>0</v>
      </c>
      <c r="BI35" s="376">
        <v>0</v>
      </c>
    </row>
    <row r="36" spans="1:61">
      <c r="A36" s="25" t="s">
        <v>985</v>
      </c>
      <c r="B36" s="163" t="s">
        <v>953</v>
      </c>
      <c r="C36" s="26"/>
      <c r="D36" s="26"/>
      <c r="E36" s="27"/>
      <c r="F36" s="34"/>
      <c r="G36" s="195">
        <f>SHF!G36</f>
        <v>29.998225714285713</v>
      </c>
      <c r="H36" s="34"/>
      <c r="I36" s="195">
        <f>SHF!I36</f>
        <v>194.38850262857147</v>
      </c>
      <c r="J36" s="34"/>
      <c r="K36" s="273"/>
      <c r="L36" s="274"/>
      <c r="M36" s="376">
        <v>0</v>
      </c>
      <c r="N36" s="376">
        <v>0</v>
      </c>
      <c r="O36" s="376">
        <v>0</v>
      </c>
      <c r="P36" s="376">
        <v>1.5</v>
      </c>
      <c r="Q36" s="89"/>
      <c r="R36" s="376">
        <v>0</v>
      </c>
      <c r="S36" s="376">
        <v>0</v>
      </c>
      <c r="T36" s="376">
        <v>0</v>
      </c>
      <c r="U36" s="376">
        <v>0</v>
      </c>
      <c r="V36" s="376"/>
      <c r="W36" s="376">
        <v>0</v>
      </c>
      <c r="X36" s="376">
        <v>0</v>
      </c>
      <c r="Y36" s="376">
        <v>0</v>
      </c>
      <c r="Z36" s="376">
        <v>0</v>
      </c>
      <c r="AA36" s="376"/>
      <c r="AB36" s="376">
        <v>0</v>
      </c>
      <c r="AC36" s="376">
        <v>0</v>
      </c>
      <c r="AD36" s="376">
        <v>0</v>
      </c>
      <c r="AE36" s="376">
        <v>0</v>
      </c>
      <c r="AF36" s="376"/>
      <c r="AG36" s="376">
        <v>0</v>
      </c>
      <c r="AH36" s="376">
        <v>0</v>
      </c>
      <c r="AI36" s="376">
        <v>0</v>
      </c>
      <c r="AJ36" s="376">
        <v>0</v>
      </c>
      <c r="AK36" s="376"/>
      <c r="AL36" s="700">
        <v>0</v>
      </c>
      <c r="AM36" s="700">
        <v>0</v>
      </c>
      <c r="AN36" s="700">
        <v>0</v>
      </c>
      <c r="AO36" s="700">
        <v>1.5</v>
      </c>
      <c r="AP36" s="376"/>
      <c r="AQ36" s="700">
        <v>0</v>
      </c>
      <c r="AR36" s="700">
        <v>0</v>
      </c>
      <c r="AS36" s="700">
        <v>0</v>
      </c>
      <c r="AT36" s="700">
        <v>0</v>
      </c>
      <c r="AU36" s="376"/>
      <c r="AV36" s="376">
        <v>0</v>
      </c>
      <c r="AW36" s="376">
        <v>0</v>
      </c>
      <c r="AX36" s="376">
        <v>0</v>
      </c>
      <c r="AY36" s="376">
        <v>0</v>
      </c>
      <c r="AZ36" s="376"/>
      <c r="BA36" s="376">
        <v>0</v>
      </c>
      <c r="BB36" s="376">
        <v>0</v>
      </c>
      <c r="BC36" s="376">
        <v>0</v>
      </c>
      <c r="BD36" s="376">
        <v>0</v>
      </c>
      <c r="BE36" s="376"/>
      <c r="BF36" s="376">
        <v>0</v>
      </c>
      <c r="BG36" s="376">
        <v>0</v>
      </c>
      <c r="BH36" s="376">
        <v>0</v>
      </c>
      <c r="BI36" s="376">
        <v>0</v>
      </c>
    </row>
    <row r="37" spans="1:61">
      <c r="A37" s="25" t="s">
        <v>986</v>
      </c>
      <c r="B37" s="163" t="s">
        <v>955</v>
      </c>
      <c r="C37" s="26"/>
      <c r="D37" s="26"/>
      <c r="E37" s="27"/>
      <c r="F37" s="34"/>
      <c r="G37" s="195">
        <f>SHF!G37</f>
        <v>5.8532000000000011</v>
      </c>
      <c r="H37" s="34"/>
      <c r="I37" s="195">
        <f>SHF!I37</f>
        <v>37.928736000000015</v>
      </c>
      <c r="J37" s="34"/>
      <c r="K37" s="273"/>
      <c r="L37" s="274"/>
      <c r="M37" s="376">
        <v>0</v>
      </c>
      <c r="N37" s="376">
        <v>1.5</v>
      </c>
      <c r="O37" s="376">
        <v>0</v>
      </c>
      <c r="P37" s="376">
        <v>0</v>
      </c>
      <c r="Q37" s="89"/>
      <c r="R37" s="376">
        <v>0</v>
      </c>
      <c r="S37" s="376">
        <v>0</v>
      </c>
      <c r="T37" s="376">
        <v>0</v>
      </c>
      <c r="U37" s="376">
        <v>0</v>
      </c>
      <c r="V37" s="376"/>
      <c r="W37" s="376">
        <v>1.35</v>
      </c>
      <c r="X37" s="376">
        <v>1.35</v>
      </c>
      <c r="Y37" s="376">
        <v>1.35</v>
      </c>
      <c r="Z37" s="376">
        <v>1.35</v>
      </c>
      <c r="AA37" s="376"/>
      <c r="AB37" s="376">
        <v>0</v>
      </c>
      <c r="AC37" s="376">
        <v>0</v>
      </c>
      <c r="AD37" s="376">
        <v>0</v>
      </c>
      <c r="AE37" s="376">
        <v>0</v>
      </c>
      <c r="AF37" s="376"/>
      <c r="AG37" s="376">
        <v>0</v>
      </c>
      <c r="AH37" s="376">
        <v>0</v>
      </c>
      <c r="AI37" s="376">
        <v>0</v>
      </c>
      <c r="AJ37" s="376">
        <v>0</v>
      </c>
      <c r="AK37" s="376"/>
      <c r="AL37" s="700">
        <v>0</v>
      </c>
      <c r="AM37" s="700">
        <v>1.5</v>
      </c>
      <c r="AN37" s="700">
        <v>0</v>
      </c>
      <c r="AO37" s="700">
        <v>0</v>
      </c>
      <c r="AP37" s="376"/>
      <c r="AQ37" s="700">
        <v>0</v>
      </c>
      <c r="AR37" s="700">
        <v>0</v>
      </c>
      <c r="AS37" s="700">
        <v>0</v>
      </c>
      <c r="AT37" s="700">
        <v>0</v>
      </c>
      <c r="AU37" s="376"/>
      <c r="AV37" s="376">
        <v>1.5</v>
      </c>
      <c r="AW37" s="376">
        <v>1.5</v>
      </c>
      <c r="AX37" s="376">
        <v>1.5</v>
      </c>
      <c r="AY37" s="376">
        <v>1.5</v>
      </c>
      <c r="AZ37" s="376"/>
      <c r="BA37" s="376">
        <v>0</v>
      </c>
      <c r="BB37" s="376">
        <v>0</v>
      </c>
      <c r="BC37" s="376">
        <v>0</v>
      </c>
      <c r="BD37" s="376">
        <v>0</v>
      </c>
      <c r="BE37" s="376"/>
      <c r="BF37" s="376">
        <v>0</v>
      </c>
      <c r="BG37" s="376">
        <v>0</v>
      </c>
      <c r="BH37" s="376">
        <v>0</v>
      </c>
      <c r="BI37" s="376">
        <v>0</v>
      </c>
    </row>
    <row r="38" spans="1:61">
      <c r="A38" s="25" t="s">
        <v>987</v>
      </c>
      <c r="B38" s="163" t="s">
        <v>957</v>
      </c>
      <c r="C38" s="26"/>
      <c r="D38" s="26"/>
      <c r="E38" s="27"/>
      <c r="F38" s="34"/>
      <c r="G38" s="195">
        <f>SHF!G38</f>
        <v>14.632999999999999</v>
      </c>
      <c r="H38" s="34"/>
      <c r="I38" s="195">
        <f>SHF!I38</f>
        <v>94.821840000000009</v>
      </c>
      <c r="J38" s="34"/>
      <c r="K38" s="273"/>
      <c r="L38" s="274"/>
      <c r="M38" s="376">
        <v>1.5</v>
      </c>
      <c r="N38" s="376">
        <v>0</v>
      </c>
      <c r="O38" s="376">
        <v>0</v>
      </c>
      <c r="P38" s="376">
        <v>0</v>
      </c>
      <c r="Q38" s="89"/>
      <c r="R38" s="376">
        <v>0.75</v>
      </c>
      <c r="S38" s="376">
        <v>0.75</v>
      </c>
      <c r="T38" s="376">
        <v>0.75</v>
      </c>
      <c r="U38" s="376">
        <v>0.75</v>
      </c>
      <c r="V38" s="376"/>
      <c r="W38" s="376">
        <v>0</v>
      </c>
      <c r="X38" s="376">
        <v>0</v>
      </c>
      <c r="Y38" s="376">
        <v>0</v>
      </c>
      <c r="Z38" s="376">
        <v>0</v>
      </c>
      <c r="AA38" s="376"/>
      <c r="AB38" s="376">
        <v>0</v>
      </c>
      <c r="AC38" s="376">
        <v>0</v>
      </c>
      <c r="AD38" s="376">
        <v>0</v>
      </c>
      <c r="AE38" s="376">
        <v>0</v>
      </c>
      <c r="AF38" s="376"/>
      <c r="AG38" s="376">
        <v>0</v>
      </c>
      <c r="AH38" s="376">
        <v>0</v>
      </c>
      <c r="AI38" s="376">
        <v>0</v>
      </c>
      <c r="AJ38" s="376">
        <v>0</v>
      </c>
      <c r="AK38" s="376"/>
      <c r="AL38" s="700">
        <v>1.5</v>
      </c>
      <c r="AM38" s="700">
        <v>0</v>
      </c>
      <c r="AN38" s="700">
        <v>0</v>
      </c>
      <c r="AO38" s="700">
        <v>0</v>
      </c>
      <c r="AP38" s="376"/>
      <c r="AQ38" s="700">
        <v>1.5</v>
      </c>
      <c r="AR38" s="700">
        <v>1.5</v>
      </c>
      <c r="AS38" s="700">
        <v>1.5</v>
      </c>
      <c r="AT38" s="700">
        <v>1.5</v>
      </c>
      <c r="AU38" s="376"/>
      <c r="AV38" s="376">
        <v>0</v>
      </c>
      <c r="AW38" s="376">
        <v>0</v>
      </c>
      <c r="AX38" s="376">
        <v>0</v>
      </c>
      <c r="AY38" s="376">
        <v>0</v>
      </c>
      <c r="AZ38" s="376"/>
      <c r="BA38" s="376">
        <v>0</v>
      </c>
      <c r="BB38" s="376">
        <v>0</v>
      </c>
      <c r="BC38" s="376">
        <v>0</v>
      </c>
      <c r="BD38" s="376">
        <v>0</v>
      </c>
      <c r="BE38" s="376"/>
      <c r="BF38" s="376">
        <v>0</v>
      </c>
      <c r="BG38" s="376">
        <v>0</v>
      </c>
      <c r="BH38" s="376">
        <v>0</v>
      </c>
      <c r="BI38" s="376">
        <v>0</v>
      </c>
    </row>
    <row r="39" spans="1:61">
      <c r="A39" s="25"/>
      <c r="B39" s="163"/>
      <c r="C39" s="26"/>
      <c r="D39" s="26"/>
      <c r="E39" s="27"/>
      <c r="F39" s="34"/>
      <c r="G39" s="27"/>
      <c r="H39" s="34"/>
      <c r="I39" s="34"/>
      <c r="J39" s="34"/>
      <c r="K39" s="273"/>
      <c r="L39" s="274"/>
      <c r="M39" s="376"/>
      <c r="N39" s="376"/>
      <c r="O39" s="376"/>
      <c r="P39" s="376"/>
      <c r="Q39" s="89"/>
      <c r="R39" s="376"/>
      <c r="S39" s="376"/>
      <c r="T39" s="376"/>
      <c r="U39" s="376"/>
      <c r="V39" s="376"/>
      <c r="W39" s="376"/>
      <c r="X39" s="376"/>
      <c r="Y39" s="376"/>
      <c r="Z39" s="376"/>
      <c r="AA39" s="376"/>
      <c r="AB39" s="376"/>
      <c r="AC39" s="376"/>
      <c r="AD39" s="376"/>
      <c r="AE39" s="376"/>
      <c r="AF39" s="376"/>
      <c r="AG39" s="376"/>
      <c r="AH39" s="376"/>
      <c r="AI39" s="376"/>
      <c r="AJ39" s="376"/>
      <c r="AK39" s="376"/>
      <c r="AL39" s="700"/>
      <c r="AM39" s="700"/>
      <c r="AN39" s="700"/>
      <c r="AO39" s="700"/>
      <c r="AP39" s="376"/>
      <c r="AQ39" s="700"/>
      <c r="AR39" s="700"/>
      <c r="AS39" s="700"/>
      <c r="AT39" s="700"/>
      <c r="AU39" s="376"/>
      <c r="AV39" s="376"/>
      <c r="AW39" s="376"/>
      <c r="AX39" s="376"/>
      <c r="AY39" s="376"/>
      <c r="AZ39" s="376"/>
      <c r="BA39" s="376"/>
      <c r="BB39" s="376"/>
      <c r="BC39" s="376"/>
      <c r="BD39" s="376"/>
      <c r="BE39" s="376"/>
      <c r="BF39" s="376"/>
      <c r="BG39" s="376"/>
      <c r="BH39" s="376"/>
      <c r="BI39" s="376"/>
    </row>
    <row r="40" spans="1:61">
      <c r="A40" s="686" t="s">
        <v>1128</v>
      </c>
      <c r="B40" s="687"/>
      <c r="C40" s="688"/>
      <c r="D40" s="688"/>
      <c r="E40" s="689"/>
      <c r="F40" s="195">
        <f>SHF!F40</f>
        <v>-23.695433333970961</v>
      </c>
      <c r="G40" s="689"/>
      <c r="H40" s="690"/>
      <c r="I40" s="195">
        <f>SHF!I40</f>
        <v>0</v>
      </c>
      <c r="J40" s="195">
        <f>SHF!J40</f>
        <v>0</v>
      </c>
      <c r="K40" s="273"/>
      <c r="L40" s="274"/>
      <c r="M40" s="376"/>
      <c r="N40" s="376"/>
      <c r="O40" s="376"/>
      <c r="P40" s="376"/>
      <c r="Q40" s="89"/>
      <c r="R40" s="376"/>
      <c r="S40" s="376"/>
      <c r="T40" s="376"/>
      <c r="U40" s="376"/>
      <c r="V40" s="376"/>
      <c r="W40" s="376"/>
      <c r="X40" s="376"/>
      <c r="Y40" s="376"/>
      <c r="Z40" s="376"/>
      <c r="AA40" s="376"/>
      <c r="AB40" s="376"/>
      <c r="AC40" s="376"/>
      <c r="AD40" s="376"/>
      <c r="AE40" s="376"/>
      <c r="AF40" s="376"/>
      <c r="AG40" s="376"/>
      <c r="AH40" s="376"/>
      <c r="AI40" s="376"/>
      <c r="AJ40" s="376"/>
      <c r="AK40" s="376"/>
      <c r="AL40" s="700">
        <v>0.15</v>
      </c>
      <c r="AM40" s="700">
        <v>0.15</v>
      </c>
      <c r="AN40" s="700">
        <v>0.15</v>
      </c>
      <c r="AO40" s="700">
        <v>0.15</v>
      </c>
      <c r="AP40" s="376"/>
      <c r="AQ40" s="700">
        <v>0.15</v>
      </c>
      <c r="AR40" s="700">
        <v>0.15</v>
      </c>
      <c r="AS40" s="700">
        <v>0.15</v>
      </c>
      <c r="AT40" s="700">
        <v>0.15</v>
      </c>
      <c r="AU40" s="376"/>
      <c r="AV40" s="700">
        <v>0.15</v>
      </c>
      <c r="AW40" s="700">
        <v>0.15</v>
      </c>
      <c r="AX40" s="700">
        <v>0.15</v>
      </c>
      <c r="AY40" s="700">
        <v>0.15</v>
      </c>
      <c r="AZ40" s="376"/>
      <c r="BA40" s="700">
        <v>0.15</v>
      </c>
      <c r="BB40" s="700">
        <v>0.15</v>
      </c>
      <c r="BC40" s="700">
        <v>0.15</v>
      </c>
      <c r="BD40" s="700">
        <v>0.15</v>
      </c>
      <c r="BE40" s="376"/>
      <c r="BF40" s="700">
        <v>0.15</v>
      </c>
      <c r="BG40" s="700">
        <v>0.15</v>
      </c>
      <c r="BH40" s="700">
        <v>0.15</v>
      </c>
      <c r="BI40" s="700">
        <v>0.15</v>
      </c>
    </row>
    <row r="41" spans="1:61">
      <c r="A41" s="686"/>
      <c r="B41" s="687"/>
      <c r="C41" s="688"/>
      <c r="D41" s="688"/>
      <c r="E41" s="689"/>
      <c r="F41" s="690"/>
      <c r="G41" s="689"/>
      <c r="H41" s="690"/>
      <c r="I41" s="690"/>
      <c r="J41" s="690"/>
      <c r="K41" s="273"/>
      <c r="L41" s="274"/>
      <c r="M41" s="376"/>
      <c r="N41" s="376"/>
      <c r="O41" s="376"/>
      <c r="P41" s="376"/>
      <c r="Q41" s="89"/>
      <c r="R41" s="376"/>
      <c r="S41" s="376"/>
      <c r="T41" s="376"/>
      <c r="U41" s="376"/>
      <c r="V41" s="376"/>
      <c r="W41" s="376"/>
      <c r="X41" s="376"/>
      <c r="Y41" s="376"/>
      <c r="Z41" s="376"/>
      <c r="AA41" s="376"/>
      <c r="AB41" s="376"/>
      <c r="AC41" s="376"/>
      <c r="AD41" s="376"/>
      <c r="AE41" s="376"/>
      <c r="AF41" s="376"/>
      <c r="AG41" s="376"/>
      <c r="AH41" s="376"/>
      <c r="AI41" s="376"/>
      <c r="AJ41" s="376"/>
      <c r="AK41" s="376"/>
      <c r="AL41" s="700"/>
      <c r="AM41" s="700"/>
      <c r="AN41" s="700"/>
      <c r="AO41" s="700"/>
      <c r="AP41" s="376"/>
      <c r="AQ41" s="700"/>
      <c r="AR41" s="700"/>
      <c r="AS41" s="700"/>
      <c r="AT41" s="700"/>
      <c r="AU41" s="376"/>
      <c r="AV41" s="700"/>
      <c r="AW41" s="700"/>
      <c r="AX41" s="700"/>
      <c r="AY41" s="700"/>
      <c r="AZ41" s="376"/>
      <c r="BA41" s="700"/>
      <c r="BB41" s="700"/>
      <c r="BC41" s="700"/>
      <c r="BD41" s="700"/>
      <c r="BE41" s="376"/>
      <c r="BF41" s="700"/>
      <c r="BG41" s="700"/>
      <c r="BH41" s="700"/>
      <c r="BI41" s="700"/>
    </row>
    <row r="42" spans="1:61">
      <c r="A42" s="686" t="s">
        <v>1129</v>
      </c>
      <c r="B42" s="687"/>
      <c r="C42" s="688"/>
      <c r="D42" s="688"/>
      <c r="E42" s="689"/>
      <c r="F42" s="690"/>
      <c r="G42" s="689"/>
      <c r="H42" s="690"/>
      <c r="I42" s="690"/>
      <c r="J42" s="690"/>
      <c r="K42" s="273"/>
      <c r="L42" s="274"/>
      <c r="M42" s="376"/>
      <c r="N42" s="376"/>
      <c r="O42" s="376"/>
      <c r="P42" s="376"/>
      <c r="Q42" s="89"/>
      <c r="R42" s="376"/>
      <c r="S42" s="376"/>
      <c r="T42" s="376"/>
      <c r="U42" s="376"/>
      <c r="V42" s="376"/>
      <c r="W42" s="376"/>
      <c r="X42" s="376"/>
      <c r="Y42" s="376"/>
      <c r="Z42" s="376"/>
      <c r="AA42" s="376"/>
      <c r="AB42" s="376"/>
      <c r="AC42" s="376"/>
      <c r="AD42" s="376"/>
      <c r="AE42" s="376"/>
      <c r="AF42" s="376"/>
      <c r="AG42" s="376"/>
      <c r="AH42" s="376"/>
      <c r="AI42" s="376"/>
      <c r="AJ42" s="376"/>
      <c r="AK42" s="376"/>
      <c r="AL42" s="700"/>
      <c r="AM42" s="700"/>
      <c r="AN42" s="700"/>
      <c r="AO42" s="700"/>
      <c r="AP42" s="376"/>
      <c r="AQ42" s="700"/>
      <c r="AR42" s="700"/>
      <c r="AS42" s="700"/>
      <c r="AT42" s="700"/>
      <c r="AU42" s="376"/>
      <c r="AV42" s="700"/>
      <c r="AW42" s="700"/>
      <c r="AX42" s="700"/>
      <c r="AY42" s="700"/>
      <c r="AZ42" s="376"/>
      <c r="BA42" s="700"/>
      <c r="BB42" s="700"/>
      <c r="BC42" s="700"/>
      <c r="BD42" s="700"/>
      <c r="BE42" s="376"/>
      <c r="BF42" s="700"/>
      <c r="BG42" s="700"/>
      <c r="BH42" s="700"/>
      <c r="BI42" s="700"/>
    </row>
    <row r="43" spans="1:61">
      <c r="A43" s="686" t="s">
        <v>1130</v>
      </c>
      <c r="B43" s="687"/>
      <c r="C43" s="688"/>
      <c r="D43" s="688"/>
      <c r="E43" s="689"/>
      <c r="F43" s="690"/>
      <c r="G43" s="691"/>
      <c r="H43" s="195">
        <f>SHF!H43</f>
        <v>0.82029499296999342</v>
      </c>
      <c r="I43" s="692"/>
      <c r="J43" s="195">
        <f>SHF!J43</f>
        <v>1.3539237343510058</v>
      </c>
      <c r="K43" s="273"/>
      <c r="L43" s="274"/>
      <c r="M43" s="376"/>
      <c r="N43" s="376"/>
      <c r="O43" s="376"/>
      <c r="P43" s="376"/>
      <c r="Q43" s="89"/>
      <c r="R43" s="376"/>
      <c r="S43" s="376"/>
      <c r="T43" s="376"/>
      <c r="U43" s="376"/>
      <c r="V43" s="376"/>
      <c r="W43" s="376"/>
      <c r="X43" s="376"/>
      <c r="Y43" s="376"/>
      <c r="Z43" s="376"/>
      <c r="AA43" s="376"/>
      <c r="AB43" s="376"/>
      <c r="AC43" s="376"/>
      <c r="AD43" s="376"/>
      <c r="AE43" s="376"/>
      <c r="AF43" s="376"/>
      <c r="AG43" s="376"/>
      <c r="AH43" s="376"/>
      <c r="AI43" s="376"/>
      <c r="AJ43" s="376"/>
      <c r="AK43" s="376"/>
      <c r="AL43" s="700">
        <v>0</v>
      </c>
      <c r="AM43" s="700">
        <v>0</v>
      </c>
      <c r="AN43" s="700">
        <v>0</v>
      </c>
      <c r="AO43" s="700">
        <v>0</v>
      </c>
      <c r="AP43" s="376"/>
      <c r="AQ43" s="700">
        <v>0</v>
      </c>
      <c r="AR43" s="700">
        <v>0</v>
      </c>
      <c r="AS43" s="700">
        <v>0</v>
      </c>
      <c r="AT43" s="700">
        <v>0</v>
      </c>
      <c r="AU43" s="376"/>
      <c r="AV43" s="700">
        <v>0</v>
      </c>
      <c r="AW43" s="700">
        <v>0</v>
      </c>
      <c r="AX43" s="700">
        <v>0</v>
      </c>
      <c r="AY43" s="700">
        <v>0</v>
      </c>
      <c r="AZ43" s="376"/>
      <c r="BA43" s="700">
        <v>0</v>
      </c>
      <c r="BB43" s="700">
        <v>0</v>
      </c>
      <c r="BC43" s="700">
        <v>0</v>
      </c>
      <c r="BD43" s="700">
        <v>0</v>
      </c>
      <c r="BE43" s="376"/>
      <c r="BF43" s="700">
        <v>0</v>
      </c>
      <c r="BG43" s="700">
        <v>0</v>
      </c>
      <c r="BH43" s="700">
        <v>0</v>
      </c>
      <c r="BI43" s="700">
        <v>0</v>
      </c>
    </row>
    <row r="44" spans="1:61">
      <c r="A44" s="686" t="s">
        <v>1131</v>
      </c>
      <c r="B44" s="687"/>
      <c r="C44" s="688"/>
      <c r="D44" s="688"/>
      <c r="E44" s="689"/>
      <c r="F44" s="690"/>
      <c r="G44" s="195">
        <f>SHF!G44</f>
        <v>1.566445545112501</v>
      </c>
      <c r="H44" s="195">
        <f>SHF!H44</f>
        <v>0.77082515176153144</v>
      </c>
      <c r="I44" s="195">
        <f>SHF!I44</f>
        <v>2.5854696423507204</v>
      </c>
      <c r="J44" s="195">
        <f>SHF!J44</f>
        <v>1.2722721422765415</v>
      </c>
      <c r="K44" s="273"/>
      <c r="L44" s="274"/>
      <c r="M44" s="376"/>
      <c r="N44" s="376"/>
      <c r="O44" s="376"/>
      <c r="P44" s="376"/>
      <c r="Q44" s="89"/>
      <c r="R44" s="376"/>
      <c r="S44" s="376"/>
      <c r="T44" s="376"/>
      <c r="U44" s="376"/>
      <c r="V44" s="376"/>
      <c r="W44" s="376"/>
      <c r="X44" s="376"/>
      <c r="Y44" s="376"/>
      <c r="Z44" s="376"/>
      <c r="AA44" s="376"/>
      <c r="AB44" s="376"/>
      <c r="AC44" s="376"/>
      <c r="AD44" s="376"/>
      <c r="AE44" s="376"/>
      <c r="AF44" s="376"/>
      <c r="AG44" s="376"/>
      <c r="AH44" s="376"/>
      <c r="AI44" s="376"/>
      <c r="AJ44" s="376"/>
      <c r="AK44" s="376"/>
      <c r="AL44" s="700">
        <v>1</v>
      </c>
      <c r="AM44" s="700">
        <v>1</v>
      </c>
      <c r="AN44" s="700">
        <v>1</v>
      </c>
      <c r="AO44" s="700">
        <v>1</v>
      </c>
      <c r="AP44" s="376"/>
      <c r="AQ44" s="700">
        <v>1</v>
      </c>
      <c r="AR44" s="700">
        <v>1</v>
      </c>
      <c r="AS44" s="700">
        <v>1</v>
      </c>
      <c r="AT44" s="700">
        <v>1</v>
      </c>
      <c r="AU44" s="376"/>
      <c r="AV44" s="700">
        <v>1</v>
      </c>
      <c r="AW44" s="700">
        <v>1</v>
      </c>
      <c r="AX44" s="700">
        <v>1</v>
      </c>
      <c r="AY44" s="700">
        <v>1</v>
      </c>
      <c r="AZ44" s="376"/>
      <c r="BA44" s="700">
        <v>1</v>
      </c>
      <c r="BB44" s="700">
        <v>1</v>
      </c>
      <c r="BC44" s="700">
        <v>1</v>
      </c>
      <c r="BD44" s="700">
        <v>1</v>
      </c>
      <c r="BE44" s="376"/>
      <c r="BF44" s="700">
        <v>1</v>
      </c>
      <c r="BG44" s="700">
        <v>1</v>
      </c>
      <c r="BH44" s="700">
        <v>1</v>
      </c>
      <c r="BI44" s="700">
        <v>1</v>
      </c>
    </row>
    <row r="45" spans="1:61">
      <c r="A45" s="112"/>
      <c r="B45" s="11"/>
      <c r="C45" s="11"/>
      <c r="D45" s="11"/>
      <c r="E45" s="191"/>
      <c r="F45" s="599"/>
      <c r="G45" s="652"/>
      <c r="H45" s="599"/>
      <c r="I45" s="599"/>
      <c r="J45" s="599"/>
      <c r="K45" s="74"/>
      <c r="L45" s="277"/>
      <c r="M45" s="655"/>
      <c r="N45" s="655"/>
      <c r="O45" s="655"/>
      <c r="P45" s="655"/>
      <c r="Q45" s="599"/>
      <c r="R45" s="655"/>
      <c r="S45" s="655"/>
      <c r="T45" s="655"/>
      <c r="U45" s="655"/>
      <c r="V45" s="655"/>
      <c r="W45" s="655"/>
      <c r="X45" s="655"/>
      <c r="Y45" s="655"/>
      <c r="Z45" s="655"/>
      <c r="AA45" s="655"/>
      <c r="AB45" s="655"/>
      <c r="AC45" s="655"/>
      <c r="AD45" s="655"/>
      <c r="AE45" s="655"/>
      <c r="AF45" s="655"/>
      <c r="AG45" s="655"/>
      <c r="AH45" s="655"/>
      <c r="AI45" s="655"/>
      <c r="AJ45" s="655"/>
      <c r="AK45" s="655"/>
      <c r="AL45" s="701"/>
      <c r="AM45" s="701"/>
      <c r="AN45" s="701"/>
      <c r="AO45" s="701"/>
      <c r="AP45" s="655"/>
      <c r="AQ45" s="701"/>
      <c r="AR45" s="701"/>
      <c r="AS45" s="701"/>
      <c r="AT45" s="707"/>
      <c r="AU45" s="655"/>
      <c r="AV45" s="655"/>
      <c r="AW45" s="655"/>
      <c r="AX45" s="655"/>
      <c r="AY45" s="655"/>
      <c r="AZ45" s="655"/>
      <c r="BA45" s="655"/>
      <c r="BB45" s="655"/>
      <c r="BC45" s="655"/>
      <c r="BD45" s="655"/>
      <c r="BE45" s="655"/>
      <c r="BF45" s="655"/>
      <c r="BG45" s="655"/>
      <c r="BH45" s="655"/>
      <c r="BI45" s="655"/>
    </row>
    <row r="46" spans="1:61">
      <c r="A46" s="278" t="s">
        <v>1132</v>
      </c>
      <c r="B46" s="262"/>
      <c r="C46" s="262"/>
      <c r="D46" s="262"/>
      <c r="E46" s="263"/>
      <c r="F46" s="1052"/>
      <c r="G46" s="1053"/>
      <c r="H46" s="267"/>
      <c r="I46" s="1052"/>
      <c r="J46" s="267"/>
      <c r="K46" s="289"/>
      <c r="L46" s="274"/>
      <c r="M46" s="412">
        <f>MAX(MAX(M47:M55),ABS(MIN(M47:M55)))</f>
        <v>0</v>
      </c>
      <c r="N46" s="412">
        <f>MAX(MAX(N47:N55),ABS(MIN(N47:N55)))</f>
        <v>0</v>
      </c>
      <c r="O46" s="412">
        <f>MAX(MAX(O47:O55),ABS(MIN(O47:O55)))</f>
        <v>0</v>
      </c>
      <c r="P46" s="412">
        <f>MAX(MAX(P47:P55),ABS(MIN(P47:P55)))</f>
        <v>0</v>
      </c>
      <c r="Q46" s="89"/>
      <c r="R46" s="412">
        <f>MAX(MAX(R47:R55),ABS(MIN(R47:R55)))</f>
        <v>0.75</v>
      </c>
      <c r="S46" s="412">
        <f>MAX(MAX(S47:S55),ABS(MIN(S47:S55)))</f>
        <v>0.22499999999999998</v>
      </c>
      <c r="T46" s="412">
        <f>MAX(MAX(T47:T55),ABS(MIN(T47:T55)))</f>
        <v>0.75</v>
      </c>
      <c r="U46" s="412">
        <f>MAX(MAX(U47:U55),ABS(MIN(U47:U55)))</f>
        <v>0.22499999999999998</v>
      </c>
      <c r="V46" s="412"/>
      <c r="W46" s="412">
        <f>MAX(MAX(W47:W55),ABS(MIN(W47:W55)))</f>
        <v>1.5</v>
      </c>
      <c r="X46" s="412">
        <f>MAX(MAX(X47:X55),ABS(MIN(X47:X55)))</f>
        <v>0.44999999999999996</v>
      </c>
      <c r="Y46" s="412">
        <f>MAX(MAX(Y47:Y55),ABS(MIN(Y47:Y55)))</f>
        <v>1.5</v>
      </c>
      <c r="Z46" s="412">
        <f>MAX(MAX(Z47:Z55),ABS(MIN(Z47:Z55)))</f>
        <v>0.44999999999999996</v>
      </c>
      <c r="AA46" s="412"/>
      <c r="AB46" s="412">
        <f>MAX(MAX(AB47:AB55),ABS(MIN(AB47:AB55)))</f>
        <v>1.5</v>
      </c>
      <c r="AC46" s="412">
        <f>MAX(MAX(AC47:AC55),ABS(MIN(AC47:AC55)))</f>
        <v>1.5</v>
      </c>
      <c r="AD46" s="412">
        <f>MAX(MAX(AD47:AD55),ABS(MIN(AD47:AD55)))</f>
        <v>1.5</v>
      </c>
      <c r="AE46" s="412">
        <f>MAX(MAX(AE47:AE55),ABS(MIN(AE47:AE55)))</f>
        <v>1.5</v>
      </c>
      <c r="AF46" s="412"/>
      <c r="AG46" s="412">
        <f>MAX(MAX(AG47:AG55),ABS(MIN(AG47:AG55)))</f>
        <v>1.5</v>
      </c>
      <c r="AH46" s="412">
        <f>MAX(MAX(AH47:AH55),ABS(MIN(AH47:AH55)))</f>
        <v>1.5</v>
      </c>
      <c r="AI46" s="412">
        <f>MAX(MAX(AI47:AI55),ABS(MIN(AI47:AI55)))</f>
        <v>1.5</v>
      </c>
      <c r="AJ46" s="412">
        <f>MAX(MAX(AJ47:AJ55),ABS(MIN(AJ47:AJ55)))</f>
        <v>1.5</v>
      </c>
      <c r="AK46" s="412"/>
      <c r="AL46" s="995">
        <f>MAX(MAX(AL47:AL58),ABS(MIN(AL47:AL58)))</f>
        <v>0</v>
      </c>
      <c r="AM46" s="995">
        <f>MAX(MAX(AM47:AM58),ABS(MIN(AM47:AM58)))</f>
        <v>0</v>
      </c>
      <c r="AN46" s="995">
        <f>MAX(MAX(AN47:AN58),ABS(MIN(AN47:AN58)))</f>
        <v>0</v>
      </c>
      <c r="AO46" s="995">
        <f>MAX(MAX(AO47:AO58),ABS(MIN(AO47:AO58)))</f>
        <v>0</v>
      </c>
      <c r="AP46" s="376"/>
      <c r="AQ46" s="995">
        <f>MAX(MAX(AQ47:AQ58),ABS(MIN(AQ47:AQ58)))</f>
        <v>0.75</v>
      </c>
      <c r="AR46" s="995">
        <f>MAX(MAX(AR47:AR58),ABS(MIN(AR47:AR58)))</f>
        <v>0.22499999999999998</v>
      </c>
      <c r="AS46" s="995">
        <f>MAX(MAX(AS47:AS58),ABS(MIN(AS47:AS58)))</f>
        <v>0.75</v>
      </c>
      <c r="AT46" s="995">
        <f>MAX(MAX(AT47:AT58),ABS(MIN(AT47:AT58)))</f>
        <v>0.22499999999999998</v>
      </c>
      <c r="AU46" s="376"/>
      <c r="AV46" s="995">
        <f>MAX(MAX(AV47:AV58),ABS(MIN(AV47:AV58)))</f>
        <v>1.5</v>
      </c>
      <c r="AW46" s="995">
        <f>MAX(MAX(AW47:AW58),ABS(MIN(AW47:AW58)))</f>
        <v>0.44999999999999996</v>
      </c>
      <c r="AX46" s="995">
        <f>MAX(MAX(AX47:AX58),ABS(MIN(AX47:AX58)))</f>
        <v>1.5</v>
      </c>
      <c r="AY46" s="995">
        <f>MAX(MAX(AY47:AY58),ABS(MIN(AY47:AY58)))</f>
        <v>0.44999999999999996</v>
      </c>
      <c r="AZ46" s="376"/>
      <c r="BA46" s="995">
        <f>MAX(MAX(BA47:BA58),ABS(MIN(BA47:BA58)))</f>
        <v>1.5</v>
      </c>
      <c r="BB46" s="995">
        <f>MAX(MAX(BB47:BB58),ABS(MIN(BB47:BB58)))</f>
        <v>1.5</v>
      </c>
      <c r="BC46" s="995">
        <f>MAX(MAX(BC47:BC58),ABS(MIN(BC47:BC58)))</f>
        <v>1.5</v>
      </c>
      <c r="BD46" s="995">
        <f>MAX(MAX(BD47:BD58),ABS(MIN(BD47:BD58)))</f>
        <v>1.5</v>
      </c>
      <c r="BE46" s="376"/>
      <c r="BF46" s="995">
        <f>MAX(MAX(BF47:BF58),ABS(MIN(BF47:BF58)))</f>
        <v>1.5</v>
      </c>
      <c r="BG46" s="995">
        <f>MAX(MAX(BG47:BG58),ABS(MIN(BG47:BG58)))</f>
        <v>1.5</v>
      </c>
      <c r="BH46" s="995">
        <f>MAX(MAX(BH47:BH58),ABS(MIN(BH47:BH58)))</f>
        <v>1.5</v>
      </c>
      <c r="BI46" s="995">
        <f>MAX(MAX(BI47:BI58),ABS(MIN(BI47:BI58)))</f>
        <v>1.5</v>
      </c>
    </row>
    <row r="47" spans="1:61">
      <c r="A47" s="25" t="s">
        <v>992</v>
      </c>
      <c r="B47" s="26"/>
      <c r="C47" s="26"/>
      <c r="D47" s="26"/>
      <c r="E47" s="27"/>
      <c r="F47" s="197"/>
      <c r="G47" s="211"/>
      <c r="H47" s="34"/>
      <c r="I47" s="211"/>
      <c r="J47" s="89"/>
      <c r="K47" s="289"/>
      <c r="L47" s="274"/>
      <c r="M47" s="477"/>
      <c r="N47" s="477"/>
      <c r="O47" s="477"/>
      <c r="P47" s="477"/>
      <c r="Q47" s="89"/>
      <c r="R47" s="477"/>
      <c r="S47" s="477"/>
      <c r="T47" s="477"/>
      <c r="U47" s="477"/>
      <c r="V47" s="477"/>
      <c r="W47" s="477"/>
      <c r="X47" s="477"/>
      <c r="Y47" s="477"/>
      <c r="Z47" s="477"/>
      <c r="AA47" s="477"/>
      <c r="AB47" s="477"/>
      <c r="AC47" s="477"/>
      <c r="AD47" s="477"/>
      <c r="AE47" s="477"/>
      <c r="AF47" s="477"/>
      <c r="AG47" s="477"/>
      <c r="AH47" s="477"/>
      <c r="AI47" s="477"/>
      <c r="AJ47" s="477"/>
      <c r="AK47" s="477"/>
      <c r="AL47" s="699"/>
      <c r="AM47" s="699"/>
      <c r="AN47" s="699"/>
      <c r="AO47" s="699"/>
      <c r="AP47" s="376"/>
      <c r="AQ47" s="699"/>
      <c r="AR47" s="699"/>
      <c r="AS47" s="699"/>
      <c r="AT47" s="699"/>
      <c r="AU47" s="376"/>
      <c r="AV47" s="477"/>
      <c r="AW47" s="477"/>
      <c r="AX47" s="477"/>
      <c r="AY47" s="477"/>
      <c r="AZ47" s="376"/>
      <c r="BA47" s="477"/>
      <c r="BB47" s="477"/>
      <c r="BC47" s="477"/>
      <c r="BD47" s="477"/>
      <c r="BE47" s="376"/>
      <c r="BF47" s="477"/>
      <c r="BG47" s="477"/>
      <c r="BH47" s="477"/>
      <c r="BI47" s="477"/>
    </row>
    <row r="48" spans="1:61">
      <c r="A48" s="25" t="s">
        <v>990</v>
      </c>
      <c r="B48" s="26" t="s">
        <v>988</v>
      </c>
      <c r="C48" s="26"/>
      <c r="D48" s="26"/>
      <c r="E48" s="27"/>
      <c r="F48" s="197"/>
      <c r="G48" s="195">
        <f>SHF!G48</f>
        <v>0</v>
      </c>
      <c r="H48" s="34"/>
      <c r="I48" s="195">
        <f>SHF!I48</f>
        <v>0</v>
      </c>
      <c r="J48" s="89"/>
      <c r="K48" s="289"/>
      <c r="L48" s="274"/>
      <c r="M48" s="477">
        <v>0</v>
      </c>
      <c r="N48" s="477">
        <v>0</v>
      </c>
      <c r="O48" s="477">
        <v>0</v>
      </c>
      <c r="P48" s="477">
        <v>0</v>
      </c>
      <c r="Q48" s="89"/>
      <c r="R48" s="477">
        <v>0</v>
      </c>
      <c r="S48" s="477">
        <v>0</v>
      </c>
      <c r="T48" s="477">
        <v>0</v>
      </c>
      <c r="U48" s="477">
        <v>0</v>
      </c>
      <c r="V48" s="477"/>
      <c r="W48" s="477">
        <v>0</v>
      </c>
      <c r="X48" s="477">
        <v>0</v>
      </c>
      <c r="Y48" s="477">
        <v>0</v>
      </c>
      <c r="Z48" s="477">
        <v>0</v>
      </c>
      <c r="AA48" s="477"/>
      <c r="AB48" s="477">
        <v>0</v>
      </c>
      <c r="AC48" s="477">
        <v>0</v>
      </c>
      <c r="AD48" s="477">
        <v>0</v>
      </c>
      <c r="AE48" s="477">
        <v>0</v>
      </c>
      <c r="AF48" s="477"/>
      <c r="AG48" s="477">
        <v>0</v>
      </c>
      <c r="AH48" s="477">
        <v>0</v>
      </c>
      <c r="AI48" s="477">
        <v>0</v>
      </c>
      <c r="AJ48" s="477">
        <v>0</v>
      </c>
      <c r="AK48" s="477"/>
      <c r="AL48" s="699">
        <v>0</v>
      </c>
      <c r="AM48" s="699">
        <v>0</v>
      </c>
      <c r="AN48" s="699">
        <v>0</v>
      </c>
      <c r="AO48" s="699">
        <v>0</v>
      </c>
      <c r="AP48" s="376"/>
      <c r="AQ48" s="699">
        <v>0</v>
      </c>
      <c r="AR48" s="699">
        <v>0</v>
      </c>
      <c r="AS48" s="699">
        <v>0</v>
      </c>
      <c r="AT48" s="699">
        <v>0</v>
      </c>
      <c r="AU48" s="376"/>
      <c r="AV48" s="477">
        <v>0</v>
      </c>
      <c r="AW48" s="477">
        <v>0</v>
      </c>
      <c r="AX48" s="477">
        <v>0</v>
      </c>
      <c r="AY48" s="477">
        <v>0</v>
      </c>
      <c r="AZ48" s="376"/>
      <c r="BA48" s="477">
        <v>0</v>
      </c>
      <c r="BB48" s="477">
        <v>0</v>
      </c>
      <c r="BC48" s="477">
        <v>0</v>
      </c>
      <c r="BD48" s="477">
        <v>0</v>
      </c>
      <c r="BE48" s="376"/>
      <c r="BF48" s="477">
        <v>0</v>
      </c>
      <c r="BG48" s="477">
        <v>0</v>
      </c>
      <c r="BH48" s="477">
        <v>0</v>
      </c>
      <c r="BI48" s="477">
        <v>0</v>
      </c>
    </row>
    <row r="49" spans="1:61">
      <c r="A49" s="25" t="s">
        <v>991</v>
      </c>
      <c r="B49" s="26" t="s">
        <v>989</v>
      </c>
      <c r="C49" s="26"/>
      <c r="D49" s="26"/>
      <c r="E49" s="27"/>
      <c r="F49" s="197"/>
      <c r="G49" s="195">
        <f>SHF!G49</f>
        <v>70.238399999999984</v>
      </c>
      <c r="H49" s="34"/>
      <c r="I49" s="195">
        <f>SHF!I49</f>
        <v>455.14483200000001</v>
      </c>
      <c r="J49" s="89"/>
      <c r="K49" s="289"/>
      <c r="L49" s="274"/>
      <c r="M49" s="268">
        <v>0</v>
      </c>
      <c r="N49" s="268">
        <v>0</v>
      </c>
      <c r="O49" s="268">
        <v>0</v>
      </c>
      <c r="P49" s="268">
        <v>0</v>
      </c>
      <c r="Q49" s="89"/>
      <c r="R49" s="268">
        <v>0.75</v>
      </c>
      <c r="S49" s="268">
        <f>0.3*0.75</f>
        <v>0.22499999999999998</v>
      </c>
      <c r="T49" s="268">
        <v>0.75</v>
      </c>
      <c r="U49" s="268">
        <f>0.3*0.75</f>
        <v>0.22499999999999998</v>
      </c>
      <c r="V49" s="268"/>
      <c r="W49" s="268">
        <f>1.5</f>
        <v>1.5</v>
      </c>
      <c r="X49" s="268">
        <f>0.3*1.5</f>
        <v>0.44999999999999996</v>
      </c>
      <c r="Y49" s="268">
        <f>1.5</f>
        <v>1.5</v>
      </c>
      <c r="Z49" s="268">
        <f>0.3*1.5</f>
        <v>0.44999999999999996</v>
      </c>
      <c r="AA49" s="268"/>
      <c r="AB49" s="268">
        <v>1.5</v>
      </c>
      <c r="AC49" s="268">
        <f>0.3*1.5</f>
        <v>0.44999999999999996</v>
      </c>
      <c r="AD49" s="268">
        <v>1.5</v>
      </c>
      <c r="AE49" s="268">
        <f>0.3*1.5</f>
        <v>0.44999999999999996</v>
      </c>
      <c r="AF49" s="268"/>
      <c r="AG49" s="268">
        <v>1.5</v>
      </c>
      <c r="AH49" s="268">
        <f>0.3*1.5</f>
        <v>0.44999999999999996</v>
      </c>
      <c r="AI49" s="268">
        <v>1.5</v>
      </c>
      <c r="AJ49" s="268">
        <f>0.3*1.5</f>
        <v>0.44999999999999996</v>
      </c>
      <c r="AK49" s="268"/>
      <c r="AL49" s="699">
        <v>0</v>
      </c>
      <c r="AM49" s="699">
        <v>0</v>
      </c>
      <c r="AN49" s="699">
        <v>0</v>
      </c>
      <c r="AO49" s="699">
        <v>0</v>
      </c>
      <c r="AP49" s="376"/>
      <c r="AQ49" s="699">
        <v>0.75</v>
      </c>
      <c r="AR49" s="699">
        <f>0.3*0.75</f>
        <v>0.22499999999999998</v>
      </c>
      <c r="AS49" s="699">
        <v>0.75</v>
      </c>
      <c r="AT49" s="699">
        <f>0.3*0.75</f>
        <v>0.22499999999999998</v>
      </c>
      <c r="AU49" s="376"/>
      <c r="AV49" s="268">
        <v>1.5</v>
      </c>
      <c r="AW49" s="268">
        <f>0.3*1.5</f>
        <v>0.44999999999999996</v>
      </c>
      <c r="AX49" s="268">
        <v>1.5</v>
      </c>
      <c r="AY49" s="268">
        <f>0.3*1.5</f>
        <v>0.44999999999999996</v>
      </c>
      <c r="AZ49" s="376"/>
      <c r="BA49" s="268">
        <f>1.5</f>
        <v>1.5</v>
      </c>
      <c r="BB49" s="268">
        <f>0.3*1.5</f>
        <v>0.44999999999999996</v>
      </c>
      <c r="BC49" s="268">
        <f>1.5</f>
        <v>1.5</v>
      </c>
      <c r="BD49" s="268">
        <f>0.3*1.5</f>
        <v>0.44999999999999996</v>
      </c>
      <c r="BE49" s="376"/>
      <c r="BF49" s="268">
        <f>1.5</f>
        <v>1.5</v>
      </c>
      <c r="BG49" s="268">
        <f>0.3*1.5</f>
        <v>0.44999999999999996</v>
      </c>
      <c r="BH49" s="268">
        <f>1.5</f>
        <v>1.5</v>
      </c>
      <c r="BI49" s="268">
        <f>0.3*1.5</f>
        <v>0.44999999999999996</v>
      </c>
    </row>
    <row r="50" spans="1:61">
      <c r="A50" s="25"/>
      <c r="B50" s="26"/>
      <c r="C50" s="26"/>
      <c r="D50" s="26"/>
      <c r="E50" s="27"/>
      <c r="F50" s="197"/>
      <c r="G50" s="211"/>
      <c r="H50" s="34"/>
      <c r="I50" s="211"/>
      <c r="J50" s="89"/>
      <c r="K50" s="289"/>
      <c r="L50" s="274"/>
      <c r="M50" s="268"/>
      <c r="N50" s="268"/>
      <c r="O50" s="268"/>
      <c r="P50" s="268"/>
      <c r="Q50" s="89"/>
      <c r="R50" s="268"/>
      <c r="S50" s="268"/>
      <c r="T50" s="268"/>
      <c r="U50" s="268"/>
      <c r="V50" s="268"/>
      <c r="W50" s="268"/>
      <c r="X50" s="268"/>
      <c r="Y50" s="268"/>
      <c r="Z50" s="268"/>
      <c r="AA50" s="268"/>
      <c r="AB50" s="268"/>
      <c r="AC50" s="268"/>
      <c r="AD50" s="268"/>
      <c r="AE50" s="268"/>
      <c r="AF50" s="268"/>
      <c r="AG50" s="268"/>
      <c r="AH50" s="268"/>
      <c r="AI50" s="268"/>
      <c r="AJ50" s="268"/>
      <c r="AK50" s="268"/>
      <c r="AL50" s="699"/>
      <c r="AM50" s="699"/>
      <c r="AN50" s="699"/>
      <c r="AO50" s="699"/>
      <c r="AP50" s="376"/>
      <c r="AQ50" s="699"/>
      <c r="AR50" s="699"/>
      <c r="AS50" s="699"/>
      <c r="AT50" s="699"/>
      <c r="AU50" s="376"/>
      <c r="AV50" s="268"/>
      <c r="AW50" s="268"/>
      <c r="AX50" s="268"/>
      <c r="AY50" s="268"/>
      <c r="AZ50" s="376"/>
      <c r="BA50" s="268"/>
      <c r="BB50" s="268"/>
      <c r="BC50" s="268"/>
      <c r="BD50" s="268"/>
      <c r="BE50" s="376"/>
      <c r="BF50" s="268"/>
      <c r="BG50" s="268"/>
      <c r="BH50" s="268"/>
      <c r="BI50" s="268"/>
    </row>
    <row r="51" spans="1:61">
      <c r="A51" s="25" t="s">
        <v>1012</v>
      </c>
      <c r="B51" s="26"/>
      <c r="C51" s="26"/>
      <c r="D51" s="26"/>
      <c r="E51" s="27"/>
      <c r="F51" s="197"/>
      <c r="G51" s="211"/>
      <c r="H51" s="34"/>
      <c r="I51" s="211"/>
      <c r="J51" s="89"/>
      <c r="K51" s="289"/>
      <c r="L51" s="274"/>
      <c r="M51" s="376"/>
      <c r="N51" s="376"/>
      <c r="O51" s="376"/>
      <c r="P51" s="376"/>
      <c r="Q51" s="89"/>
      <c r="R51" s="376"/>
      <c r="S51" s="376"/>
      <c r="T51" s="376"/>
      <c r="U51" s="376"/>
      <c r="V51" s="376"/>
      <c r="W51" s="376"/>
      <c r="X51" s="376"/>
      <c r="Y51" s="376"/>
      <c r="Z51" s="376"/>
      <c r="AA51" s="376"/>
      <c r="AB51" s="376"/>
      <c r="AC51" s="376"/>
      <c r="AD51" s="376"/>
      <c r="AE51" s="376"/>
      <c r="AF51" s="376"/>
      <c r="AG51" s="376"/>
      <c r="AH51" s="376"/>
      <c r="AI51" s="376"/>
      <c r="AJ51" s="376"/>
      <c r="AK51" s="376"/>
      <c r="AL51" s="700"/>
      <c r="AM51" s="700"/>
      <c r="AN51" s="700"/>
      <c r="AO51" s="700"/>
      <c r="AP51" s="376"/>
      <c r="AQ51" s="700"/>
      <c r="AR51" s="700"/>
      <c r="AS51" s="700"/>
      <c r="AT51" s="700"/>
      <c r="AU51" s="376"/>
      <c r="AV51" s="376"/>
      <c r="AW51" s="376"/>
      <c r="AX51" s="376"/>
      <c r="AY51" s="376"/>
      <c r="AZ51" s="376"/>
      <c r="BA51" s="376"/>
      <c r="BB51" s="376"/>
      <c r="BC51" s="376"/>
      <c r="BD51" s="376"/>
      <c r="BE51" s="376"/>
      <c r="BF51" s="376"/>
      <c r="BG51" s="376"/>
      <c r="BH51" s="376"/>
      <c r="BI51" s="376"/>
    </row>
    <row r="52" spans="1:61">
      <c r="A52" s="25" t="s">
        <v>993</v>
      </c>
      <c r="B52" s="26" t="s">
        <v>995</v>
      </c>
      <c r="C52" s="26"/>
      <c r="D52" s="26"/>
      <c r="E52" s="27"/>
      <c r="F52" s="197"/>
      <c r="G52" s="195">
        <f>SHF!G52</f>
        <v>0</v>
      </c>
      <c r="H52" s="34"/>
      <c r="I52" s="195">
        <f>SHF!I52</f>
        <v>0</v>
      </c>
      <c r="J52" s="89"/>
      <c r="K52" s="289"/>
      <c r="L52" s="274"/>
      <c r="M52" s="376">
        <v>0</v>
      </c>
      <c r="N52" s="376">
        <v>0</v>
      </c>
      <c r="O52" s="376">
        <v>0</v>
      </c>
      <c r="P52" s="376">
        <v>0</v>
      </c>
      <c r="Q52" s="89"/>
      <c r="R52" s="376">
        <v>0</v>
      </c>
      <c r="S52" s="376">
        <v>0</v>
      </c>
      <c r="T52" s="376">
        <v>0</v>
      </c>
      <c r="U52" s="376">
        <v>0</v>
      </c>
      <c r="V52" s="376"/>
      <c r="W52" s="376">
        <v>0</v>
      </c>
      <c r="X52" s="376">
        <v>0</v>
      </c>
      <c r="Y52" s="376">
        <v>0</v>
      </c>
      <c r="Z52" s="376">
        <v>0</v>
      </c>
      <c r="AA52" s="376"/>
      <c r="AB52" s="376">
        <v>0</v>
      </c>
      <c r="AC52" s="376">
        <v>0</v>
      </c>
      <c r="AD52" s="376">
        <v>0</v>
      </c>
      <c r="AE52" s="376">
        <v>0</v>
      </c>
      <c r="AF52" s="376"/>
      <c r="AG52" s="376">
        <v>0</v>
      </c>
      <c r="AH52" s="376">
        <v>0</v>
      </c>
      <c r="AI52" s="376">
        <v>0</v>
      </c>
      <c r="AJ52" s="376">
        <v>0</v>
      </c>
      <c r="AK52" s="376"/>
      <c r="AL52" s="700">
        <v>0</v>
      </c>
      <c r="AM52" s="700">
        <v>0</v>
      </c>
      <c r="AN52" s="700">
        <v>0</v>
      </c>
      <c r="AO52" s="700">
        <v>0</v>
      </c>
      <c r="AP52" s="376"/>
      <c r="AQ52" s="700">
        <v>0</v>
      </c>
      <c r="AR52" s="700">
        <v>0</v>
      </c>
      <c r="AS52" s="700">
        <v>0</v>
      </c>
      <c r="AT52" s="700">
        <v>0</v>
      </c>
      <c r="AU52" s="376"/>
      <c r="AV52" s="376">
        <v>0</v>
      </c>
      <c r="AW52" s="376">
        <v>0</v>
      </c>
      <c r="AX52" s="376">
        <v>0</v>
      </c>
      <c r="AY52" s="376">
        <v>0</v>
      </c>
      <c r="AZ52" s="376"/>
      <c r="BA52" s="376">
        <v>0</v>
      </c>
      <c r="BB52" s="376">
        <v>0</v>
      </c>
      <c r="BC52" s="376">
        <v>0</v>
      </c>
      <c r="BD52" s="376">
        <v>0</v>
      </c>
      <c r="BE52" s="376"/>
      <c r="BF52" s="376">
        <v>0</v>
      </c>
      <c r="BG52" s="376">
        <v>0</v>
      </c>
      <c r="BH52" s="376">
        <v>0</v>
      </c>
      <c r="BI52" s="376">
        <v>0</v>
      </c>
    </row>
    <row r="53" spans="1:61">
      <c r="A53" s="25" t="s">
        <v>994</v>
      </c>
      <c r="B53" s="26" t="s">
        <v>996</v>
      </c>
      <c r="C53" s="26"/>
      <c r="D53" s="26"/>
      <c r="E53" s="27"/>
      <c r="F53" s="197"/>
      <c r="G53" s="195">
        <f>SHF!G53</f>
        <v>4.5540000000000003</v>
      </c>
      <c r="H53" s="34"/>
      <c r="I53" s="195">
        <f>SHF!I53</f>
        <v>29.509920000000008</v>
      </c>
      <c r="J53" s="89"/>
      <c r="K53" s="289"/>
      <c r="L53" s="274"/>
      <c r="M53" s="376">
        <v>0</v>
      </c>
      <c r="N53" s="376">
        <v>0</v>
      </c>
      <c r="O53" s="376">
        <v>0</v>
      </c>
      <c r="P53" s="376">
        <v>0</v>
      </c>
      <c r="Q53" s="89"/>
      <c r="R53" s="376">
        <v>0</v>
      </c>
      <c r="S53" s="376">
        <v>0</v>
      </c>
      <c r="T53" s="376">
        <v>0</v>
      </c>
      <c r="U53" s="376">
        <v>0</v>
      </c>
      <c r="V53" s="376"/>
      <c r="W53" s="376">
        <v>0</v>
      </c>
      <c r="X53" s="376">
        <v>0</v>
      </c>
      <c r="Y53" s="376">
        <v>0</v>
      </c>
      <c r="Z53" s="376">
        <v>0</v>
      </c>
      <c r="AA53" s="376"/>
      <c r="AB53" s="376">
        <v>1.5</v>
      </c>
      <c r="AC53" s="376">
        <v>1.5</v>
      </c>
      <c r="AD53" s="376">
        <v>1.5</v>
      </c>
      <c r="AE53" s="376">
        <v>1.5</v>
      </c>
      <c r="AF53" s="376"/>
      <c r="AG53" s="376">
        <v>1.5</v>
      </c>
      <c r="AH53" s="376">
        <v>1.5</v>
      </c>
      <c r="AI53" s="376">
        <v>1.5</v>
      </c>
      <c r="AJ53" s="376">
        <v>1.5</v>
      </c>
      <c r="AK53" s="376"/>
      <c r="AL53" s="700">
        <v>0</v>
      </c>
      <c r="AM53" s="700">
        <v>0</v>
      </c>
      <c r="AN53" s="700">
        <v>0</v>
      </c>
      <c r="AO53" s="700">
        <v>0</v>
      </c>
      <c r="AP53" s="376"/>
      <c r="AQ53" s="700">
        <v>0</v>
      </c>
      <c r="AR53" s="700">
        <v>0</v>
      </c>
      <c r="AS53" s="700">
        <v>0</v>
      </c>
      <c r="AT53" s="700">
        <v>0</v>
      </c>
      <c r="AU53" s="376"/>
      <c r="AV53" s="376">
        <v>0</v>
      </c>
      <c r="AW53" s="376">
        <v>0</v>
      </c>
      <c r="AX53" s="376">
        <v>0</v>
      </c>
      <c r="AY53" s="376">
        <v>0</v>
      </c>
      <c r="AZ53" s="376"/>
      <c r="BA53" s="376">
        <v>1.5</v>
      </c>
      <c r="BB53" s="376">
        <v>1.5</v>
      </c>
      <c r="BC53" s="376">
        <v>1.5</v>
      </c>
      <c r="BD53" s="376">
        <v>1.5</v>
      </c>
      <c r="BE53" s="376"/>
      <c r="BF53" s="376">
        <v>1.5</v>
      </c>
      <c r="BG53" s="376">
        <v>1.5</v>
      </c>
      <c r="BH53" s="376">
        <v>1.5</v>
      </c>
      <c r="BI53" s="376">
        <v>1.5</v>
      </c>
    </row>
    <row r="54" spans="1:61">
      <c r="A54" s="25"/>
      <c r="B54" s="26"/>
      <c r="C54" s="26"/>
      <c r="D54" s="26"/>
      <c r="E54" s="27"/>
      <c r="F54" s="197"/>
      <c r="G54" s="211"/>
      <c r="H54" s="34"/>
      <c r="I54" s="211"/>
      <c r="J54" s="89"/>
      <c r="K54" s="289"/>
      <c r="L54" s="274"/>
      <c r="M54" s="376"/>
      <c r="N54" s="376"/>
      <c r="O54" s="376"/>
      <c r="P54" s="376"/>
      <c r="Q54" s="89"/>
      <c r="R54" s="376"/>
      <c r="S54" s="376"/>
      <c r="T54" s="376"/>
      <c r="U54" s="376"/>
      <c r="V54" s="376"/>
      <c r="W54" s="376"/>
      <c r="X54" s="376"/>
      <c r="Y54" s="376"/>
      <c r="Z54" s="376"/>
      <c r="AA54" s="376"/>
      <c r="AB54" s="376"/>
      <c r="AC54" s="376"/>
      <c r="AD54" s="376"/>
      <c r="AE54" s="376"/>
      <c r="AF54" s="376"/>
      <c r="AG54" s="376"/>
      <c r="AH54" s="376"/>
      <c r="AI54" s="376"/>
      <c r="AJ54" s="376"/>
      <c r="AK54" s="376"/>
      <c r="AL54" s="700"/>
      <c r="AM54" s="700"/>
      <c r="AN54" s="700"/>
      <c r="AO54" s="700"/>
      <c r="AP54" s="376"/>
      <c r="AQ54" s="700"/>
      <c r="AR54" s="700"/>
      <c r="AS54" s="700"/>
      <c r="AT54" s="700"/>
      <c r="AU54" s="376"/>
      <c r="AV54" s="376"/>
      <c r="AW54" s="376"/>
      <c r="AX54" s="376"/>
      <c r="AY54" s="376"/>
      <c r="AZ54" s="376"/>
      <c r="BA54" s="376"/>
      <c r="BB54" s="376"/>
      <c r="BC54" s="376"/>
      <c r="BD54" s="376"/>
      <c r="BE54" s="376"/>
      <c r="BF54" s="376"/>
      <c r="BG54" s="376"/>
      <c r="BH54" s="376"/>
      <c r="BI54" s="376"/>
    </row>
    <row r="55" spans="1:61">
      <c r="A55" s="25" t="s">
        <v>217</v>
      </c>
      <c r="B55" s="26" t="s">
        <v>211</v>
      </c>
      <c r="C55" s="26"/>
      <c r="D55" s="26"/>
      <c r="E55" s="27"/>
      <c r="F55" s="197"/>
      <c r="G55" s="195">
        <f>SHF!G55</f>
        <v>19.850764639779044</v>
      </c>
      <c r="H55" s="34"/>
      <c r="I55" s="195">
        <f>SHF!I55</f>
        <v>73.367744311147007</v>
      </c>
      <c r="J55" s="89"/>
      <c r="K55" s="289"/>
      <c r="L55" s="274"/>
      <c r="M55" s="376">
        <v>0</v>
      </c>
      <c r="N55" s="376">
        <v>0</v>
      </c>
      <c r="O55" s="376">
        <v>0</v>
      </c>
      <c r="P55" s="376">
        <v>0</v>
      </c>
      <c r="Q55" s="89"/>
      <c r="R55" s="376">
        <v>0.75</v>
      </c>
      <c r="S55" s="268">
        <f>0.3*0.75</f>
        <v>0.22499999999999998</v>
      </c>
      <c r="T55" s="376">
        <v>0.75</v>
      </c>
      <c r="U55" s="268">
        <f>0.3*0.75</f>
        <v>0.22499999999999998</v>
      </c>
      <c r="V55" s="268"/>
      <c r="W55" s="376">
        <f>1.5</f>
        <v>1.5</v>
      </c>
      <c r="X55" s="268">
        <f>0.3*1.5</f>
        <v>0.44999999999999996</v>
      </c>
      <c r="Y55" s="376">
        <f>1.5</f>
        <v>1.5</v>
      </c>
      <c r="Z55" s="268">
        <f>0.3*1.5</f>
        <v>0.44999999999999996</v>
      </c>
      <c r="AA55" s="268"/>
      <c r="AB55" s="376">
        <v>1.5</v>
      </c>
      <c r="AC55" s="376">
        <f>0.3*1.5</f>
        <v>0.44999999999999996</v>
      </c>
      <c r="AD55" s="376">
        <v>1.5</v>
      </c>
      <c r="AE55" s="376">
        <f>0.3*1.5</f>
        <v>0.44999999999999996</v>
      </c>
      <c r="AF55" s="376"/>
      <c r="AG55" s="376">
        <v>1.5</v>
      </c>
      <c r="AH55" s="376">
        <f>0.3*1.5</f>
        <v>0.44999999999999996</v>
      </c>
      <c r="AI55" s="376">
        <v>1.5</v>
      </c>
      <c r="AJ55" s="376">
        <f>0.3*1.5</f>
        <v>0.44999999999999996</v>
      </c>
      <c r="AK55" s="376"/>
      <c r="AL55" s="700">
        <v>0</v>
      </c>
      <c r="AM55" s="700">
        <v>0</v>
      </c>
      <c r="AN55" s="700">
        <v>0</v>
      </c>
      <c r="AO55" s="700">
        <v>0</v>
      </c>
      <c r="AP55" s="376"/>
      <c r="AQ55" s="700">
        <v>0.75</v>
      </c>
      <c r="AR55" s="699">
        <f>0.3*0.75</f>
        <v>0.22499999999999998</v>
      </c>
      <c r="AS55" s="700">
        <v>0.75</v>
      </c>
      <c r="AT55" s="699">
        <f>0.3*0.75</f>
        <v>0.22499999999999998</v>
      </c>
      <c r="AU55" s="376"/>
      <c r="AV55" s="376">
        <v>1.5</v>
      </c>
      <c r="AW55" s="268">
        <f>0.3*1.5</f>
        <v>0.44999999999999996</v>
      </c>
      <c r="AX55" s="376">
        <v>1.5</v>
      </c>
      <c r="AY55" s="268">
        <f>0.3*1.5</f>
        <v>0.44999999999999996</v>
      </c>
      <c r="AZ55" s="376"/>
      <c r="BA55" s="376">
        <v>1.5</v>
      </c>
      <c r="BB55" s="268">
        <f>0.3*1.5</f>
        <v>0.44999999999999996</v>
      </c>
      <c r="BC55" s="376">
        <v>1.5</v>
      </c>
      <c r="BD55" s="268">
        <f>0.3*1.5</f>
        <v>0.44999999999999996</v>
      </c>
      <c r="BE55" s="376"/>
      <c r="BF55" s="376">
        <v>1.5</v>
      </c>
      <c r="BG55" s="268">
        <f>0.3*1.5</f>
        <v>0.44999999999999996</v>
      </c>
      <c r="BH55" s="376">
        <v>1.5</v>
      </c>
      <c r="BI55" s="268">
        <f>0.3*1.5</f>
        <v>0.44999999999999996</v>
      </c>
    </row>
    <row r="56" spans="1:61">
      <c r="A56" s="69"/>
      <c r="B56" s="26"/>
      <c r="C56" s="26"/>
      <c r="D56" s="26"/>
      <c r="E56" s="27"/>
      <c r="F56" s="197"/>
      <c r="G56" s="211"/>
      <c r="H56" s="34"/>
      <c r="I56" s="211"/>
      <c r="J56" s="89"/>
      <c r="K56" s="289"/>
      <c r="L56" s="274"/>
      <c r="M56" s="376"/>
      <c r="N56" s="376"/>
      <c r="O56" s="376"/>
      <c r="P56" s="376"/>
      <c r="Q56" s="89"/>
      <c r="R56" s="376"/>
      <c r="S56" s="376"/>
      <c r="T56" s="376"/>
      <c r="U56" s="376"/>
      <c r="V56" s="376"/>
      <c r="W56" s="376"/>
      <c r="X56" s="376"/>
      <c r="Y56" s="376"/>
      <c r="Z56" s="376"/>
      <c r="AA56" s="376"/>
      <c r="AB56" s="376"/>
      <c r="AC56" s="376"/>
      <c r="AD56" s="376"/>
      <c r="AE56" s="376"/>
      <c r="AF56" s="376"/>
      <c r="AG56" s="376"/>
      <c r="AH56" s="376"/>
      <c r="AI56" s="376"/>
      <c r="AJ56" s="376"/>
      <c r="AK56" s="376"/>
      <c r="AL56" s="700"/>
      <c r="AM56" s="700"/>
      <c r="AN56" s="700"/>
      <c r="AO56" s="700"/>
      <c r="AP56" s="376"/>
      <c r="AQ56" s="700"/>
      <c r="AR56" s="700"/>
      <c r="AS56" s="700"/>
      <c r="AT56" s="700"/>
      <c r="AU56" s="376"/>
      <c r="AV56" s="376"/>
      <c r="AW56" s="376"/>
      <c r="AX56" s="376"/>
      <c r="AY56" s="376"/>
      <c r="AZ56" s="376"/>
      <c r="BA56" s="376"/>
      <c r="BB56" s="376"/>
      <c r="BC56" s="376"/>
      <c r="BD56" s="376"/>
      <c r="BE56" s="376"/>
      <c r="BF56" s="376"/>
      <c r="BG56" s="376"/>
      <c r="BH56" s="376"/>
      <c r="BI56" s="376"/>
    </row>
    <row r="57" spans="1:61">
      <c r="A57" s="693" t="s">
        <v>1133</v>
      </c>
      <c r="B57" s="688"/>
      <c r="C57" s="688"/>
      <c r="D57" s="26"/>
      <c r="E57" s="27"/>
      <c r="F57" s="197"/>
      <c r="G57" s="211"/>
      <c r="H57" s="34"/>
      <c r="I57" s="211"/>
      <c r="J57" s="89"/>
      <c r="K57" s="289"/>
      <c r="L57" s="274"/>
      <c r="M57" s="376"/>
      <c r="N57" s="376"/>
      <c r="O57" s="376"/>
      <c r="P57" s="376"/>
      <c r="Q57" s="89"/>
      <c r="R57" s="376"/>
      <c r="S57" s="376"/>
      <c r="T57" s="376"/>
      <c r="U57" s="376"/>
      <c r="V57" s="376"/>
      <c r="W57" s="376"/>
      <c r="X57" s="376"/>
      <c r="Y57" s="376"/>
      <c r="Z57" s="376"/>
      <c r="AA57" s="376"/>
      <c r="AB57" s="376"/>
      <c r="AC57" s="376"/>
      <c r="AD57" s="376"/>
      <c r="AE57" s="376"/>
      <c r="AF57" s="376"/>
      <c r="AG57" s="376"/>
      <c r="AH57" s="376"/>
      <c r="AI57" s="376"/>
      <c r="AJ57" s="376"/>
      <c r="AK57" s="376"/>
      <c r="AL57" s="700"/>
      <c r="AM57" s="700"/>
      <c r="AN57" s="700"/>
      <c r="AO57" s="700"/>
      <c r="AP57" s="376"/>
      <c r="AQ57" s="700"/>
      <c r="AR57" s="700"/>
      <c r="AS57" s="700"/>
      <c r="AT57" s="700"/>
      <c r="AU57" s="376"/>
      <c r="AV57" s="376"/>
      <c r="AW57" s="376"/>
      <c r="AX57" s="376"/>
      <c r="AY57" s="376"/>
      <c r="AZ57" s="376"/>
      <c r="BA57" s="376"/>
      <c r="BB57" s="376"/>
      <c r="BC57" s="376"/>
      <c r="BD57" s="376"/>
      <c r="BE57" s="376"/>
      <c r="BF57" s="376"/>
      <c r="BG57" s="376"/>
      <c r="BH57" s="376"/>
      <c r="BI57" s="376"/>
    </row>
    <row r="58" spans="1:61">
      <c r="A58" s="686" t="s">
        <v>1139</v>
      </c>
      <c r="B58" s="688" t="s">
        <v>1140</v>
      </c>
      <c r="C58" s="688"/>
      <c r="D58" s="688"/>
      <c r="E58" s="689"/>
      <c r="F58" s="620"/>
      <c r="G58" s="195">
        <f>SHF!G58</f>
        <v>7.3173856373850432</v>
      </c>
      <c r="H58" s="690"/>
      <c r="I58" s="195">
        <f>SHF!I58</f>
        <v>8.4456204005780648</v>
      </c>
      <c r="J58" s="269"/>
      <c r="K58" s="289"/>
      <c r="L58" s="274"/>
      <c r="M58" s="376"/>
      <c r="N58" s="376"/>
      <c r="O58" s="376"/>
      <c r="P58" s="376"/>
      <c r="Q58" s="89"/>
      <c r="R58" s="376"/>
      <c r="S58" s="376"/>
      <c r="T58" s="376"/>
      <c r="U58" s="376"/>
      <c r="V58" s="376"/>
      <c r="W58" s="376"/>
      <c r="X58" s="376"/>
      <c r="Y58" s="376"/>
      <c r="Z58" s="376"/>
      <c r="AA58" s="376"/>
      <c r="AB58" s="376"/>
      <c r="AC58" s="376"/>
      <c r="AD58" s="376"/>
      <c r="AE58" s="376"/>
      <c r="AF58" s="376"/>
      <c r="AG58" s="376"/>
      <c r="AH58" s="376"/>
      <c r="AI58" s="376"/>
      <c r="AJ58" s="376"/>
      <c r="AK58" s="376"/>
      <c r="AL58" s="700">
        <v>0</v>
      </c>
      <c r="AM58" s="700">
        <v>0</v>
      </c>
      <c r="AN58" s="700">
        <v>0</v>
      </c>
      <c r="AO58" s="700">
        <v>0</v>
      </c>
      <c r="AP58" s="376"/>
      <c r="AQ58" s="700">
        <v>0.5</v>
      </c>
      <c r="AR58" s="699">
        <f>0.3*0.5</f>
        <v>0.15</v>
      </c>
      <c r="AS58" s="700">
        <v>0.5</v>
      </c>
      <c r="AT58" s="699">
        <f>0.3*0.5</f>
        <v>0.15</v>
      </c>
      <c r="AU58" s="376"/>
      <c r="AV58" s="376">
        <v>1</v>
      </c>
      <c r="AW58" s="268">
        <f>0.3*1</f>
        <v>0.3</v>
      </c>
      <c r="AX58" s="376">
        <v>1</v>
      </c>
      <c r="AY58" s="268">
        <f>0.3*1</f>
        <v>0.3</v>
      </c>
      <c r="AZ58" s="376"/>
      <c r="BA58" s="376">
        <v>1</v>
      </c>
      <c r="BB58" s="268">
        <f>0.3*1</f>
        <v>0.3</v>
      </c>
      <c r="BC58" s="376">
        <v>1</v>
      </c>
      <c r="BD58" s="268">
        <f>0.3*1</f>
        <v>0.3</v>
      </c>
      <c r="BE58" s="376"/>
      <c r="BF58" s="376">
        <v>1</v>
      </c>
      <c r="BG58" s="268">
        <f>0.3*1</f>
        <v>0.3</v>
      </c>
      <c r="BH58" s="376">
        <v>1</v>
      </c>
      <c r="BI58" s="268">
        <f>0.3*1</f>
        <v>0.3</v>
      </c>
    </row>
    <row r="59" spans="1:61">
      <c r="A59" s="113"/>
      <c r="B59" s="651"/>
      <c r="C59" s="651"/>
      <c r="D59" s="651"/>
      <c r="E59" s="652"/>
      <c r="F59" s="212"/>
      <c r="G59" s="653"/>
      <c r="H59" s="599"/>
      <c r="I59" s="212"/>
      <c r="J59" s="599"/>
      <c r="K59" s="654"/>
      <c r="L59" s="277"/>
      <c r="M59" s="655"/>
      <c r="N59" s="655"/>
      <c r="O59" s="655"/>
      <c r="P59" s="655"/>
      <c r="Q59" s="599"/>
      <c r="R59" s="376"/>
      <c r="S59" s="376"/>
      <c r="T59" s="376"/>
      <c r="U59" s="376"/>
      <c r="V59" s="376"/>
      <c r="W59" s="376"/>
      <c r="X59" s="376"/>
      <c r="Y59" s="376"/>
      <c r="Z59" s="376"/>
      <c r="AA59" s="376"/>
      <c r="AB59" s="376"/>
      <c r="AC59" s="376"/>
      <c r="AD59" s="376"/>
      <c r="AE59" s="376"/>
      <c r="AF59" s="376"/>
      <c r="AG59" s="376"/>
      <c r="AH59" s="376"/>
      <c r="AI59" s="376"/>
      <c r="AJ59" s="376"/>
      <c r="AK59" s="376"/>
      <c r="AL59" s="700"/>
      <c r="AM59" s="700"/>
      <c r="AN59" s="700"/>
      <c r="AO59" s="700"/>
      <c r="AP59" s="376"/>
      <c r="AQ59" s="700"/>
      <c r="AR59" s="700"/>
      <c r="AS59" s="700"/>
      <c r="AT59" s="700"/>
      <c r="AU59" s="376"/>
      <c r="AV59" s="376"/>
      <c r="AW59" s="376"/>
      <c r="AX59" s="376"/>
      <c r="AY59" s="376"/>
      <c r="AZ59" s="376"/>
      <c r="BA59" s="376"/>
      <c r="BB59" s="376"/>
      <c r="BC59" s="376"/>
      <c r="BD59" s="376"/>
      <c r="BE59" s="376"/>
      <c r="BF59" s="376"/>
      <c r="BG59" s="376"/>
      <c r="BH59" s="376"/>
      <c r="BI59" s="376"/>
    </row>
    <row r="60" spans="1:61">
      <c r="A60" s="278" t="s">
        <v>1135</v>
      </c>
      <c r="B60" s="262"/>
      <c r="C60" s="262"/>
      <c r="D60" s="262"/>
      <c r="E60" s="263"/>
      <c r="F60" s="279"/>
      <c r="G60" s="280"/>
      <c r="H60" s="264"/>
      <c r="I60" s="279"/>
      <c r="J60" s="264"/>
      <c r="K60" s="289"/>
      <c r="L60" s="274"/>
      <c r="M60" s="708">
        <f>MAX(MAX(M61:M73),ABS(MIN(M61:M73)))</f>
        <v>0</v>
      </c>
      <c r="N60" s="708">
        <f>MAX(MAX(N61:N73),ABS(MIN(N61:N73)))</f>
        <v>0</v>
      </c>
      <c r="O60" s="708">
        <f>MAX(MAX(O61:O73),ABS(MIN(O61:O73)))</f>
        <v>0</v>
      </c>
      <c r="P60" s="708">
        <f>MAX(MAX(P61:P73),ABS(MIN(P61:P73)))</f>
        <v>0</v>
      </c>
      <c r="Q60" s="89"/>
      <c r="R60" s="708">
        <f>MAX(MAX(R61:R73),ABS(MIN(R61:R73)))</f>
        <v>0.22499999999999998</v>
      </c>
      <c r="S60" s="708">
        <f>MAX(MAX(S61:S73),ABS(MIN(S61:S73)))</f>
        <v>0.75</v>
      </c>
      <c r="T60" s="708">
        <f>MAX(MAX(T61:T73),ABS(MIN(T61:T73)))</f>
        <v>0.22499999999999998</v>
      </c>
      <c r="U60" s="708">
        <f>MAX(MAX(U61:U73),ABS(MIN(U61:U73)))</f>
        <v>0.75</v>
      </c>
      <c r="V60" s="993"/>
      <c r="W60" s="708">
        <f>MAX(MAX(W61:W73),ABS(MIN(W61:W73)))</f>
        <v>0.44999999999999996</v>
      </c>
      <c r="X60" s="708">
        <f>MAX(MAX(X61:X73),ABS(MIN(X61:X73)))</f>
        <v>1.5</v>
      </c>
      <c r="Y60" s="708">
        <f>MAX(MAX(Y61:Y73),ABS(MIN(Y61:Y73)))</f>
        <v>0.44999999999999996</v>
      </c>
      <c r="Z60" s="708">
        <f>MAX(MAX(Z61:Z73),ABS(MIN(Z61:Z73)))</f>
        <v>1.5</v>
      </c>
      <c r="AA60" s="387"/>
      <c r="AB60" s="708">
        <f>MAX(MAX(AB61:AB73),ABS(MIN(AB61:AB73)))</f>
        <v>0.44999999999999996</v>
      </c>
      <c r="AC60" s="708">
        <f>MAX(MAX(AC61:AC73),ABS(MIN(AC61:AC73)))</f>
        <v>1.5</v>
      </c>
      <c r="AD60" s="708">
        <f>MAX(MAX(AD61:AD73),ABS(MIN(AD61:AD73)))</f>
        <v>0.44999999999999996</v>
      </c>
      <c r="AE60" s="708">
        <f>MAX(MAX(AE61:AE73),ABS(MIN(AE61:AE73)))</f>
        <v>1.5</v>
      </c>
      <c r="AF60" s="387"/>
      <c r="AG60" s="708">
        <f>MAX(MAX(AG61:AG73),ABS(MIN(AG61:AG73)))</f>
        <v>0.44999999999999996</v>
      </c>
      <c r="AH60" s="708">
        <f>MAX(MAX(AH61:AH73),ABS(MIN(AH61:AH73)))</f>
        <v>1.5</v>
      </c>
      <c r="AI60" s="708">
        <f>MAX(MAX(AI61:AI73),ABS(MIN(AI61:AI73)))</f>
        <v>0.44999999999999996</v>
      </c>
      <c r="AJ60" s="708">
        <f>MAX(MAX(AJ61:AJ73),ABS(MIN(AJ61:AJ73)))</f>
        <v>1.5</v>
      </c>
      <c r="AK60" s="387"/>
      <c r="AL60" s="708">
        <f>MAX(MAX(AL61:AL73),ABS(MIN(AL61:AL73)))</f>
        <v>0</v>
      </c>
      <c r="AM60" s="708">
        <f>MAX(MAX(AM61:AM73),ABS(MIN(AM61:AM73)))</f>
        <v>0</v>
      </c>
      <c r="AN60" s="708">
        <f>MAX(MAX(AN61:AN73),ABS(MIN(AN61:AN73)))</f>
        <v>0</v>
      </c>
      <c r="AO60" s="708">
        <f>MAX(MAX(AO61:AO73),ABS(MIN(AO61:AO73)))</f>
        <v>0</v>
      </c>
      <c r="AP60" s="994"/>
      <c r="AQ60" s="708">
        <f>MAX(MAX(AQ61:AQ73),ABS(MIN(AQ61:AQ73)))</f>
        <v>0.22499999999999998</v>
      </c>
      <c r="AR60" s="708">
        <f>MAX(MAX(AR61:AR73),ABS(MIN(AR61:AR73)))</f>
        <v>0.75</v>
      </c>
      <c r="AS60" s="708">
        <f>MAX(MAX(AS61:AS73),ABS(MIN(AS61:AS73)))</f>
        <v>0.22499999999999998</v>
      </c>
      <c r="AT60" s="708">
        <f>MAX(MAX(AT61:AT73),ABS(MIN(AT61:AT73)))</f>
        <v>0.75</v>
      </c>
      <c r="AU60" s="994"/>
      <c r="AV60" s="708">
        <f>MAX(MAX(AV61:AV73),ABS(MIN(AV61:AV73)))</f>
        <v>0.44999999999999996</v>
      </c>
      <c r="AW60" s="708">
        <f>MAX(MAX(AW61:AW73),ABS(MIN(AW61:AW73)))</f>
        <v>1.5</v>
      </c>
      <c r="AX60" s="708">
        <f>MAX(MAX(AX61:AX73),ABS(MIN(AX61:AX73)))</f>
        <v>0.44999999999999996</v>
      </c>
      <c r="AY60" s="708">
        <f>MAX(MAX(AY61:AY73),ABS(MIN(AY61:AY73)))</f>
        <v>1.5</v>
      </c>
      <c r="AZ60" s="994"/>
      <c r="BA60" s="708">
        <f>MAX(MAX(BA61:BA73),ABS(MIN(BA61:BA73)))</f>
        <v>0.44999999999999996</v>
      </c>
      <c r="BB60" s="708">
        <f>MAX(MAX(BB61:BB73),ABS(MIN(BB61:BB73)))</f>
        <v>1.5</v>
      </c>
      <c r="BC60" s="708">
        <f>MAX(MAX(BC61:BC73),ABS(MIN(BC61:BC73)))</f>
        <v>0.44999999999999996</v>
      </c>
      <c r="BD60" s="708">
        <f>MAX(MAX(BD61:BD73),ABS(MIN(BD61:BD73)))</f>
        <v>1.5</v>
      </c>
      <c r="BE60" s="994"/>
      <c r="BF60" s="708">
        <f>MAX(MAX(BF61:BF73),ABS(MIN(BF61:BF73)))</f>
        <v>0.44999999999999996</v>
      </c>
      <c r="BG60" s="708">
        <f>MAX(MAX(BG61:BG73),ABS(MIN(BG61:BG73)))</f>
        <v>1.5</v>
      </c>
      <c r="BH60" s="708">
        <f>MAX(MAX(BH61:BH73),ABS(MIN(BH61:BH73)))</f>
        <v>0.44999999999999996</v>
      </c>
      <c r="BI60" s="708">
        <f>MAX(MAX(BI61:BI73),ABS(MIN(BI61:BI73)))</f>
        <v>1.5</v>
      </c>
    </row>
    <row r="61" spans="1:61">
      <c r="A61" s="25" t="s">
        <v>992</v>
      </c>
      <c r="B61" s="26"/>
      <c r="C61" s="26"/>
      <c r="D61" s="26"/>
      <c r="E61" s="27"/>
      <c r="F61" s="197"/>
      <c r="G61" s="211"/>
      <c r="H61" s="34"/>
      <c r="I61" s="197"/>
      <c r="J61" s="89"/>
      <c r="K61" s="289"/>
      <c r="L61" s="274"/>
      <c r="M61" s="268"/>
      <c r="N61" s="268"/>
      <c r="O61" s="268"/>
      <c r="P61" s="268"/>
      <c r="Q61" s="89"/>
      <c r="R61" s="268"/>
      <c r="S61" s="268"/>
      <c r="T61" s="268"/>
      <c r="U61" s="268"/>
      <c r="V61" s="268"/>
      <c r="W61" s="268"/>
      <c r="X61" s="268"/>
      <c r="Y61" s="268"/>
      <c r="Z61" s="268"/>
      <c r="AA61" s="268"/>
      <c r="AB61" s="268"/>
      <c r="AC61" s="268"/>
      <c r="AD61" s="268"/>
      <c r="AE61" s="268"/>
      <c r="AF61" s="268"/>
      <c r="AG61" s="268"/>
      <c r="AH61" s="268"/>
      <c r="AI61" s="268"/>
      <c r="AJ61" s="268"/>
      <c r="AK61" s="268"/>
      <c r="AL61" s="699"/>
      <c r="AM61" s="699"/>
      <c r="AN61" s="699"/>
      <c r="AO61" s="699"/>
      <c r="AP61" s="376"/>
      <c r="AQ61" s="699"/>
      <c r="AR61" s="699"/>
      <c r="AS61" s="699"/>
      <c r="AT61" s="699"/>
      <c r="AU61" s="376"/>
      <c r="AV61" s="268"/>
      <c r="AW61" s="268"/>
      <c r="AX61" s="268"/>
      <c r="AY61" s="268"/>
      <c r="AZ61" s="376"/>
      <c r="BA61" s="268"/>
      <c r="BB61" s="268"/>
      <c r="BC61" s="268"/>
      <c r="BD61" s="268"/>
      <c r="BE61" s="376"/>
      <c r="BF61" s="268"/>
      <c r="BG61" s="268"/>
      <c r="BH61" s="268"/>
      <c r="BI61" s="268"/>
    </row>
    <row r="62" spans="1:61">
      <c r="A62" s="25" t="s">
        <v>997</v>
      </c>
      <c r="B62" s="26" t="s">
        <v>988</v>
      </c>
      <c r="C62" s="26"/>
      <c r="D62" s="26"/>
      <c r="E62" s="27"/>
      <c r="F62" s="197"/>
      <c r="G62" s="211"/>
      <c r="H62" s="195">
        <f>SHF!H62</f>
        <v>35.119199999999992</v>
      </c>
      <c r="I62" s="197"/>
      <c r="J62" s="195">
        <f>SHF!J62</f>
        <v>257.60072117968605</v>
      </c>
      <c r="K62" s="289"/>
      <c r="L62" s="274"/>
      <c r="M62" s="268">
        <v>0</v>
      </c>
      <c r="N62" s="268">
        <v>0</v>
      </c>
      <c r="O62" s="268">
        <v>0</v>
      </c>
      <c r="P62" s="268">
        <v>0</v>
      </c>
      <c r="Q62" s="89"/>
      <c r="R62" s="268">
        <v>0</v>
      </c>
      <c r="S62" s="268">
        <v>0</v>
      </c>
      <c r="T62" s="268">
        <v>0</v>
      </c>
      <c r="U62" s="268">
        <v>0</v>
      </c>
      <c r="V62" s="268"/>
      <c r="W62" s="268">
        <f>0.3*1.5</f>
        <v>0.44999999999999996</v>
      </c>
      <c r="X62" s="268">
        <v>1.5</v>
      </c>
      <c r="Y62" s="268">
        <f>0.3*1.5</f>
        <v>0.44999999999999996</v>
      </c>
      <c r="Z62" s="268">
        <v>1.5</v>
      </c>
      <c r="AA62" s="268"/>
      <c r="AB62" s="268">
        <f>0.3*1.5</f>
        <v>0.44999999999999996</v>
      </c>
      <c r="AC62" s="268">
        <v>1.5</v>
      </c>
      <c r="AD62" s="268">
        <f>0.3*1.5</f>
        <v>0.44999999999999996</v>
      </c>
      <c r="AE62" s="268">
        <v>1.5</v>
      </c>
      <c r="AF62" s="268"/>
      <c r="AG62" s="268">
        <f>0.3*1.5</f>
        <v>0.44999999999999996</v>
      </c>
      <c r="AH62" s="268">
        <v>1.5</v>
      </c>
      <c r="AI62" s="268">
        <f>0.3*1.5</f>
        <v>0.44999999999999996</v>
      </c>
      <c r="AJ62" s="268">
        <v>1.5</v>
      </c>
      <c r="AK62" s="268"/>
      <c r="AL62" s="699">
        <v>0</v>
      </c>
      <c r="AM62" s="699">
        <v>0</v>
      </c>
      <c r="AN62" s="699">
        <v>0</v>
      </c>
      <c r="AO62" s="699">
        <v>0</v>
      </c>
      <c r="AP62" s="376"/>
      <c r="AQ62" s="699">
        <v>0</v>
      </c>
      <c r="AR62" s="699">
        <v>0</v>
      </c>
      <c r="AS62" s="699">
        <v>0</v>
      </c>
      <c r="AT62" s="699">
        <v>0</v>
      </c>
      <c r="AU62" s="376"/>
      <c r="AV62" s="268">
        <f>0.3*1.5</f>
        <v>0.44999999999999996</v>
      </c>
      <c r="AW62" s="268">
        <v>1.5</v>
      </c>
      <c r="AX62" s="268">
        <f>0.3*1.5</f>
        <v>0.44999999999999996</v>
      </c>
      <c r="AY62" s="268">
        <v>1.5</v>
      </c>
      <c r="AZ62" s="376"/>
      <c r="BA62" s="268">
        <f>0.3*1.5</f>
        <v>0.44999999999999996</v>
      </c>
      <c r="BB62" s="268">
        <v>1.5</v>
      </c>
      <c r="BC62" s="268">
        <f>0.3*1.5</f>
        <v>0.44999999999999996</v>
      </c>
      <c r="BD62" s="268">
        <v>1.5</v>
      </c>
      <c r="BE62" s="376"/>
      <c r="BF62" s="268">
        <f>0.3*1.5</f>
        <v>0.44999999999999996</v>
      </c>
      <c r="BG62" s="268">
        <v>1.5</v>
      </c>
      <c r="BH62" s="268">
        <f>0.3*1.5</f>
        <v>0.44999999999999996</v>
      </c>
      <c r="BI62" s="268">
        <v>1.5</v>
      </c>
    </row>
    <row r="63" spans="1:61">
      <c r="A63" s="25" t="s">
        <v>998</v>
      </c>
      <c r="B63" s="26" t="s">
        <v>989</v>
      </c>
      <c r="C63" s="26"/>
      <c r="D63" s="26"/>
      <c r="E63" s="27"/>
      <c r="F63" s="197"/>
      <c r="G63" s="211"/>
      <c r="H63" s="195">
        <f>SHF!H63</f>
        <v>35.119199999999992</v>
      </c>
      <c r="I63" s="197"/>
      <c r="J63" s="195">
        <f>SHF!J63</f>
        <v>257.60072117968605</v>
      </c>
      <c r="K63" s="289"/>
      <c r="L63" s="274"/>
      <c r="M63" s="376">
        <v>0</v>
      </c>
      <c r="N63" s="376">
        <v>0</v>
      </c>
      <c r="O63" s="376">
        <v>0</v>
      </c>
      <c r="P63" s="376">
        <v>0</v>
      </c>
      <c r="Q63" s="89"/>
      <c r="R63" s="376">
        <f>0.3*0.75</f>
        <v>0.22499999999999998</v>
      </c>
      <c r="S63" s="376">
        <f>0.75</f>
        <v>0.75</v>
      </c>
      <c r="T63" s="376">
        <f>0.3*0.75</f>
        <v>0.22499999999999998</v>
      </c>
      <c r="U63" s="376">
        <f>0.75</f>
        <v>0.75</v>
      </c>
      <c r="V63" s="376"/>
      <c r="W63" s="376">
        <f>0.3*1.5</f>
        <v>0.44999999999999996</v>
      </c>
      <c r="X63" s="376">
        <v>1.5</v>
      </c>
      <c r="Y63" s="376">
        <f>0.3*1.5</f>
        <v>0.44999999999999996</v>
      </c>
      <c r="Z63" s="376">
        <v>1.5</v>
      </c>
      <c r="AA63" s="376"/>
      <c r="AB63" s="376">
        <f>0.3*1.5</f>
        <v>0.44999999999999996</v>
      </c>
      <c r="AC63" s="376">
        <v>1.5</v>
      </c>
      <c r="AD63" s="376">
        <f>0.3*1.5</f>
        <v>0.44999999999999996</v>
      </c>
      <c r="AE63" s="376">
        <v>1.5</v>
      </c>
      <c r="AF63" s="376"/>
      <c r="AG63" s="376">
        <f>0.3*1.5</f>
        <v>0.44999999999999996</v>
      </c>
      <c r="AH63" s="376">
        <v>1.5</v>
      </c>
      <c r="AI63" s="376">
        <f>0.3*1.5</f>
        <v>0.44999999999999996</v>
      </c>
      <c r="AJ63" s="376">
        <v>1.5</v>
      </c>
      <c r="AK63" s="376"/>
      <c r="AL63" s="700">
        <v>0</v>
      </c>
      <c r="AM63" s="700">
        <v>0</v>
      </c>
      <c r="AN63" s="700">
        <v>0</v>
      </c>
      <c r="AO63" s="700">
        <v>0</v>
      </c>
      <c r="AP63" s="376"/>
      <c r="AQ63" s="700">
        <f>0.3*0.75</f>
        <v>0.22499999999999998</v>
      </c>
      <c r="AR63" s="700">
        <f>0.75</f>
        <v>0.75</v>
      </c>
      <c r="AS63" s="700">
        <f>0.3*0.75</f>
        <v>0.22499999999999998</v>
      </c>
      <c r="AT63" s="700">
        <f>0.75</f>
        <v>0.75</v>
      </c>
      <c r="AU63" s="376"/>
      <c r="AV63" s="376">
        <f>0.3*1.5</f>
        <v>0.44999999999999996</v>
      </c>
      <c r="AW63" s="376">
        <v>1.5</v>
      </c>
      <c r="AX63" s="376">
        <f>0.3*1.5</f>
        <v>0.44999999999999996</v>
      </c>
      <c r="AY63" s="376">
        <v>1.5</v>
      </c>
      <c r="AZ63" s="376"/>
      <c r="BA63" s="268">
        <f>0.3*1.5</f>
        <v>0.44999999999999996</v>
      </c>
      <c r="BB63" s="268">
        <v>1.5</v>
      </c>
      <c r="BC63" s="268">
        <f>0.3*1.5</f>
        <v>0.44999999999999996</v>
      </c>
      <c r="BD63" s="268">
        <v>1.5</v>
      </c>
      <c r="BE63" s="376"/>
      <c r="BF63" s="268">
        <f>0.3*1.5</f>
        <v>0.44999999999999996</v>
      </c>
      <c r="BG63" s="268">
        <v>1.5</v>
      </c>
      <c r="BH63" s="268">
        <f>0.3*1.5</f>
        <v>0.44999999999999996</v>
      </c>
      <c r="BI63" s="268">
        <v>1.5</v>
      </c>
    </row>
    <row r="64" spans="1:61">
      <c r="A64" s="69"/>
      <c r="B64" s="26"/>
      <c r="C64" s="26"/>
      <c r="D64" s="26"/>
      <c r="E64" s="27"/>
      <c r="F64" s="197"/>
      <c r="G64" s="211"/>
      <c r="H64" s="34"/>
      <c r="I64" s="197"/>
      <c r="J64" s="89"/>
      <c r="K64" s="289"/>
      <c r="L64" s="274"/>
      <c r="M64" s="376"/>
      <c r="N64" s="376"/>
      <c r="O64" s="376"/>
      <c r="P64" s="376"/>
      <c r="Q64" s="89"/>
      <c r="R64" s="376"/>
      <c r="S64" s="376"/>
      <c r="T64" s="376"/>
      <c r="U64" s="376"/>
      <c r="V64" s="376"/>
      <c r="W64" s="376"/>
      <c r="X64" s="376"/>
      <c r="Y64" s="376"/>
      <c r="Z64" s="376"/>
      <c r="AA64" s="376"/>
      <c r="AB64" s="376"/>
      <c r="AC64" s="376"/>
      <c r="AD64" s="376"/>
      <c r="AE64" s="376"/>
      <c r="AF64" s="376"/>
      <c r="AG64" s="376"/>
      <c r="AH64" s="376"/>
      <c r="AI64" s="376"/>
      <c r="AJ64" s="376"/>
      <c r="AK64" s="376"/>
      <c r="AL64" s="700"/>
      <c r="AM64" s="700"/>
      <c r="AN64" s="700"/>
      <c r="AO64" s="700"/>
      <c r="AP64" s="376"/>
      <c r="AQ64" s="700"/>
      <c r="AR64" s="700"/>
      <c r="AS64" s="700"/>
      <c r="AT64" s="700"/>
      <c r="AU64" s="376"/>
      <c r="AV64" s="376"/>
      <c r="AW64" s="376"/>
      <c r="AX64" s="376"/>
      <c r="AY64" s="376"/>
      <c r="AZ64" s="376"/>
      <c r="BA64" s="376"/>
      <c r="BB64" s="376"/>
      <c r="BC64" s="376"/>
      <c r="BD64" s="376"/>
      <c r="BE64" s="376"/>
      <c r="BF64" s="376"/>
      <c r="BG64" s="376"/>
      <c r="BH64" s="376"/>
      <c r="BI64" s="376"/>
    </row>
    <row r="65" spans="1:61">
      <c r="A65" s="25" t="s">
        <v>999</v>
      </c>
      <c r="B65" s="26"/>
      <c r="C65" s="26"/>
      <c r="D65" s="26"/>
      <c r="E65" s="27"/>
      <c r="F65" s="197"/>
      <c r="G65" s="211"/>
      <c r="H65" s="34"/>
      <c r="I65" s="197"/>
      <c r="J65" s="89"/>
      <c r="K65" s="289"/>
      <c r="L65" s="274"/>
      <c r="M65" s="376"/>
      <c r="N65" s="376"/>
      <c r="O65" s="376"/>
      <c r="P65" s="376"/>
      <c r="Q65" s="89"/>
      <c r="R65" s="376"/>
      <c r="S65" s="376"/>
      <c r="T65" s="376"/>
      <c r="U65" s="376"/>
      <c r="V65" s="376"/>
      <c r="W65" s="376"/>
      <c r="X65" s="376"/>
      <c r="Y65" s="376"/>
      <c r="Z65" s="376"/>
      <c r="AA65" s="376"/>
      <c r="AB65" s="376"/>
      <c r="AC65" s="376"/>
      <c r="AD65" s="376"/>
      <c r="AE65" s="376"/>
      <c r="AF65" s="376"/>
      <c r="AG65" s="376"/>
      <c r="AH65" s="376"/>
      <c r="AI65" s="376"/>
      <c r="AJ65" s="376"/>
      <c r="AK65" s="376"/>
      <c r="AL65" s="700"/>
      <c r="AM65" s="700"/>
      <c r="AN65" s="700"/>
      <c r="AO65" s="700"/>
      <c r="AP65" s="376"/>
      <c r="AQ65" s="700"/>
      <c r="AR65" s="700"/>
      <c r="AS65" s="700"/>
      <c r="AT65" s="700"/>
      <c r="AU65" s="376"/>
      <c r="AV65" s="376"/>
      <c r="AW65" s="376"/>
      <c r="AX65" s="376"/>
      <c r="AY65" s="376"/>
      <c r="AZ65" s="376"/>
      <c r="BA65" s="376"/>
      <c r="BB65" s="376"/>
      <c r="BC65" s="376"/>
      <c r="BD65" s="376"/>
      <c r="BE65" s="376"/>
      <c r="BF65" s="376"/>
      <c r="BG65" s="376"/>
      <c r="BH65" s="376"/>
      <c r="BI65" s="376"/>
    </row>
    <row r="66" spans="1:61">
      <c r="A66" s="25" t="s">
        <v>1002</v>
      </c>
      <c r="B66" s="26"/>
      <c r="C66" s="26"/>
      <c r="D66" s="26"/>
      <c r="E66" s="27"/>
      <c r="F66" s="197"/>
      <c r="G66" s="211"/>
      <c r="H66" s="34"/>
      <c r="I66" s="197"/>
      <c r="J66" s="89"/>
      <c r="K66" s="289"/>
      <c r="L66" s="274"/>
      <c r="M66" s="376"/>
      <c r="N66" s="376"/>
      <c r="O66" s="376"/>
      <c r="P66" s="376"/>
      <c r="Q66" s="89"/>
      <c r="R66" s="376"/>
      <c r="S66" s="376"/>
      <c r="T66" s="376"/>
      <c r="U66" s="376"/>
      <c r="V66" s="376"/>
      <c r="W66" s="376"/>
      <c r="X66" s="376"/>
      <c r="Y66" s="376"/>
      <c r="Z66" s="376"/>
      <c r="AA66" s="376"/>
      <c r="AB66" s="376"/>
      <c r="AC66" s="376"/>
      <c r="AD66" s="376"/>
      <c r="AE66" s="376"/>
      <c r="AF66" s="376"/>
      <c r="AG66" s="376"/>
      <c r="AH66" s="376"/>
      <c r="AI66" s="376"/>
      <c r="AJ66" s="376"/>
      <c r="AK66" s="376"/>
      <c r="AL66" s="700"/>
      <c r="AM66" s="700"/>
      <c r="AN66" s="700"/>
      <c r="AO66" s="700"/>
      <c r="AP66" s="376"/>
      <c r="AQ66" s="700"/>
      <c r="AR66" s="700"/>
      <c r="AS66" s="700"/>
      <c r="AT66" s="700"/>
      <c r="AU66" s="376"/>
      <c r="AV66" s="376"/>
      <c r="AW66" s="376"/>
      <c r="AX66" s="376"/>
      <c r="AY66" s="376"/>
      <c r="AZ66" s="376"/>
      <c r="BA66" s="376"/>
      <c r="BB66" s="376"/>
      <c r="BC66" s="376"/>
      <c r="BD66" s="376"/>
      <c r="BE66" s="376"/>
      <c r="BF66" s="376"/>
      <c r="BG66" s="376"/>
      <c r="BH66" s="376"/>
      <c r="BI66" s="376"/>
    </row>
    <row r="67" spans="1:61">
      <c r="A67" s="25" t="s">
        <v>1004</v>
      </c>
      <c r="B67" s="26" t="s">
        <v>1000</v>
      </c>
      <c r="C67" s="26"/>
      <c r="D67" s="26"/>
      <c r="E67" s="27"/>
      <c r="F67" s="197"/>
      <c r="G67" s="211"/>
      <c r="H67" s="195">
        <f>SHF!H67</f>
        <v>7.8192479999999991</v>
      </c>
      <c r="I67" s="197"/>
      <c r="J67" s="195">
        <f>SHF!J67</f>
        <v>71.663407919999983</v>
      </c>
      <c r="K67" s="289"/>
      <c r="L67" s="274"/>
      <c r="M67" s="376">
        <v>0</v>
      </c>
      <c r="N67" s="376">
        <v>0</v>
      </c>
      <c r="O67" s="376">
        <v>0</v>
      </c>
      <c r="P67" s="376">
        <v>0</v>
      </c>
      <c r="Q67" s="89"/>
      <c r="R67" s="376">
        <v>0</v>
      </c>
      <c r="S67" s="376">
        <v>0</v>
      </c>
      <c r="T67" s="376">
        <v>0</v>
      </c>
      <c r="U67" s="376">
        <v>0</v>
      </c>
      <c r="V67" s="376"/>
      <c r="W67" s="376">
        <v>0</v>
      </c>
      <c r="X67" s="376">
        <v>0</v>
      </c>
      <c r="Y67" s="376">
        <v>0</v>
      </c>
      <c r="Z67" s="376">
        <v>0</v>
      </c>
      <c r="AA67" s="376"/>
      <c r="AB67" s="376">
        <f>0.3*0.2*1.5</f>
        <v>0.09</v>
      </c>
      <c r="AC67" s="376">
        <f>0.2*1.5</f>
        <v>0.30000000000000004</v>
      </c>
      <c r="AD67" s="376">
        <f>0.3*0.2*1.5</f>
        <v>0.09</v>
      </c>
      <c r="AE67" s="376">
        <f>0.2*1.5</f>
        <v>0.30000000000000004</v>
      </c>
      <c r="AF67" s="376"/>
      <c r="AG67" s="376">
        <v>0</v>
      </c>
      <c r="AH67" s="376">
        <v>0</v>
      </c>
      <c r="AI67" s="376">
        <v>0</v>
      </c>
      <c r="AJ67" s="376">
        <v>0</v>
      </c>
      <c r="AK67" s="376"/>
      <c r="AL67" s="700">
        <v>0</v>
      </c>
      <c r="AM67" s="700">
        <v>0</v>
      </c>
      <c r="AN67" s="700">
        <v>0</v>
      </c>
      <c r="AO67" s="700">
        <v>0</v>
      </c>
      <c r="AP67" s="376"/>
      <c r="AQ67" s="700">
        <v>0</v>
      </c>
      <c r="AR67" s="700">
        <v>0</v>
      </c>
      <c r="AS67" s="700">
        <v>0</v>
      </c>
      <c r="AT67" s="700">
        <v>0</v>
      </c>
      <c r="AU67" s="376"/>
      <c r="AV67" s="376">
        <v>0</v>
      </c>
      <c r="AW67" s="376">
        <v>0</v>
      </c>
      <c r="AX67" s="376">
        <v>0</v>
      </c>
      <c r="AY67" s="376">
        <v>0</v>
      </c>
      <c r="AZ67" s="376"/>
      <c r="BA67" s="376">
        <f>0.3*0.2*1.5</f>
        <v>0.09</v>
      </c>
      <c r="BB67" s="376">
        <f>0.2*1.5</f>
        <v>0.30000000000000004</v>
      </c>
      <c r="BC67" s="376">
        <f>0.3*0.2*1.5</f>
        <v>0.09</v>
      </c>
      <c r="BD67" s="376">
        <f>0.2*1.5</f>
        <v>0.30000000000000004</v>
      </c>
      <c r="BE67" s="376"/>
      <c r="BF67" s="376">
        <v>0</v>
      </c>
      <c r="BG67" s="376">
        <v>0</v>
      </c>
      <c r="BH67" s="376">
        <v>0</v>
      </c>
      <c r="BI67" s="376">
        <v>0</v>
      </c>
    </row>
    <row r="68" spans="1:61">
      <c r="A68" s="25" t="s">
        <v>1005</v>
      </c>
      <c r="B68" s="26" t="s">
        <v>1001</v>
      </c>
      <c r="C68" s="26"/>
      <c r="D68" s="26"/>
      <c r="E68" s="27"/>
      <c r="F68" s="197"/>
      <c r="G68" s="211"/>
      <c r="H68" s="195">
        <f>SHF!H68</f>
        <v>9.0222377142857191</v>
      </c>
      <c r="I68" s="197"/>
      <c r="J68" s="195">
        <f>SHF!J68</f>
        <v>82.688808651428602</v>
      </c>
      <c r="K68" s="289"/>
      <c r="L68" s="274"/>
      <c r="M68" s="376">
        <v>0</v>
      </c>
      <c r="N68" s="376">
        <v>0</v>
      </c>
      <c r="O68" s="376">
        <v>0</v>
      </c>
      <c r="P68" s="376">
        <v>0</v>
      </c>
      <c r="Q68" s="89"/>
      <c r="R68" s="376">
        <v>0</v>
      </c>
      <c r="S68" s="376">
        <v>0</v>
      </c>
      <c r="T68" s="376">
        <v>0</v>
      </c>
      <c r="U68" s="376">
        <v>0</v>
      </c>
      <c r="V68" s="376"/>
      <c r="W68" s="376">
        <v>0</v>
      </c>
      <c r="X68" s="376">
        <v>0</v>
      </c>
      <c r="Y68" s="376">
        <v>0</v>
      </c>
      <c r="Z68" s="376">
        <v>0</v>
      </c>
      <c r="AA68" s="376"/>
      <c r="AB68" s="376">
        <f>0.3*0.2*1.5</f>
        <v>0.09</v>
      </c>
      <c r="AC68" s="376">
        <f>0.2*1.5</f>
        <v>0.30000000000000004</v>
      </c>
      <c r="AD68" s="376">
        <f>0.3*0.2*1.5</f>
        <v>0.09</v>
      </c>
      <c r="AE68" s="376">
        <f>0.2*1.5</f>
        <v>0.30000000000000004</v>
      </c>
      <c r="AF68" s="376"/>
      <c r="AG68" s="376">
        <v>0</v>
      </c>
      <c r="AH68" s="376">
        <v>0</v>
      </c>
      <c r="AI68" s="376">
        <v>0</v>
      </c>
      <c r="AJ68" s="376">
        <v>0</v>
      </c>
      <c r="AK68" s="376"/>
      <c r="AL68" s="700">
        <v>0</v>
      </c>
      <c r="AM68" s="700">
        <v>0</v>
      </c>
      <c r="AN68" s="700">
        <v>0</v>
      </c>
      <c r="AO68" s="700">
        <v>0</v>
      </c>
      <c r="AP68" s="376"/>
      <c r="AQ68" s="700">
        <v>0</v>
      </c>
      <c r="AR68" s="700">
        <v>0</v>
      </c>
      <c r="AS68" s="700">
        <v>0</v>
      </c>
      <c r="AT68" s="700">
        <v>0</v>
      </c>
      <c r="AU68" s="376"/>
      <c r="AV68" s="376">
        <v>0</v>
      </c>
      <c r="AW68" s="376">
        <v>0</v>
      </c>
      <c r="AX68" s="376">
        <v>0</v>
      </c>
      <c r="AY68" s="376">
        <v>0</v>
      </c>
      <c r="AZ68" s="376"/>
      <c r="BA68" s="376">
        <f>0.3*0.2*1.5</f>
        <v>0.09</v>
      </c>
      <c r="BB68" s="376">
        <f>0.2*1.5</f>
        <v>0.30000000000000004</v>
      </c>
      <c r="BC68" s="376">
        <f>0.3*0.2*1.5</f>
        <v>0.09</v>
      </c>
      <c r="BD68" s="376">
        <f>0.2*1.5</f>
        <v>0.30000000000000004</v>
      </c>
      <c r="BE68" s="376"/>
      <c r="BF68" s="376">
        <v>0</v>
      </c>
      <c r="BG68" s="376">
        <v>0</v>
      </c>
      <c r="BH68" s="376">
        <v>0</v>
      </c>
      <c r="BI68" s="376">
        <v>0</v>
      </c>
    </row>
    <row r="69" spans="1:61">
      <c r="A69" s="25" t="s">
        <v>1003</v>
      </c>
      <c r="B69" s="26"/>
      <c r="C69" s="26"/>
      <c r="D69" s="26"/>
      <c r="E69" s="27"/>
      <c r="F69" s="197"/>
      <c r="G69" s="211"/>
      <c r="H69" s="34"/>
      <c r="I69" s="197"/>
      <c r="J69" s="89"/>
      <c r="K69" s="289"/>
      <c r="L69" s="274"/>
      <c r="M69" s="376"/>
      <c r="N69" s="376"/>
      <c r="O69" s="376"/>
      <c r="P69" s="376"/>
      <c r="Q69" s="89"/>
      <c r="R69" s="376"/>
      <c r="S69" s="376"/>
      <c r="T69" s="376"/>
      <c r="U69" s="376"/>
      <c r="V69" s="376"/>
      <c r="W69" s="376"/>
      <c r="X69" s="376"/>
      <c r="Y69" s="376"/>
      <c r="Z69" s="376"/>
      <c r="AA69" s="376"/>
      <c r="AB69" s="376"/>
      <c r="AC69" s="376"/>
      <c r="AD69" s="376"/>
      <c r="AE69" s="376"/>
      <c r="AF69" s="376"/>
      <c r="AG69" s="376"/>
      <c r="AH69" s="376"/>
      <c r="AI69" s="376"/>
      <c r="AJ69" s="376"/>
      <c r="AK69" s="376"/>
      <c r="AL69" s="700"/>
      <c r="AM69" s="700"/>
      <c r="AN69" s="700"/>
      <c r="AO69" s="700"/>
      <c r="AP69" s="376"/>
      <c r="AQ69" s="700"/>
      <c r="AR69" s="700"/>
      <c r="AS69" s="700"/>
      <c r="AT69" s="700"/>
      <c r="AU69" s="376"/>
      <c r="AV69" s="376"/>
      <c r="AW69" s="376"/>
      <c r="AX69" s="376"/>
      <c r="AY69" s="376"/>
      <c r="AZ69" s="376"/>
      <c r="BA69" s="376"/>
      <c r="BB69" s="376"/>
      <c r="BC69" s="376"/>
      <c r="BD69" s="376"/>
      <c r="BE69" s="376"/>
      <c r="BF69" s="376"/>
      <c r="BG69" s="376"/>
      <c r="BH69" s="376"/>
      <c r="BI69" s="376"/>
    </row>
    <row r="70" spans="1:61">
      <c r="A70" s="25" t="s">
        <v>1004</v>
      </c>
      <c r="B70" s="26" t="s">
        <v>1000</v>
      </c>
      <c r="C70" s="26"/>
      <c r="D70" s="26"/>
      <c r="E70" s="27"/>
      <c r="F70" s="197"/>
      <c r="G70" s="211"/>
      <c r="H70" s="195">
        <f>SHF!H70</f>
        <v>0</v>
      </c>
      <c r="I70" s="197"/>
      <c r="J70" s="195">
        <f>SHF!J70</f>
        <v>0</v>
      </c>
      <c r="K70" s="289"/>
      <c r="L70" s="274"/>
      <c r="M70" s="376">
        <v>0</v>
      </c>
      <c r="N70" s="376">
        <v>0</v>
      </c>
      <c r="O70" s="376">
        <v>0</v>
      </c>
      <c r="P70" s="376">
        <v>0</v>
      </c>
      <c r="Q70" s="89"/>
      <c r="R70" s="376">
        <v>0</v>
      </c>
      <c r="S70" s="376">
        <v>0</v>
      </c>
      <c r="T70" s="376">
        <v>0</v>
      </c>
      <c r="U70" s="376">
        <v>0</v>
      </c>
      <c r="V70" s="376"/>
      <c r="W70" s="376">
        <v>0</v>
      </c>
      <c r="X70" s="376">
        <v>0</v>
      </c>
      <c r="Y70" s="376">
        <v>0</v>
      </c>
      <c r="Z70" s="376">
        <v>0</v>
      </c>
      <c r="AA70" s="376"/>
      <c r="AB70" s="376">
        <v>0</v>
      </c>
      <c r="AC70" s="376">
        <v>0</v>
      </c>
      <c r="AD70" s="376">
        <v>0</v>
      </c>
      <c r="AE70" s="376">
        <v>0</v>
      </c>
      <c r="AF70" s="376"/>
      <c r="AG70" s="376">
        <f>0.3*0.2*1.5</f>
        <v>0.09</v>
      </c>
      <c r="AH70" s="376">
        <f>0.2*1.5</f>
        <v>0.30000000000000004</v>
      </c>
      <c r="AI70" s="376">
        <f>0.3*0.2*1.5</f>
        <v>0.09</v>
      </c>
      <c r="AJ70" s="376">
        <f>0.2*1.5</f>
        <v>0.30000000000000004</v>
      </c>
      <c r="AK70" s="376"/>
      <c r="AL70" s="700">
        <v>0</v>
      </c>
      <c r="AM70" s="700">
        <v>0</v>
      </c>
      <c r="AN70" s="700">
        <v>0</v>
      </c>
      <c r="AO70" s="700">
        <v>0</v>
      </c>
      <c r="AP70" s="376"/>
      <c r="AQ70" s="700">
        <v>0</v>
      </c>
      <c r="AR70" s="700">
        <v>0</v>
      </c>
      <c r="AS70" s="700">
        <v>0</v>
      </c>
      <c r="AT70" s="700">
        <v>0</v>
      </c>
      <c r="AU70" s="376"/>
      <c r="AV70" s="376">
        <v>0</v>
      </c>
      <c r="AW70" s="376">
        <v>0</v>
      </c>
      <c r="AX70" s="376">
        <v>0</v>
      </c>
      <c r="AY70" s="376">
        <v>0</v>
      </c>
      <c r="AZ70" s="376"/>
      <c r="BA70" s="376">
        <v>0</v>
      </c>
      <c r="BB70" s="376">
        <v>0</v>
      </c>
      <c r="BC70" s="376">
        <v>0</v>
      </c>
      <c r="BD70" s="376">
        <v>0</v>
      </c>
      <c r="BE70" s="376"/>
      <c r="BF70" s="376">
        <f>0.3*0.2*1.5</f>
        <v>0.09</v>
      </c>
      <c r="BG70" s="376">
        <f>0.2*1.5</f>
        <v>0.30000000000000004</v>
      </c>
      <c r="BH70" s="376">
        <f>0.3*0.2*1.5</f>
        <v>0.09</v>
      </c>
      <c r="BI70" s="376">
        <f>0.2*1.5</f>
        <v>0.30000000000000004</v>
      </c>
    </row>
    <row r="71" spans="1:61">
      <c r="A71" s="25" t="s">
        <v>1005</v>
      </c>
      <c r="B71" s="26" t="s">
        <v>1001</v>
      </c>
      <c r="C71" s="26"/>
      <c r="D71" s="26"/>
      <c r="E71" s="27"/>
      <c r="F71" s="197"/>
      <c r="G71" s="211"/>
      <c r="H71" s="195">
        <f>SHF!H71</f>
        <v>15.347938285714291</v>
      </c>
      <c r="I71" s="197"/>
      <c r="J71" s="195">
        <f>SHF!J71</f>
        <v>140.66385438857145</v>
      </c>
      <c r="K71" s="289"/>
      <c r="L71" s="274"/>
      <c r="M71" s="376">
        <v>0</v>
      </c>
      <c r="N71" s="376">
        <v>0</v>
      </c>
      <c r="O71" s="376">
        <v>0</v>
      </c>
      <c r="P71" s="376">
        <v>0</v>
      </c>
      <c r="Q71" s="89"/>
      <c r="R71" s="376">
        <v>0</v>
      </c>
      <c r="S71" s="376">
        <v>0</v>
      </c>
      <c r="T71" s="376">
        <v>0</v>
      </c>
      <c r="U71" s="376">
        <v>0</v>
      </c>
      <c r="V71" s="376"/>
      <c r="W71" s="376">
        <v>0</v>
      </c>
      <c r="X71" s="376">
        <v>0</v>
      </c>
      <c r="Y71" s="376">
        <v>0</v>
      </c>
      <c r="Z71" s="376">
        <v>0</v>
      </c>
      <c r="AA71" s="376"/>
      <c r="AB71" s="376">
        <v>0</v>
      </c>
      <c r="AC71" s="376">
        <v>0</v>
      </c>
      <c r="AD71" s="376">
        <v>0</v>
      </c>
      <c r="AE71" s="376">
        <v>0</v>
      </c>
      <c r="AF71" s="376"/>
      <c r="AG71" s="376">
        <f>0.3*0.2*1.5</f>
        <v>0.09</v>
      </c>
      <c r="AH71" s="376">
        <f>0.2*1.5</f>
        <v>0.30000000000000004</v>
      </c>
      <c r="AI71" s="376">
        <f>0.3*0.2*1.5</f>
        <v>0.09</v>
      </c>
      <c r="AJ71" s="376">
        <f>0.2*1.5</f>
        <v>0.30000000000000004</v>
      </c>
      <c r="AK71" s="376"/>
      <c r="AL71" s="700">
        <v>0</v>
      </c>
      <c r="AM71" s="700">
        <v>0</v>
      </c>
      <c r="AN71" s="700">
        <v>0</v>
      </c>
      <c r="AO71" s="700">
        <v>0</v>
      </c>
      <c r="AP71" s="376"/>
      <c r="AQ71" s="700">
        <v>0</v>
      </c>
      <c r="AR71" s="700">
        <v>0</v>
      </c>
      <c r="AS71" s="700">
        <v>0</v>
      </c>
      <c r="AT71" s="700">
        <v>0</v>
      </c>
      <c r="AU71" s="376"/>
      <c r="AV71" s="376">
        <v>0</v>
      </c>
      <c r="AW71" s="376">
        <v>0</v>
      </c>
      <c r="AX71" s="376">
        <v>0</v>
      </c>
      <c r="AY71" s="376">
        <v>0</v>
      </c>
      <c r="AZ71" s="376"/>
      <c r="BA71" s="376">
        <v>0</v>
      </c>
      <c r="BB71" s="376">
        <v>0</v>
      </c>
      <c r="BC71" s="376">
        <v>0</v>
      </c>
      <c r="BD71" s="376">
        <v>0</v>
      </c>
      <c r="BE71" s="376"/>
      <c r="BF71" s="376">
        <f>0.3*0.2*1.5</f>
        <v>0.09</v>
      </c>
      <c r="BG71" s="376">
        <f>0.2*1.5</f>
        <v>0.30000000000000004</v>
      </c>
      <c r="BH71" s="376">
        <f>0.3*0.2*1.5</f>
        <v>0.09</v>
      </c>
      <c r="BI71" s="376">
        <f>0.2*1.5</f>
        <v>0.30000000000000004</v>
      </c>
    </row>
    <row r="72" spans="1:61">
      <c r="A72" s="69"/>
      <c r="B72" s="26"/>
      <c r="C72" s="26"/>
      <c r="D72" s="26"/>
      <c r="E72" s="27"/>
      <c r="F72" s="197"/>
      <c r="G72" s="211"/>
      <c r="H72" s="34"/>
      <c r="I72" s="197"/>
      <c r="J72" s="89"/>
      <c r="K72" s="289"/>
      <c r="L72" s="274"/>
      <c r="M72" s="376"/>
      <c r="N72" s="376"/>
      <c r="O72" s="376"/>
      <c r="P72" s="376"/>
      <c r="Q72" s="89"/>
      <c r="R72" s="376"/>
      <c r="S72" s="376"/>
      <c r="T72" s="376"/>
      <c r="U72" s="376"/>
      <c r="V72" s="376"/>
      <c r="W72" s="376"/>
      <c r="X72" s="376"/>
      <c r="Y72" s="376"/>
      <c r="Z72" s="376"/>
      <c r="AA72" s="376"/>
      <c r="AB72" s="376"/>
      <c r="AC72" s="376"/>
      <c r="AD72" s="376"/>
      <c r="AE72" s="376"/>
      <c r="AF72" s="376"/>
      <c r="AG72" s="376"/>
      <c r="AH72" s="376"/>
      <c r="AI72" s="376"/>
      <c r="AJ72" s="376"/>
      <c r="AK72" s="376"/>
      <c r="AL72" s="700"/>
      <c r="AM72" s="700"/>
      <c r="AN72" s="700"/>
      <c r="AO72" s="700"/>
      <c r="AP72" s="376"/>
      <c r="AQ72" s="700"/>
      <c r="AR72" s="700"/>
      <c r="AS72" s="700"/>
      <c r="AT72" s="704"/>
      <c r="AU72" s="376"/>
      <c r="AV72" s="376"/>
      <c r="AW72" s="376"/>
      <c r="AX72" s="376"/>
      <c r="AY72" s="376"/>
      <c r="AZ72" s="376"/>
      <c r="BA72" s="376"/>
      <c r="BB72" s="376"/>
      <c r="BC72" s="376"/>
      <c r="BD72" s="376"/>
      <c r="BE72" s="376"/>
      <c r="BF72" s="376"/>
      <c r="BG72" s="376"/>
      <c r="BH72" s="376"/>
      <c r="BI72" s="376"/>
    </row>
    <row r="73" spans="1:61">
      <c r="A73" s="25" t="s">
        <v>1006</v>
      </c>
      <c r="B73" s="26" t="s">
        <v>211</v>
      </c>
      <c r="C73" s="26"/>
      <c r="D73" s="26"/>
      <c r="E73" s="27"/>
      <c r="F73" s="197"/>
      <c r="G73" s="211"/>
      <c r="H73" s="195">
        <f>SHF!H73</f>
        <v>19.850764639779044</v>
      </c>
      <c r="I73" s="197"/>
      <c r="J73" s="195">
        <f>SHF!J73</f>
        <v>73.367744311147007</v>
      </c>
      <c r="K73" s="289"/>
      <c r="L73" s="274"/>
      <c r="M73" s="376">
        <v>0</v>
      </c>
      <c r="N73" s="376">
        <v>0</v>
      </c>
      <c r="O73" s="376">
        <v>0</v>
      </c>
      <c r="P73" s="376">
        <v>0</v>
      </c>
      <c r="Q73" s="89"/>
      <c r="R73" s="376">
        <f>0.3*0.75</f>
        <v>0.22499999999999998</v>
      </c>
      <c r="S73" s="376">
        <f>0.75</f>
        <v>0.75</v>
      </c>
      <c r="T73" s="376">
        <f>0.3*0.75</f>
        <v>0.22499999999999998</v>
      </c>
      <c r="U73" s="376">
        <f>0.75</f>
        <v>0.75</v>
      </c>
      <c r="V73" s="376"/>
      <c r="W73" s="376">
        <f>0.3*1.5</f>
        <v>0.44999999999999996</v>
      </c>
      <c r="X73" s="376">
        <v>1.5</v>
      </c>
      <c r="Y73" s="376">
        <f>0.3*1.5</f>
        <v>0.44999999999999996</v>
      </c>
      <c r="Z73" s="376">
        <v>1.5</v>
      </c>
      <c r="AA73" s="376"/>
      <c r="AB73" s="376">
        <f>0.3*1.5</f>
        <v>0.44999999999999996</v>
      </c>
      <c r="AC73" s="376">
        <v>1.5</v>
      </c>
      <c r="AD73" s="376">
        <f>0.3*1.5</f>
        <v>0.44999999999999996</v>
      </c>
      <c r="AE73" s="376">
        <v>1.5</v>
      </c>
      <c r="AF73" s="376"/>
      <c r="AG73" s="376">
        <f>0.3*1.5</f>
        <v>0.44999999999999996</v>
      </c>
      <c r="AH73" s="376">
        <v>1.5</v>
      </c>
      <c r="AI73" s="376">
        <f>0.3*1.5</f>
        <v>0.44999999999999996</v>
      </c>
      <c r="AJ73" s="376">
        <v>1.5</v>
      </c>
      <c r="AK73" s="376"/>
      <c r="AL73" s="700">
        <v>0</v>
      </c>
      <c r="AM73" s="700">
        <v>0</v>
      </c>
      <c r="AN73" s="700">
        <v>0</v>
      </c>
      <c r="AO73" s="700">
        <v>0</v>
      </c>
      <c r="AP73" s="376"/>
      <c r="AQ73" s="700">
        <f>0.3*0.75</f>
        <v>0.22499999999999998</v>
      </c>
      <c r="AR73" s="700">
        <f>0.75</f>
        <v>0.75</v>
      </c>
      <c r="AS73" s="700">
        <f>0.3*0.75</f>
        <v>0.22499999999999998</v>
      </c>
      <c r="AT73" s="704">
        <f>0.75</f>
        <v>0.75</v>
      </c>
      <c r="AU73" s="376"/>
      <c r="AV73" s="376">
        <f>0.3*1.5</f>
        <v>0.44999999999999996</v>
      </c>
      <c r="AW73" s="376">
        <v>1.5</v>
      </c>
      <c r="AX73" s="376">
        <f>0.3*1.5</f>
        <v>0.44999999999999996</v>
      </c>
      <c r="AY73" s="376">
        <v>1.5</v>
      </c>
      <c r="AZ73" s="376"/>
      <c r="BA73" s="376">
        <f>0.3*1.5</f>
        <v>0.44999999999999996</v>
      </c>
      <c r="BB73" s="376">
        <v>1.5</v>
      </c>
      <c r="BC73" s="376">
        <f>0.3*1.5</f>
        <v>0.44999999999999996</v>
      </c>
      <c r="BD73" s="376">
        <f>1*1.5</f>
        <v>1.5</v>
      </c>
      <c r="BE73" s="376"/>
      <c r="BF73" s="376">
        <f>0.3*1.5</f>
        <v>0.44999999999999996</v>
      </c>
      <c r="BG73" s="376">
        <v>1.5</v>
      </c>
      <c r="BH73" s="376">
        <f>0.3*1.5</f>
        <v>0.44999999999999996</v>
      </c>
      <c r="BI73" s="376">
        <f>1*1.5</f>
        <v>1.5</v>
      </c>
    </row>
    <row r="74" spans="1:61">
      <c r="A74" s="25"/>
      <c r="B74" s="26"/>
      <c r="C74" s="26"/>
      <c r="D74" s="26"/>
      <c r="E74" s="27"/>
      <c r="F74" s="197"/>
      <c r="G74" s="211"/>
      <c r="H74" s="34"/>
      <c r="I74" s="197"/>
      <c r="J74" s="89"/>
      <c r="K74" s="289"/>
      <c r="L74" s="274"/>
      <c r="M74" s="376"/>
      <c r="N74" s="376"/>
      <c r="O74" s="376"/>
      <c r="P74" s="376"/>
      <c r="Q74" s="89"/>
      <c r="R74" s="376"/>
      <c r="S74" s="376"/>
      <c r="T74" s="376"/>
      <c r="U74" s="376"/>
      <c r="V74" s="376"/>
      <c r="W74" s="376"/>
      <c r="X74" s="376"/>
      <c r="Y74" s="376"/>
      <c r="Z74" s="376"/>
      <c r="AA74" s="376"/>
      <c r="AB74" s="376"/>
      <c r="AC74" s="376"/>
      <c r="AD74" s="376"/>
      <c r="AE74" s="376"/>
      <c r="AF74" s="376"/>
      <c r="AG74" s="376"/>
      <c r="AH74" s="376"/>
      <c r="AI74" s="376"/>
      <c r="AJ74" s="376"/>
      <c r="AK74" s="376"/>
      <c r="AL74" s="700"/>
      <c r="AM74" s="700"/>
      <c r="AN74" s="700"/>
      <c r="AO74" s="700"/>
      <c r="AP74" s="376"/>
      <c r="AQ74" s="700"/>
      <c r="AR74" s="700"/>
      <c r="AS74" s="700"/>
      <c r="AT74" s="704"/>
      <c r="AU74" s="376"/>
      <c r="AV74" s="376"/>
      <c r="AW74" s="376"/>
      <c r="AX74" s="376"/>
      <c r="AY74" s="376"/>
      <c r="AZ74" s="376"/>
      <c r="BA74" s="376"/>
      <c r="BB74" s="376"/>
      <c r="BC74" s="376"/>
      <c r="BD74" s="376"/>
      <c r="BE74" s="376"/>
      <c r="BF74" s="376"/>
      <c r="BG74" s="376"/>
      <c r="BH74" s="376"/>
      <c r="BI74" s="376"/>
    </row>
    <row r="75" spans="1:61">
      <c r="A75" s="693" t="s">
        <v>1134</v>
      </c>
      <c r="B75" s="688"/>
      <c r="C75" s="688"/>
      <c r="D75" s="26"/>
      <c r="E75" s="27"/>
      <c r="F75" s="197"/>
      <c r="G75" s="211"/>
      <c r="H75" s="34"/>
      <c r="I75" s="197"/>
      <c r="J75" s="89"/>
      <c r="K75" s="289"/>
      <c r="L75" s="274"/>
      <c r="M75" s="376"/>
      <c r="N75" s="376"/>
      <c r="O75" s="376"/>
      <c r="P75" s="376"/>
      <c r="Q75" s="89"/>
      <c r="R75" s="376"/>
      <c r="S75" s="376"/>
      <c r="T75" s="376"/>
      <c r="U75" s="376"/>
      <c r="V75" s="376"/>
      <c r="W75" s="376"/>
      <c r="X75" s="376"/>
      <c r="Y75" s="376"/>
      <c r="Z75" s="376"/>
      <c r="AA75" s="376"/>
      <c r="AB75" s="376"/>
      <c r="AC75" s="376"/>
      <c r="AD75" s="376"/>
      <c r="AE75" s="376"/>
      <c r="AF75" s="376"/>
      <c r="AG75" s="376"/>
      <c r="AH75" s="376"/>
      <c r="AI75" s="376"/>
      <c r="AJ75" s="376"/>
      <c r="AK75" s="376"/>
      <c r="AL75" s="700"/>
      <c r="AM75" s="700"/>
      <c r="AN75" s="700"/>
      <c r="AO75" s="700"/>
      <c r="AP75" s="376"/>
      <c r="AQ75" s="700"/>
      <c r="AR75" s="700"/>
      <c r="AS75" s="700"/>
      <c r="AT75" s="704"/>
      <c r="AU75" s="376"/>
      <c r="AV75" s="376"/>
      <c r="AW75" s="376"/>
      <c r="AX75" s="376"/>
      <c r="AY75" s="376"/>
      <c r="AZ75" s="376"/>
      <c r="BA75" s="376"/>
      <c r="BB75" s="376"/>
      <c r="BC75" s="376"/>
      <c r="BD75" s="376"/>
      <c r="BE75" s="376"/>
      <c r="BF75" s="376"/>
      <c r="BG75" s="376"/>
      <c r="BH75" s="376"/>
      <c r="BI75" s="376"/>
    </row>
    <row r="76" spans="1:61">
      <c r="A76" s="686" t="s">
        <v>1138</v>
      </c>
      <c r="B76" s="688" t="s">
        <v>1141</v>
      </c>
      <c r="C76" s="26"/>
      <c r="D76" s="26"/>
      <c r="E76" s="27"/>
      <c r="F76" s="34"/>
      <c r="G76" s="27"/>
      <c r="H76" s="195">
        <f>SHF!H76</f>
        <v>7.3173856373850432</v>
      </c>
      <c r="I76" s="620"/>
      <c r="J76" s="195">
        <f>SHF!J76</f>
        <v>8.4456204005780648</v>
      </c>
      <c r="K76" s="289"/>
      <c r="L76" s="274"/>
      <c r="M76" s="376"/>
      <c r="N76" s="376"/>
      <c r="O76" s="376"/>
      <c r="P76" s="376"/>
      <c r="Q76" s="89"/>
      <c r="R76" s="376"/>
      <c r="S76" s="376"/>
      <c r="T76" s="376"/>
      <c r="U76" s="376"/>
      <c r="V76" s="376"/>
      <c r="W76" s="376"/>
      <c r="X76" s="376"/>
      <c r="Y76" s="376"/>
      <c r="Z76" s="376"/>
      <c r="AA76" s="376"/>
      <c r="AB76" s="376"/>
      <c r="AC76" s="376"/>
      <c r="AD76" s="376"/>
      <c r="AE76" s="376"/>
      <c r="AF76" s="376"/>
      <c r="AG76" s="376"/>
      <c r="AH76" s="376"/>
      <c r="AI76" s="376"/>
      <c r="AJ76" s="376"/>
      <c r="AK76" s="376"/>
      <c r="AL76" s="700">
        <v>0</v>
      </c>
      <c r="AM76" s="700">
        <v>0</v>
      </c>
      <c r="AN76" s="700">
        <v>0</v>
      </c>
      <c r="AO76" s="700">
        <v>0</v>
      </c>
      <c r="AP76" s="376"/>
      <c r="AQ76" s="700">
        <f>0.3*0.75</f>
        <v>0.22499999999999998</v>
      </c>
      <c r="AR76" s="700">
        <f>0.75</f>
        <v>0.75</v>
      </c>
      <c r="AS76" s="700">
        <f>0.3*0.75</f>
        <v>0.22499999999999998</v>
      </c>
      <c r="AT76" s="704">
        <f>0.75</f>
        <v>0.75</v>
      </c>
      <c r="AU76" s="376"/>
      <c r="AV76" s="376">
        <f>0.3*1</f>
        <v>0.3</v>
      </c>
      <c r="AW76" s="376">
        <v>1</v>
      </c>
      <c r="AX76" s="376">
        <f>0.3*1</f>
        <v>0.3</v>
      </c>
      <c r="AY76" s="376">
        <v>1</v>
      </c>
      <c r="AZ76" s="376"/>
      <c r="BA76" s="376">
        <v>0.3</v>
      </c>
      <c r="BB76" s="376">
        <v>1</v>
      </c>
      <c r="BC76" s="376">
        <v>0.3</v>
      </c>
      <c r="BD76" s="376">
        <v>1</v>
      </c>
      <c r="BE76" s="376"/>
      <c r="BF76" s="376">
        <v>0.3</v>
      </c>
      <c r="BG76" s="376">
        <v>1</v>
      </c>
      <c r="BH76" s="376">
        <v>0.3</v>
      </c>
      <c r="BI76" s="376">
        <v>1</v>
      </c>
    </row>
    <row r="77" spans="1:61">
      <c r="A77" s="283"/>
      <c r="B77" s="284"/>
      <c r="C77" s="284"/>
      <c r="D77" s="284"/>
      <c r="E77" s="285"/>
      <c r="F77" s="286"/>
      <c r="G77" s="285"/>
      <c r="H77" s="286"/>
      <c r="I77" s="286"/>
      <c r="J77" s="286"/>
      <c r="K77" s="287"/>
      <c r="L77" s="288"/>
      <c r="M77" s="378"/>
      <c r="N77" s="378"/>
      <c r="O77" s="378"/>
      <c r="P77" s="378"/>
      <c r="Q77" s="378"/>
      <c r="R77" s="378"/>
      <c r="S77" s="378"/>
      <c r="T77" s="378"/>
      <c r="U77" s="378"/>
      <c r="V77" s="378"/>
      <c r="W77" s="378"/>
      <c r="X77" s="378"/>
      <c r="Y77" s="378"/>
      <c r="Z77" s="378"/>
      <c r="AA77" s="378"/>
      <c r="AB77" s="378"/>
      <c r="AC77" s="378"/>
      <c r="AD77" s="378"/>
      <c r="AE77" s="378"/>
      <c r="AF77" s="378"/>
      <c r="AG77" s="378"/>
      <c r="AH77" s="378"/>
      <c r="AI77" s="378"/>
      <c r="AJ77" s="378"/>
      <c r="AK77" s="378"/>
      <c r="AL77" s="702"/>
      <c r="AM77" s="702"/>
      <c r="AN77" s="702"/>
      <c r="AO77" s="702"/>
      <c r="AP77" s="378"/>
      <c r="AQ77" s="702"/>
      <c r="AR77" s="702"/>
      <c r="AS77" s="702"/>
      <c r="AT77" s="709"/>
      <c r="AU77" s="378"/>
      <c r="AV77" s="378"/>
      <c r="AW77" s="378"/>
      <c r="AX77" s="378"/>
      <c r="AY77" s="378"/>
      <c r="AZ77" s="378"/>
      <c r="BA77" s="378"/>
      <c r="BB77" s="378"/>
      <c r="BC77" s="378"/>
      <c r="BD77" s="378"/>
      <c r="BE77" s="378"/>
      <c r="BF77" s="378"/>
      <c r="BG77" s="378"/>
      <c r="BH77" s="378"/>
      <c r="BI77" s="378"/>
    </row>
    <row r="78" spans="1:61">
      <c r="A78" s="290" t="s">
        <v>1137</v>
      </c>
      <c r="B78" s="11"/>
      <c r="C78" s="11"/>
      <c r="D78" s="11"/>
      <c r="E78" s="191"/>
      <c r="F78" s="197"/>
      <c r="G78" s="211"/>
      <c r="H78" s="89"/>
      <c r="I78" s="197"/>
      <c r="J78" s="89"/>
      <c r="K78" s="289"/>
      <c r="L78" s="274"/>
      <c r="M78" s="994">
        <f>MAX(MAX(M79:M91),ABS(MIN(M79:M91)))</f>
        <v>0</v>
      </c>
      <c r="N78" s="994">
        <f>MAX(MAX(N79:N91),ABS(MIN(N79:N91)))</f>
        <v>0</v>
      </c>
      <c r="O78" s="994">
        <f>MAX(MAX(O79:O91),ABS(MIN(O79:O91)))</f>
        <v>0</v>
      </c>
      <c r="P78" s="994">
        <f>MAX(MAX(P79:P91),ABS(MIN(P79:P91)))</f>
        <v>0</v>
      </c>
      <c r="Q78" s="370"/>
      <c r="R78" s="994">
        <f>MAX(MAX(R79:R91),ABS(MIN(R79:R91)))</f>
        <v>0.22499999999999998</v>
      </c>
      <c r="S78" s="994">
        <f>MAX(MAX(S79:S91),ABS(MIN(S79:S91)))</f>
        <v>0.22499999999999998</v>
      </c>
      <c r="T78" s="1058">
        <f>MAX(MAX(T79:T91),ABS(MIN(T79:T91)))</f>
        <v>0.22499999999999998</v>
      </c>
      <c r="U78" s="1058">
        <f>MAX(MAX(U79:U91),ABS(MIN(U79:U91)))</f>
        <v>0.22499999999999998</v>
      </c>
      <c r="V78" s="388"/>
      <c r="W78" s="1058">
        <f>MAX(MAX(W79:W91),ABS(MIN(W79:W91)))</f>
        <v>0.44999999999999996</v>
      </c>
      <c r="X78" s="994">
        <f>MAX(MAX(X79:X91),ABS(MIN(X79:X91)))</f>
        <v>0.44999999999999996</v>
      </c>
      <c r="Y78" s="994">
        <f>MAX(MAX(Y79:Y91),ABS(MIN(Y79:Y91)))</f>
        <v>0.44999999999999996</v>
      </c>
      <c r="Z78" s="994">
        <f>MAX(MAX(Z79:Z91),ABS(MIN(Z79:Z91)))</f>
        <v>0.44999999999999996</v>
      </c>
      <c r="AA78" s="994"/>
      <c r="AB78" s="994">
        <f>MAX(MAX(AB79:AB91),ABS(MIN(AB79:AB91)))</f>
        <v>0.44999999999999996</v>
      </c>
      <c r="AC78" s="994">
        <f>MAX(MAX(AC79:AC91),ABS(MIN(AC79:AC91)))</f>
        <v>0.44999999999999996</v>
      </c>
      <c r="AD78" s="994">
        <f>MAX(MAX(AD79:AD91),ABS(MIN(AD79:AD91)))</f>
        <v>0.44999999999999996</v>
      </c>
      <c r="AE78" s="994">
        <f>MAX(MAX(AE79:AE91),ABS(MIN(AE79:AE91)))</f>
        <v>0.44999999999999996</v>
      </c>
      <c r="AF78" s="981"/>
      <c r="AG78" s="994">
        <f>MAX(MAX(AG79:AG91),ABS(MIN(AG79:AG91)))</f>
        <v>0.44999999999999996</v>
      </c>
      <c r="AH78" s="994">
        <f>MAX(MAX(AH79:AH91),ABS(MIN(AH79:AH91)))</f>
        <v>0.44999999999999996</v>
      </c>
      <c r="AI78" s="994">
        <f>MAX(MAX(AI79:AI91),ABS(MIN(AI79:AI91)))</f>
        <v>0.44999999999999996</v>
      </c>
      <c r="AJ78" s="994">
        <f>MAX(MAX(AJ79:AJ91),ABS(MIN(AJ79:AJ91)))</f>
        <v>0.44999999999999996</v>
      </c>
      <c r="AK78" s="994"/>
      <c r="AL78" s="994">
        <f>MAX(MAX(AL79:AL91),ABS(MIN(AL79:AL91)))</f>
        <v>0</v>
      </c>
      <c r="AM78" s="994">
        <f>MAX(MAX(AM79:AM91),ABS(MIN(AM79:AM91)))</f>
        <v>0</v>
      </c>
      <c r="AN78" s="994">
        <f>MAX(MAX(AN79:AN91),ABS(MIN(AN79:AN91)))</f>
        <v>0</v>
      </c>
      <c r="AO78" s="994">
        <f>MAX(MAX(AO79:AO91),ABS(MIN(AO79:AO91)))</f>
        <v>0</v>
      </c>
      <c r="AP78" s="708"/>
      <c r="AQ78" s="994">
        <f>MAX(MAX(AQ79:AQ91),ABS(MIN(AQ79:AQ91)))</f>
        <v>0.22499999999999998</v>
      </c>
      <c r="AR78" s="994">
        <f>MAX(MAX(AR79:AR91),ABS(MIN(AR79:AR91)))</f>
        <v>0.22499999999999998</v>
      </c>
      <c r="AS78" s="994">
        <f>MAX(MAX(AS79:AS91),ABS(MIN(AS79:AS91)))</f>
        <v>0.22499999999999998</v>
      </c>
      <c r="AT78" s="994">
        <f>MAX(MAX(AT79:AT91),ABS(MIN(AT79:AT91)))</f>
        <v>0.22499999999999998</v>
      </c>
      <c r="AU78" s="708"/>
      <c r="AV78" s="994">
        <f>MAX(MAX(AV79:AV91),ABS(MIN(AV79:AV91)))</f>
        <v>0.44999999999999996</v>
      </c>
      <c r="AW78" s="994">
        <f>MAX(MAX(AW79:AW91),ABS(MIN(AW79:AW91)))</f>
        <v>0.44999999999999996</v>
      </c>
      <c r="AX78" s="994">
        <f>MAX(MAX(AX79:AX91),ABS(MIN(AX79:AX91)))</f>
        <v>0.44999999999999996</v>
      </c>
      <c r="AY78" s="994">
        <f>MAX(MAX(AY79:AY91),ABS(MIN(AY79:AY91)))</f>
        <v>0.44999999999999996</v>
      </c>
      <c r="AZ78" s="708"/>
      <c r="BA78" s="994">
        <f>MAX(MAX(BA79:BA91),ABS(MIN(BA79:BA91)))</f>
        <v>0.44999999999999996</v>
      </c>
      <c r="BB78" s="994">
        <f>MAX(MAX(BB79:BB91),ABS(MIN(BB79:BB91)))</f>
        <v>0.44999999999999996</v>
      </c>
      <c r="BC78" s="994">
        <f>MAX(MAX(BC79:BC91),ABS(MIN(BC79:BC91)))</f>
        <v>0.44999999999999996</v>
      </c>
      <c r="BD78" s="994">
        <f>MAX(MAX(BD79:BD91),ABS(MIN(BD79:BD91)))</f>
        <v>0.44999999999999996</v>
      </c>
      <c r="BE78" s="708"/>
      <c r="BF78" s="994">
        <f>MAX(MAX(BF79:BF91),ABS(MIN(BF79:BF91)))</f>
        <v>0.44999999999999996</v>
      </c>
      <c r="BG78" s="994">
        <f>MAX(MAX(BG79:BG91),ABS(MIN(BG79:BG91)))</f>
        <v>0.44999999999999996</v>
      </c>
      <c r="BH78" s="994">
        <f>MAX(MAX(BH79:BH91),ABS(MIN(BH79:BH91)))</f>
        <v>0.44999999999999996</v>
      </c>
      <c r="BI78" s="994">
        <f>MAX(MAX(BI79:BI91),ABS(MIN(BI79:BI91)))</f>
        <v>0.44999999999999996</v>
      </c>
    </row>
    <row r="79" spans="1:61">
      <c r="A79" s="25" t="s">
        <v>992</v>
      </c>
      <c r="B79" s="26"/>
      <c r="C79" s="26"/>
      <c r="D79" s="26"/>
      <c r="E79" s="27"/>
      <c r="F79" s="197"/>
      <c r="G79" s="211"/>
      <c r="H79" s="34"/>
      <c r="I79" s="197"/>
      <c r="J79" s="89"/>
      <c r="K79" s="289"/>
      <c r="L79" s="274"/>
      <c r="M79" s="376"/>
      <c r="N79" s="376"/>
      <c r="O79" s="376"/>
      <c r="P79" s="376"/>
      <c r="Q79" s="89"/>
      <c r="R79" s="376"/>
      <c r="S79" s="376"/>
      <c r="T79" s="376"/>
      <c r="U79" s="376"/>
      <c r="V79" s="376"/>
      <c r="W79" s="376"/>
      <c r="X79" s="376"/>
      <c r="Y79" s="376"/>
      <c r="Z79" s="376"/>
      <c r="AA79" s="376"/>
      <c r="AB79" s="376"/>
      <c r="AC79" s="376"/>
      <c r="AD79" s="376"/>
      <c r="AE79" s="376"/>
      <c r="AF79" s="376"/>
      <c r="AG79" s="376"/>
      <c r="AH79" s="376"/>
      <c r="AI79" s="376"/>
      <c r="AJ79" s="376"/>
      <c r="AK79" s="376"/>
      <c r="AL79" s="700"/>
      <c r="AM79" s="700"/>
      <c r="AN79" s="700"/>
      <c r="AO79" s="700"/>
      <c r="AP79" s="268"/>
      <c r="AQ79" s="700"/>
      <c r="AR79" s="700"/>
      <c r="AS79" s="700"/>
      <c r="AT79" s="700"/>
      <c r="AU79" s="268"/>
      <c r="AV79" s="376"/>
      <c r="AW79" s="376"/>
      <c r="AX79" s="376"/>
      <c r="AY79" s="376"/>
      <c r="AZ79" s="268"/>
      <c r="BA79" s="376"/>
      <c r="BB79" s="376"/>
      <c r="BC79" s="376"/>
      <c r="BD79" s="376"/>
      <c r="BE79" s="268"/>
      <c r="BF79" s="376"/>
      <c r="BG79" s="376"/>
      <c r="BH79" s="376"/>
      <c r="BI79" s="376"/>
    </row>
    <row r="80" spans="1:61">
      <c r="A80" s="25" t="s">
        <v>1007</v>
      </c>
      <c r="B80" s="26" t="s">
        <v>988</v>
      </c>
      <c r="C80" s="26"/>
      <c r="D80" s="26"/>
      <c r="E80" s="27"/>
      <c r="F80" s="195">
        <f>SHF!F80</f>
        <v>23.412799999999997</v>
      </c>
      <c r="G80" s="211"/>
      <c r="H80" s="34"/>
      <c r="I80" s="195">
        <f>SHF!I80</f>
        <v>-11.21508</v>
      </c>
      <c r="J80" s="195">
        <f>SHF!J80</f>
        <v>0</v>
      </c>
      <c r="K80" s="289"/>
      <c r="L80" s="274"/>
      <c r="M80" s="376">
        <v>0</v>
      </c>
      <c r="N80" s="376">
        <v>0</v>
      </c>
      <c r="O80" s="376">
        <v>0</v>
      </c>
      <c r="P80" s="376">
        <v>0</v>
      </c>
      <c r="Q80" s="89"/>
      <c r="R80" s="268">
        <v>0</v>
      </c>
      <c r="S80" s="268">
        <v>0</v>
      </c>
      <c r="T80" s="268">
        <v>0</v>
      </c>
      <c r="U80" s="268">
        <v>0</v>
      </c>
      <c r="V80" s="268"/>
      <c r="W80" s="268">
        <f>-0.3*1.5</f>
        <v>-0.44999999999999996</v>
      </c>
      <c r="X80" s="268">
        <f>-0.3*1.5</f>
        <v>-0.44999999999999996</v>
      </c>
      <c r="Y80" s="268">
        <f>0.3*1.5</f>
        <v>0.44999999999999996</v>
      </c>
      <c r="Z80" s="268">
        <f>0.3*1.5</f>
        <v>0.44999999999999996</v>
      </c>
      <c r="AA80" s="268"/>
      <c r="AB80" s="376">
        <f>-0.3*1.5</f>
        <v>-0.44999999999999996</v>
      </c>
      <c r="AC80" s="376">
        <f>-0.3*1.5</f>
        <v>-0.44999999999999996</v>
      </c>
      <c r="AD80" s="376">
        <f>0.3*1.5</f>
        <v>0.44999999999999996</v>
      </c>
      <c r="AE80" s="376">
        <f>0.3*1.5</f>
        <v>0.44999999999999996</v>
      </c>
      <c r="AF80" s="376"/>
      <c r="AG80" s="376">
        <f>-0.3*1.5</f>
        <v>-0.44999999999999996</v>
      </c>
      <c r="AH80" s="376">
        <f>-0.3*1.5</f>
        <v>-0.44999999999999996</v>
      </c>
      <c r="AI80" s="376">
        <f>0.3*1.5</f>
        <v>0.44999999999999996</v>
      </c>
      <c r="AJ80" s="376">
        <f>0.3*1.5</f>
        <v>0.44999999999999996</v>
      </c>
      <c r="AK80" s="376"/>
      <c r="AL80" s="700">
        <v>0</v>
      </c>
      <c r="AM80" s="700">
        <v>0</v>
      </c>
      <c r="AN80" s="700">
        <v>0</v>
      </c>
      <c r="AO80" s="700">
        <v>0</v>
      </c>
      <c r="AP80" s="268"/>
      <c r="AQ80" s="699">
        <v>0</v>
      </c>
      <c r="AR80" s="699">
        <v>0</v>
      </c>
      <c r="AS80" s="699">
        <v>0</v>
      </c>
      <c r="AT80" s="699">
        <v>0</v>
      </c>
      <c r="AU80" s="268"/>
      <c r="AV80" s="268">
        <f>-0.3*1.5</f>
        <v>-0.44999999999999996</v>
      </c>
      <c r="AW80" s="268">
        <f>-0.3*1.5</f>
        <v>-0.44999999999999996</v>
      </c>
      <c r="AX80" s="268">
        <f>0.3*1.5</f>
        <v>0.44999999999999996</v>
      </c>
      <c r="AY80" s="268">
        <f>0.3*1.5</f>
        <v>0.44999999999999996</v>
      </c>
      <c r="AZ80" s="268"/>
      <c r="BA80" s="376">
        <f>-0.3*1.5</f>
        <v>-0.44999999999999996</v>
      </c>
      <c r="BB80" s="376">
        <f>-0.3*1.5</f>
        <v>-0.44999999999999996</v>
      </c>
      <c r="BC80" s="376">
        <f>0.3*1.5</f>
        <v>0.44999999999999996</v>
      </c>
      <c r="BD80" s="376">
        <f>0.3*1.5</f>
        <v>0.44999999999999996</v>
      </c>
      <c r="BE80" s="268"/>
      <c r="BF80" s="376">
        <f>-0.3*1.5</f>
        <v>-0.44999999999999996</v>
      </c>
      <c r="BG80" s="376">
        <f>-0.3*1.5</f>
        <v>-0.44999999999999996</v>
      </c>
      <c r="BH80" s="376">
        <f>0.3*1.5</f>
        <v>0.44999999999999996</v>
      </c>
      <c r="BI80" s="376">
        <f>0.3*1.5</f>
        <v>0.44999999999999996</v>
      </c>
    </row>
    <row r="81" spans="1:61">
      <c r="A81" s="25" t="s">
        <v>1008</v>
      </c>
      <c r="B81" s="26" t="s">
        <v>989</v>
      </c>
      <c r="C81" s="26"/>
      <c r="D81" s="26"/>
      <c r="E81" s="27"/>
      <c r="F81" s="195">
        <f>SHF!F81</f>
        <v>23.412799999999997</v>
      </c>
      <c r="G81" s="211"/>
      <c r="H81" s="34"/>
      <c r="I81" s="195">
        <f>SHF!I81</f>
        <v>11.21508</v>
      </c>
      <c r="J81" s="195">
        <f>SHF!J81</f>
        <v>0</v>
      </c>
      <c r="K81" s="289"/>
      <c r="L81" s="274"/>
      <c r="M81" s="268">
        <v>0</v>
      </c>
      <c r="N81" s="268">
        <v>0</v>
      </c>
      <c r="O81" s="268">
        <v>0</v>
      </c>
      <c r="P81" s="268">
        <v>0</v>
      </c>
      <c r="Q81" s="89"/>
      <c r="R81" s="376">
        <f>-0.3*0.75</f>
        <v>-0.22499999999999998</v>
      </c>
      <c r="S81" s="376">
        <f>-0.3*0.75</f>
        <v>-0.22499999999999998</v>
      </c>
      <c r="T81" s="376">
        <f>0.3*0.75</f>
        <v>0.22499999999999998</v>
      </c>
      <c r="U81" s="376">
        <f>0.3*0.75</f>
        <v>0.22499999999999998</v>
      </c>
      <c r="V81" s="376"/>
      <c r="W81" s="376">
        <f>-0.3*1.5</f>
        <v>-0.44999999999999996</v>
      </c>
      <c r="X81" s="376">
        <f>-0.3*1.5</f>
        <v>-0.44999999999999996</v>
      </c>
      <c r="Y81" s="376">
        <f>0.3*1.5</f>
        <v>0.44999999999999996</v>
      </c>
      <c r="Z81" s="376">
        <f>0.3*1.5</f>
        <v>0.44999999999999996</v>
      </c>
      <c r="AA81" s="376"/>
      <c r="AB81" s="268">
        <f>-0.3*1.5</f>
        <v>-0.44999999999999996</v>
      </c>
      <c r="AC81" s="268">
        <f>-0.3*1.5</f>
        <v>-0.44999999999999996</v>
      </c>
      <c r="AD81" s="268">
        <f>0.3*1.5</f>
        <v>0.44999999999999996</v>
      </c>
      <c r="AE81" s="268">
        <f>0.3*1.5</f>
        <v>0.44999999999999996</v>
      </c>
      <c r="AF81" s="268"/>
      <c r="AG81" s="268">
        <f>-0.3*1.5</f>
        <v>-0.44999999999999996</v>
      </c>
      <c r="AH81" s="268">
        <f>-0.3*1.5</f>
        <v>-0.44999999999999996</v>
      </c>
      <c r="AI81" s="268">
        <f>0.3*1.5</f>
        <v>0.44999999999999996</v>
      </c>
      <c r="AJ81" s="268">
        <f>0.3*1.5</f>
        <v>0.44999999999999996</v>
      </c>
      <c r="AK81" s="268"/>
      <c r="AL81" s="699">
        <v>0</v>
      </c>
      <c r="AM81" s="699">
        <v>0</v>
      </c>
      <c r="AN81" s="699">
        <v>0</v>
      </c>
      <c r="AO81" s="699">
        <v>0</v>
      </c>
      <c r="AP81" s="268"/>
      <c r="AQ81" s="700">
        <f>-0.3*0.75</f>
        <v>-0.22499999999999998</v>
      </c>
      <c r="AR81" s="700">
        <f>-0.3*0.75</f>
        <v>-0.22499999999999998</v>
      </c>
      <c r="AS81" s="700">
        <f>0.3*0.75</f>
        <v>0.22499999999999998</v>
      </c>
      <c r="AT81" s="700">
        <f>0.3*0.75</f>
        <v>0.22499999999999998</v>
      </c>
      <c r="AU81" s="268"/>
      <c r="AV81" s="376">
        <f>-0.3*1.5</f>
        <v>-0.44999999999999996</v>
      </c>
      <c r="AW81" s="376">
        <f>-0.3*1.5</f>
        <v>-0.44999999999999996</v>
      </c>
      <c r="AX81" s="376">
        <f>0.3*1.5</f>
        <v>0.44999999999999996</v>
      </c>
      <c r="AY81" s="376">
        <f>0.3*1.5</f>
        <v>0.44999999999999996</v>
      </c>
      <c r="AZ81" s="268"/>
      <c r="BA81" s="268">
        <f>-0.3*1.5</f>
        <v>-0.44999999999999996</v>
      </c>
      <c r="BB81" s="268">
        <f>-0.3*1.5</f>
        <v>-0.44999999999999996</v>
      </c>
      <c r="BC81" s="268">
        <f>0.3*1.5</f>
        <v>0.44999999999999996</v>
      </c>
      <c r="BD81" s="268">
        <f>0.3*1.5</f>
        <v>0.44999999999999996</v>
      </c>
      <c r="BE81" s="268"/>
      <c r="BF81" s="268">
        <f>-0.3*1.5</f>
        <v>-0.44999999999999996</v>
      </c>
      <c r="BG81" s="268">
        <f>-0.3*1.5</f>
        <v>-0.44999999999999996</v>
      </c>
      <c r="BH81" s="268">
        <f>0.3*1.5</f>
        <v>0.44999999999999996</v>
      </c>
      <c r="BI81" s="268">
        <f>0.3*1.5</f>
        <v>0.44999999999999996</v>
      </c>
    </row>
    <row r="82" spans="1:61">
      <c r="A82" s="69"/>
      <c r="B82" s="26"/>
      <c r="C82" s="26"/>
      <c r="D82" s="26"/>
      <c r="E82" s="27"/>
      <c r="F82" s="197"/>
      <c r="G82" s="211"/>
      <c r="H82" s="34"/>
      <c r="I82" s="197"/>
      <c r="J82" s="89"/>
      <c r="K82" s="289"/>
      <c r="L82" s="274"/>
      <c r="M82" s="376"/>
      <c r="N82" s="376"/>
      <c r="O82" s="376"/>
      <c r="P82" s="376"/>
      <c r="Q82" s="89"/>
      <c r="R82" s="376"/>
      <c r="S82" s="376"/>
      <c r="T82" s="376"/>
      <c r="U82" s="376"/>
      <c r="V82" s="376"/>
      <c r="W82" s="376"/>
      <c r="X82" s="376"/>
      <c r="Y82" s="376"/>
      <c r="Z82" s="376"/>
      <c r="AA82" s="376"/>
      <c r="AB82" s="376"/>
      <c r="AC82" s="376"/>
      <c r="AD82" s="376"/>
      <c r="AE82" s="376"/>
      <c r="AF82" s="376"/>
      <c r="AG82" s="376"/>
      <c r="AH82" s="376"/>
      <c r="AI82" s="376"/>
      <c r="AJ82" s="376"/>
      <c r="AK82" s="376"/>
      <c r="AL82" s="699"/>
      <c r="AM82" s="699"/>
      <c r="AN82" s="699"/>
      <c r="AO82" s="699"/>
      <c r="AP82" s="268"/>
      <c r="AQ82" s="699"/>
      <c r="AR82" s="699"/>
      <c r="AS82" s="699"/>
      <c r="AT82" s="699"/>
      <c r="AU82" s="268"/>
      <c r="AV82" s="268"/>
      <c r="AW82" s="268"/>
      <c r="AX82" s="268"/>
      <c r="AY82" s="268"/>
      <c r="AZ82" s="268"/>
      <c r="BA82" s="268"/>
      <c r="BB82" s="268"/>
      <c r="BC82" s="268"/>
      <c r="BD82" s="268"/>
      <c r="BE82" s="268"/>
      <c r="BF82" s="268"/>
      <c r="BG82" s="268"/>
      <c r="BH82" s="268"/>
      <c r="BI82" s="268"/>
    </row>
    <row r="83" spans="1:61">
      <c r="A83" s="25" t="s">
        <v>999</v>
      </c>
      <c r="B83" s="26"/>
      <c r="C83" s="26"/>
      <c r="D83" s="26"/>
      <c r="E83" s="27"/>
      <c r="F83" s="197"/>
      <c r="G83" s="211"/>
      <c r="H83" s="34"/>
      <c r="I83" s="197"/>
      <c r="J83" s="89"/>
      <c r="K83" s="289"/>
      <c r="L83" s="274"/>
      <c r="M83" s="376"/>
      <c r="N83" s="376"/>
      <c r="O83" s="376"/>
      <c r="P83" s="376"/>
      <c r="Q83" s="89"/>
      <c r="R83" s="376"/>
      <c r="S83" s="376"/>
      <c r="T83" s="376"/>
      <c r="U83" s="376"/>
      <c r="V83" s="376"/>
      <c r="W83" s="376"/>
      <c r="X83" s="376"/>
      <c r="Y83" s="376"/>
      <c r="Z83" s="376"/>
      <c r="AA83" s="376"/>
      <c r="AB83" s="376"/>
      <c r="AC83" s="376"/>
      <c r="AD83" s="376"/>
      <c r="AE83" s="376"/>
      <c r="AF83" s="376"/>
      <c r="AG83" s="376"/>
      <c r="AH83" s="376"/>
      <c r="AI83" s="376"/>
      <c r="AJ83" s="376"/>
      <c r="AK83" s="376"/>
      <c r="AL83" s="699"/>
      <c r="AM83" s="699"/>
      <c r="AN83" s="699"/>
      <c r="AO83" s="699"/>
      <c r="AP83" s="268"/>
      <c r="AQ83" s="699"/>
      <c r="AR83" s="699"/>
      <c r="AS83" s="699"/>
      <c r="AT83" s="699"/>
      <c r="AU83" s="268"/>
      <c r="AV83" s="268"/>
      <c r="AW83" s="268"/>
      <c r="AX83" s="268"/>
      <c r="AY83" s="268"/>
      <c r="AZ83" s="268"/>
      <c r="BA83" s="268"/>
      <c r="BB83" s="268"/>
      <c r="BC83" s="268"/>
      <c r="BD83" s="268"/>
      <c r="BE83" s="268"/>
      <c r="BF83" s="268"/>
      <c r="BG83" s="268"/>
      <c r="BH83" s="268"/>
      <c r="BI83" s="268"/>
    </row>
    <row r="84" spans="1:61">
      <c r="A84" s="25" t="s">
        <v>1002</v>
      </c>
      <c r="B84" s="26"/>
      <c r="C84" s="26"/>
      <c r="D84" s="26"/>
      <c r="E84" s="27"/>
      <c r="F84" s="197"/>
      <c r="G84" s="211"/>
      <c r="H84" s="34"/>
      <c r="I84" s="197"/>
      <c r="J84" s="89"/>
      <c r="K84" s="289"/>
      <c r="L84" s="274"/>
      <c r="M84" s="376"/>
      <c r="N84" s="376"/>
      <c r="O84" s="376"/>
      <c r="P84" s="376"/>
      <c r="Q84" s="89"/>
      <c r="R84" s="376"/>
      <c r="S84" s="376"/>
      <c r="T84" s="376"/>
      <c r="U84" s="376"/>
      <c r="V84" s="376"/>
      <c r="W84" s="376"/>
      <c r="X84" s="376"/>
      <c r="Y84" s="376"/>
      <c r="Z84" s="376"/>
      <c r="AA84" s="376"/>
      <c r="AB84" s="376"/>
      <c r="AC84" s="376"/>
      <c r="AD84" s="376"/>
      <c r="AE84" s="376"/>
      <c r="AF84" s="376"/>
      <c r="AG84" s="376"/>
      <c r="AH84" s="376"/>
      <c r="AI84" s="376"/>
      <c r="AJ84" s="376"/>
      <c r="AK84" s="376"/>
      <c r="AL84" s="699"/>
      <c r="AM84" s="699"/>
      <c r="AN84" s="699"/>
      <c r="AO84" s="699"/>
      <c r="AP84" s="268"/>
      <c r="AQ84" s="699"/>
      <c r="AR84" s="699"/>
      <c r="AS84" s="699"/>
      <c r="AT84" s="699"/>
      <c r="AU84" s="268"/>
      <c r="AV84" s="268"/>
      <c r="AW84" s="268"/>
      <c r="AX84" s="268"/>
      <c r="AY84" s="268"/>
      <c r="AZ84" s="268"/>
      <c r="BA84" s="268"/>
      <c r="BB84" s="268"/>
      <c r="BC84" s="268"/>
      <c r="BD84" s="268"/>
      <c r="BE84" s="268"/>
      <c r="BF84" s="268"/>
      <c r="BG84" s="268"/>
      <c r="BH84" s="268"/>
      <c r="BI84" s="268"/>
    </row>
    <row r="85" spans="1:61">
      <c r="A85" s="25" t="s">
        <v>1009</v>
      </c>
      <c r="B85" s="26" t="s">
        <v>1000</v>
      </c>
      <c r="C85" s="26"/>
      <c r="D85" s="26"/>
      <c r="E85" s="27"/>
      <c r="F85" s="195">
        <f>SHF!F85</f>
        <v>5.2128319999999997</v>
      </c>
      <c r="G85" s="211"/>
      <c r="H85" s="34"/>
      <c r="I85" s="195">
        <f>SHF!I85</f>
        <v>-2.6064159999999998</v>
      </c>
      <c r="J85" s="195">
        <f>SHF!J85</f>
        <v>-0.80845858450450414</v>
      </c>
      <c r="K85" s="289"/>
      <c r="L85" s="274"/>
      <c r="M85" s="268">
        <v>0</v>
      </c>
      <c r="N85" s="268">
        <v>0</v>
      </c>
      <c r="O85" s="268">
        <v>0</v>
      </c>
      <c r="P85" s="268">
        <v>0</v>
      </c>
      <c r="Q85" s="89"/>
      <c r="R85" s="268">
        <v>0</v>
      </c>
      <c r="S85" s="268">
        <v>0</v>
      </c>
      <c r="T85" s="268">
        <v>0</v>
      </c>
      <c r="U85" s="268">
        <v>0</v>
      </c>
      <c r="V85" s="268"/>
      <c r="W85" s="268">
        <v>0</v>
      </c>
      <c r="X85" s="268">
        <v>0</v>
      </c>
      <c r="Y85" s="268">
        <v>0</v>
      </c>
      <c r="Z85" s="268">
        <v>0</v>
      </c>
      <c r="AA85" s="268"/>
      <c r="AB85" s="268">
        <f>-0.3*0.2*1.5</f>
        <v>-0.09</v>
      </c>
      <c r="AC85" s="268">
        <f>-0.3*0.2*1.5</f>
        <v>-0.09</v>
      </c>
      <c r="AD85" s="268">
        <f>0.3*0.2*1.5</f>
        <v>0.09</v>
      </c>
      <c r="AE85" s="268">
        <f>0.3*0.2*1.5</f>
        <v>0.09</v>
      </c>
      <c r="AF85" s="268"/>
      <c r="AG85" s="268">
        <v>0</v>
      </c>
      <c r="AH85" s="268">
        <v>0</v>
      </c>
      <c r="AI85" s="268">
        <v>0</v>
      </c>
      <c r="AJ85" s="268">
        <v>0</v>
      </c>
      <c r="AK85" s="268"/>
      <c r="AL85" s="699">
        <v>0</v>
      </c>
      <c r="AM85" s="699">
        <v>0</v>
      </c>
      <c r="AN85" s="699">
        <v>0</v>
      </c>
      <c r="AO85" s="699">
        <v>0</v>
      </c>
      <c r="AP85" s="268"/>
      <c r="AQ85" s="699">
        <v>0</v>
      </c>
      <c r="AR85" s="699">
        <v>0</v>
      </c>
      <c r="AS85" s="699">
        <v>0</v>
      </c>
      <c r="AT85" s="699">
        <v>0</v>
      </c>
      <c r="AU85" s="268"/>
      <c r="AV85" s="268">
        <v>0</v>
      </c>
      <c r="AW85" s="268">
        <v>0</v>
      </c>
      <c r="AX85" s="268">
        <v>0</v>
      </c>
      <c r="AY85" s="268">
        <v>0</v>
      </c>
      <c r="AZ85" s="268"/>
      <c r="BA85" s="268">
        <f>-0.3*0.2*1.5</f>
        <v>-0.09</v>
      </c>
      <c r="BB85" s="268">
        <f>-0.3*0.2*1.5</f>
        <v>-0.09</v>
      </c>
      <c r="BC85" s="268">
        <f>0.3*0.2*1.5</f>
        <v>0.09</v>
      </c>
      <c r="BD85" s="268">
        <f>0.3*0.2*1.5</f>
        <v>0.09</v>
      </c>
      <c r="BE85" s="268"/>
      <c r="BF85" s="268">
        <v>0</v>
      </c>
      <c r="BG85" s="268">
        <v>0</v>
      </c>
      <c r="BH85" s="268">
        <v>0</v>
      </c>
      <c r="BI85" s="268">
        <v>0</v>
      </c>
    </row>
    <row r="86" spans="1:61">
      <c r="A86" s="25" t="s">
        <v>1010</v>
      </c>
      <c r="B86" s="26" t="s">
        <v>1001</v>
      </c>
      <c r="C86" s="26"/>
      <c r="D86" s="26"/>
      <c r="E86" s="27"/>
      <c r="F86" s="195">
        <f>SHF!F86</f>
        <v>6.0148251428571458</v>
      </c>
      <c r="G86" s="211"/>
      <c r="H86" s="34"/>
      <c r="I86" s="195">
        <f>SHF!I86</f>
        <v>3.0074125714285729</v>
      </c>
      <c r="J86" s="195">
        <f>SHF!J86</f>
        <v>-0.93283977328185319</v>
      </c>
      <c r="K86" s="289"/>
      <c r="L86" s="274"/>
      <c r="M86" s="268">
        <v>0</v>
      </c>
      <c r="N86" s="268">
        <v>0</v>
      </c>
      <c r="O86" s="268">
        <v>0</v>
      </c>
      <c r="P86" s="268">
        <v>0</v>
      </c>
      <c r="Q86" s="89"/>
      <c r="R86" s="268">
        <v>0</v>
      </c>
      <c r="S86" s="268">
        <v>0</v>
      </c>
      <c r="T86" s="268">
        <v>0</v>
      </c>
      <c r="U86" s="268">
        <v>0</v>
      </c>
      <c r="V86" s="268"/>
      <c r="W86" s="268">
        <v>0</v>
      </c>
      <c r="X86" s="268">
        <v>0</v>
      </c>
      <c r="Y86" s="268">
        <v>0</v>
      </c>
      <c r="Z86" s="268">
        <v>0</v>
      </c>
      <c r="AA86" s="268"/>
      <c r="AB86" s="268">
        <f>-0.3*0.2*1.5</f>
        <v>-0.09</v>
      </c>
      <c r="AC86" s="268">
        <f>-0.3*0.2*1.5</f>
        <v>-0.09</v>
      </c>
      <c r="AD86" s="268">
        <f>0.3*0.2*1.5</f>
        <v>0.09</v>
      </c>
      <c r="AE86" s="268">
        <f>0.3*0.2*1.5</f>
        <v>0.09</v>
      </c>
      <c r="AF86" s="268"/>
      <c r="AG86" s="268">
        <v>0</v>
      </c>
      <c r="AH86" s="268">
        <v>0</v>
      </c>
      <c r="AI86" s="268">
        <v>0</v>
      </c>
      <c r="AJ86" s="268">
        <v>0</v>
      </c>
      <c r="AK86" s="268"/>
      <c r="AL86" s="699">
        <v>0</v>
      </c>
      <c r="AM86" s="699">
        <v>0</v>
      </c>
      <c r="AN86" s="699">
        <v>0</v>
      </c>
      <c r="AO86" s="699">
        <v>0</v>
      </c>
      <c r="AP86" s="268"/>
      <c r="AQ86" s="699">
        <v>0</v>
      </c>
      <c r="AR86" s="699">
        <v>0</v>
      </c>
      <c r="AS86" s="699">
        <v>0</v>
      </c>
      <c r="AT86" s="699">
        <v>0</v>
      </c>
      <c r="AU86" s="268"/>
      <c r="AV86" s="268">
        <v>0</v>
      </c>
      <c r="AW86" s="268">
        <v>0</v>
      </c>
      <c r="AX86" s="268">
        <v>0</v>
      </c>
      <c r="AY86" s="268">
        <v>0</v>
      </c>
      <c r="AZ86" s="268"/>
      <c r="BA86" s="268">
        <f>-0.3*0.2*1.5</f>
        <v>-0.09</v>
      </c>
      <c r="BB86" s="268">
        <f>-0.3*0.2*1.5</f>
        <v>-0.09</v>
      </c>
      <c r="BC86" s="268">
        <f>0.3*0.2*1.5</f>
        <v>0.09</v>
      </c>
      <c r="BD86" s="268">
        <f>0.3*0.2*1.5</f>
        <v>0.09</v>
      </c>
      <c r="BE86" s="268"/>
      <c r="BF86" s="268">
        <v>0</v>
      </c>
      <c r="BG86" s="268">
        <v>0</v>
      </c>
      <c r="BH86" s="268">
        <v>0</v>
      </c>
      <c r="BI86" s="268">
        <v>0</v>
      </c>
    </row>
    <row r="87" spans="1:61">
      <c r="A87" s="25" t="s">
        <v>1003</v>
      </c>
      <c r="B87" s="26"/>
      <c r="C87" s="26"/>
      <c r="D87" s="26"/>
      <c r="E87" s="27"/>
      <c r="F87" s="197"/>
      <c r="G87" s="211"/>
      <c r="H87" s="34"/>
      <c r="I87" s="197"/>
      <c r="J87" s="89"/>
      <c r="K87" s="289"/>
      <c r="L87" s="274"/>
      <c r="M87" s="268"/>
      <c r="N87" s="268"/>
      <c r="O87" s="268"/>
      <c r="P87" s="268"/>
      <c r="Q87" s="89"/>
      <c r="R87" s="268"/>
      <c r="S87" s="268"/>
      <c r="T87" s="268"/>
      <c r="U87" s="268"/>
      <c r="V87" s="268"/>
      <c r="W87" s="268"/>
      <c r="X87" s="268"/>
      <c r="Y87" s="268"/>
      <c r="Z87" s="268"/>
      <c r="AA87" s="268"/>
      <c r="AB87" s="268"/>
      <c r="AC87" s="268"/>
      <c r="AD87" s="268"/>
      <c r="AE87" s="268"/>
      <c r="AF87" s="268"/>
      <c r="AG87" s="268"/>
      <c r="AH87" s="268"/>
      <c r="AI87" s="268"/>
      <c r="AJ87" s="268"/>
      <c r="AK87" s="268"/>
      <c r="AL87" s="699"/>
      <c r="AM87" s="699"/>
      <c r="AN87" s="699"/>
      <c r="AO87" s="699"/>
      <c r="AP87" s="268"/>
      <c r="AQ87" s="699"/>
      <c r="AR87" s="699"/>
      <c r="AS87" s="699"/>
      <c r="AT87" s="699"/>
      <c r="AU87" s="268"/>
      <c r="AV87" s="268"/>
      <c r="AW87" s="268"/>
      <c r="AX87" s="268"/>
      <c r="AY87" s="268"/>
      <c r="AZ87" s="268"/>
      <c r="BA87" s="268"/>
      <c r="BB87" s="268"/>
      <c r="BC87" s="268"/>
      <c r="BD87" s="268"/>
      <c r="BE87" s="268"/>
      <c r="BF87" s="268"/>
      <c r="BG87" s="268"/>
      <c r="BH87" s="268"/>
      <c r="BI87" s="268"/>
    </row>
    <row r="88" spans="1:61">
      <c r="A88" s="25" t="s">
        <v>1009</v>
      </c>
      <c r="B88" s="26" t="s">
        <v>1000</v>
      </c>
      <c r="C88" s="26"/>
      <c r="D88" s="26"/>
      <c r="E88" s="27"/>
      <c r="F88" s="195">
        <f>SHF!F88</f>
        <v>0</v>
      </c>
      <c r="G88" s="211"/>
      <c r="H88" s="34"/>
      <c r="I88" s="195">
        <f>SHF!I88</f>
        <v>0</v>
      </c>
      <c r="J88" s="195">
        <f>SHF!J88</f>
        <v>0</v>
      </c>
      <c r="K88" s="289"/>
      <c r="L88" s="274"/>
      <c r="M88" s="268">
        <v>0</v>
      </c>
      <c r="N88" s="268">
        <v>0</v>
      </c>
      <c r="O88" s="268">
        <v>0</v>
      </c>
      <c r="P88" s="268">
        <v>0</v>
      </c>
      <c r="Q88" s="89"/>
      <c r="R88" s="268">
        <v>0</v>
      </c>
      <c r="S88" s="268">
        <v>0</v>
      </c>
      <c r="T88" s="268">
        <v>0</v>
      </c>
      <c r="U88" s="268">
        <v>0</v>
      </c>
      <c r="V88" s="268"/>
      <c r="W88" s="268">
        <v>0</v>
      </c>
      <c r="X88" s="268">
        <v>0</v>
      </c>
      <c r="Y88" s="268">
        <v>0</v>
      </c>
      <c r="Z88" s="268">
        <v>0</v>
      </c>
      <c r="AA88" s="268"/>
      <c r="AB88" s="268">
        <v>0</v>
      </c>
      <c r="AC88" s="268">
        <v>0</v>
      </c>
      <c r="AD88" s="268">
        <v>0</v>
      </c>
      <c r="AE88" s="268">
        <v>0</v>
      </c>
      <c r="AF88" s="268"/>
      <c r="AG88" s="268">
        <f>-0.3*0.2*1.5</f>
        <v>-0.09</v>
      </c>
      <c r="AH88" s="268">
        <f>-0.3*0.2*1.5</f>
        <v>-0.09</v>
      </c>
      <c r="AI88" s="268">
        <f>0.3*0.2*1.5</f>
        <v>0.09</v>
      </c>
      <c r="AJ88" s="268">
        <f>0.3*0.2*1.5</f>
        <v>0.09</v>
      </c>
      <c r="AK88" s="268"/>
      <c r="AL88" s="699">
        <v>0</v>
      </c>
      <c r="AM88" s="699">
        <v>0</v>
      </c>
      <c r="AN88" s="699">
        <v>0</v>
      </c>
      <c r="AO88" s="699">
        <v>0</v>
      </c>
      <c r="AP88" s="268"/>
      <c r="AQ88" s="699">
        <v>0</v>
      </c>
      <c r="AR88" s="699">
        <v>0</v>
      </c>
      <c r="AS88" s="699">
        <v>0</v>
      </c>
      <c r="AT88" s="699">
        <v>0</v>
      </c>
      <c r="AU88" s="268"/>
      <c r="AV88" s="268">
        <v>0</v>
      </c>
      <c r="AW88" s="268">
        <v>0</v>
      </c>
      <c r="AX88" s="268">
        <v>0</v>
      </c>
      <c r="AY88" s="268">
        <v>0</v>
      </c>
      <c r="AZ88" s="268"/>
      <c r="BA88" s="268">
        <v>0</v>
      </c>
      <c r="BB88" s="268">
        <v>0</v>
      </c>
      <c r="BC88" s="268">
        <v>0</v>
      </c>
      <c r="BD88" s="268">
        <v>0</v>
      </c>
      <c r="BE88" s="268"/>
      <c r="BF88" s="268">
        <f>-0.3*0.2*1.5</f>
        <v>-0.09</v>
      </c>
      <c r="BG88" s="268">
        <f>-0.3*0.2*1.5</f>
        <v>-0.09</v>
      </c>
      <c r="BH88" s="268">
        <f>0.3*0.2*1.5</f>
        <v>0.09</v>
      </c>
      <c r="BI88" s="268">
        <f>0.3*0.2*1.5</f>
        <v>0.09</v>
      </c>
    </row>
    <row r="89" spans="1:61">
      <c r="A89" s="25" t="s">
        <v>1010</v>
      </c>
      <c r="B89" s="26" t="s">
        <v>1001</v>
      </c>
      <c r="C89" s="26"/>
      <c r="D89" s="26"/>
      <c r="E89" s="27"/>
      <c r="F89" s="195">
        <f>SHF!F89</f>
        <v>10.231958857142859</v>
      </c>
      <c r="G89" s="211"/>
      <c r="H89" s="34"/>
      <c r="I89" s="195">
        <f>SHF!I89</f>
        <v>5.1159794285714293</v>
      </c>
      <c r="J89" s="195">
        <f>SHF!J89</f>
        <v>-1.5868754209523803</v>
      </c>
      <c r="K89" s="289"/>
      <c r="L89" s="274"/>
      <c r="M89" s="268">
        <v>0</v>
      </c>
      <c r="N89" s="268">
        <v>0</v>
      </c>
      <c r="O89" s="268">
        <v>0</v>
      </c>
      <c r="P89" s="268">
        <v>0</v>
      </c>
      <c r="Q89" s="89"/>
      <c r="R89" s="268">
        <v>0</v>
      </c>
      <c r="S89" s="268">
        <v>0</v>
      </c>
      <c r="T89" s="268">
        <v>0</v>
      </c>
      <c r="U89" s="268">
        <v>0</v>
      </c>
      <c r="V89" s="268"/>
      <c r="W89" s="268">
        <v>0</v>
      </c>
      <c r="X89" s="268">
        <v>0</v>
      </c>
      <c r="Y89" s="268">
        <v>0</v>
      </c>
      <c r="Z89" s="268">
        <v>0</v>
      </c>
      <c r="AA89" s="268"/>
      <c r="AB89" s="268">
        <v>0</v>
      </c>
      <c r="AC89" s="268">
        <v>0</v>
      </c>
      <c r="AD89" s="268">
        <v>0</v>
      </c>
      <c r="AE89" s="268">
        <v>0</v>
      </c>
      <c r="AF89" s="268"/>
      <c r="AG89" s="268">
        <f>-0.3*0.2*1.5</f>
        <v>-0.09</v>
      </c>
      <c r="AH89" s="268">
        <f>-0.3*0.2*1.5</f>
        <v>-0.09</v>
      </c>
      <c r="AI89" s="268">
        <f>0.3*0.2*1.5</f>
        <v>0.09</v>
      </c>
      <c r="AJ89" s="268">
        <f>0.3*0.2*1.5</f>
        <v>0.09</v>
      </c>
      <c r="AK89" s="268"/>
      <c r="AL89" s="699">
        <v>0</v>
      </c>
      <c r="AM89" s="699">
        <v>0</v>
      </c>
      <c r="AN89" s="699">
        <v>0</v>
      </c>
      <c r="AO89" s="699">
        <v>0</v>
      </c>
      <c r="AP89" s="268"/>
      <c r="AQ89" s="699">
        <v>0</v>
      </c>
      <c r="AR89" s="699">
        <v>0</v>
      </c>
      <c r="AS89" s="699">
        <v>0</v>
      </c>
      <c r="AT89" s="699">
        <v>0</v>
      </c>
      <c r="AU89" s="268"/>
      <c r="AV89" s="268">
        <v>0</v>
      </c>
      <c r="AW89" s="268">
        <v>0</v>
      </c>
      <c r="AX89" s="268">
        <v>0</v>
      </c>
      <c r="AY89" s="268">
        <v>0</v>
      </c>
      <c r="AZ89" s="268"/>
      <c r="BA89" s="268">
        <v>0</v>
      </c>
      <c r="BB89" s="268">
        <v>0</v>
      </c>
      <c r="BC89" s="268">
        <v>0</v>
      </c>
      <c r="BD89" s="268">
        <v>0</v>
      </c>
      <c r="BE89" s="268"/>
      <c r="BF89" s="268">
        <f>-0.3*0.2*1.5</f>
        <v>-0.09</v>
      </c>
      <c r="BG89" s="268">
        <f>-0.3*0.2*1.5</f>
        <v>-0.09</v>
      </c>
      <c r="BH89" s="268">
        <f>0.3*0.2*1.5</f>
        <v>0.09</v>
      </c>
      <c r="BI89" s="268">
        <f>0.3*0.2*1.5</f>
        <v>0.09</v>
      </c>
    </row>
    <row r="90" spans="1:61">
      <c r="A90" s="69"/>
      <c r="B90" s="26"/>
      <c r="C90" s="26"/>
      <c r="D90" s="26"/>
      <c r="E90" s="27"/>
      <c r="F90" s="197"/>
      <c r="G90" s="211"/>
      <c r="H90" s="34"/>
      <c r="I90" s="197"/>
      <c r="J90" s="89"/>
      <c r="K90" s="289"/>
      <c r="L90" s="274"/>
      <c r="M90" s="268"/>
      <c r="N90" s="268"/>
      <c r="O90" s="268"/>
      <c r="P90" s="268"/>
      <c r="Q90" s="89"/>
      <c r="R90" s="268"/>
      <c r="S90" s="268"/>
      <c r="T90" s="268"/>
      <c r="U90" s="268"/>
      <c r="V90" s="268"/>
      <c r="W90" s="268"/>
      <c r="X90" s="268"/>
      <c r="Y90" s="268"/>
      <c r="Z90" s="268"/>
      <c r="AA90" s="268"/>
      <c r="AB90" s="268"/>
      <c r="AC90" s="268"/>
      <c r="AD90" s="268"/>
      <c r="AE90" s="268"/>
      <c r="AF90" s="268"/>
      <c r="AG90" s="268"/>
      <c r="AH90" s="268"/>
      <c r="AI90" s="268"/>
      <c r="AJ90" s="268"/>
      <c r="AK90" s="268"/>
      <c r="AL90" s="699"/>
      <c r="AM90" s="699"/>
      <c r="AN90" s="699"/>
      <c r="AO90" s="699"/>
      <c r="AP90" s="268"/>
      <c r="AQ90" s="699"/>
      <c r="AR90" s="699"/>
      <c r="AS90" s="699"/>
      <c r="AT90" s="699"/>
      <c r="AU90" s="268"/>
      <c r="AV90" s="268"/>
      <c r="AW90" s="268"/>
      <c r="AX90" s="268"/>
      <c r="AY90" s="268"/>
      <c r="AZ90" s="268"/>
      <c r="BA90" s="268"/>
      <c r="BB90" s="268"/>
      <c r="BC90" s="268"/>
      <c r="BD90" s="268"/>
      <c r="BE90" s="268"/>
      <c r="BF90" s="268"/>
      <c r="BG90" s="268"/>
      <c r="BH90" s="268"/>
      <c r="BI90" s="268"/>
    </row>
    <row r="91" spans="1:61">
      <c r="A91" s="25" t="s">
        <v>1011</v>
      </c>
      <c r="B91" s="26" t="s">
        <v>211</v>
      </c>
      <c r="C91" s="26"/>
      <c r="D91" s="26"/>
      <c r="E91" s="27"/>
      <c r="F91" s="195">
        <f>SHF!F91</f>
        <v>13.233843093186028</v>
      </c>
      <c r="G91" s="211"/>
      <c r="H91" s="197"/>
      <c r="I91" s="195">
        <f>SHF!I91</f>
        <v>0</v>
      </c>
      <c r="J91" s="195">
        <f>SHF!J91</f>
        <v>0</v>
      </c>
      <c r="K91" s="289"/>
      <c r="L91" s="274"/>
      <c r="M91" s="268">
        <v>0</v>
      </c>
      <c r="N91" s="268">
        <v>0</v>
      </c>
      <c r="O91" s="268">
        <v>0</v>
      </c>
      <c r="P91" s="268">
        <v>0</v>
      </c>
      <c r="Q91" s="89"/>
      <c r="R91" s="376">
        <f>-0.3*0.75</f>
        <v>-0.22499999999999998</v>
      </c>
      <c r="S91" s="376">
        <f>-0.3*0.75</f>
        <v>-0.22499999999999998</v>
      </c>
      <c r="T91" s="376">
        <f>0.3*0.75</f>
        <v>0.22499999999999998</v>
      </c>
      <c r="U91" s="376">
        <f>0.3*0.75</f>
        <v>0.22499999999999998</v>
      </c>
      <c r="V91" s="376"/>
      <c r="W91" s="376">
        <f>-0.3*1.5</f>
        <v>-0.44999999999999996</v>
      </c>
      <c r="X91" s="376">
        <f>-0.3*1.5</f>
        <v>-0.44999999999999996</v>
      </c>
      <c r="Y91" s="376">
        <f>0.3*1.5</f>
        <v>0.44999999999999996</v>
      </c>
      <c r="Z91" s="376">
        <f>0.3*1.5</f>
        <v>0.44999999999999996</v>
      </c>
      <c r="AA91" s="376"/>
      <c r="AB91" s="376">
        <f>-0.3*1.5</f>
        <v>-0.44999999999999996</v>
      </c>
      <c r="AC91" s="376">
        <f>-0.3*1.5</f>
        <v>-0.44999999999999996</v>
      </c>
      <c r="AD91" s="376">
        <f>0.3*1.5</f>
        <v>0.44999999999999996</v>
      </c>
      <c r="AE91" s="376">
        <f>0.3*1.5</f>
        <v>0.44999999999999996</v>
      </c>
      <c r="AF91" s="376"/>
      <c r="AG91" s="376">
        <f>-0.3*1.5</f>
        <v>-0.44999999999999996</v>
      </c>
      <c r="AH91" s="376">
        <f>-0.3*1.5</f>
        <v>-0.44999999999999996</v>
      </c>
      <c r="AI91" s="376">
        <f>0.3*1.5</f>
        <v>0.44999999999999996</v>
      </c>
      <c r="AJ91" s="376">
        <f>0.3*1.5</f>
        <v>0.44999999999999996</v>
      </c>
      <c r="AK91" s="376"/>
      <c r="AL91" s="699">
        <v>0</v>
      </c>
      <c r="AM91" s="699">
        <v>0</v>
      </c>
      <c r="AN91" s="699">
        <v>0</v>
      </c>
      <c r="AO91" s="699">
        <v>0</v>
      </c>
      <c r="AP91" s="268"/>
      <c r="AQ91" s="699">
        <f>-0.3*0.75</f>
        <v>-0.22499999999999998</v>
      </c>
      <c r="AR91" s="699">
        <f>-0.3*0.75</f>
        <v>-0.22499999999999998</v>
      </c>
      <c r="AS91" s="699">
        <f>0.3*0.75</f>
        <v>0.22499999999999998</v>
      </c>
      <c r="AT91" s="699">
        <f>0.3*0.75</f>
        <v>0.22499999999999998</v>
      </c>
      <c r="AU91" s="268"/>
      <c r="AV91" s="268">
        <f>-0.3*1.5</f>
        <v>-0.44999999999999996</v>
      </c>
      <c r="AW91" s="268">
        <f>-0.3*1.5</f>
        <v>-0.44999999999999996</v>
      </c>
      <c r="AX91" s="268">
        <f>0.3*1.5</f>
        <v>0.44999999999999996</v>
      </c>
      <c r="AY91" s="268">
        <f>0.3*1.5</f>
        <v>0.44999999999999996</v>
      </c>
      <c r="AZ91" s="268"/>
      <c r="BA91" s="268">
        <f>-0.3*1.5</f>
        <v>-0.44999999999999996</v>
      </c>
      <c r="BB91" s="268">
        <f>-0.3*1.5</f>
        <v>-0.44999999999999996</v>
      </c>
      <c r="BC91" s="268">
        <f>0.3*1.5</f>
        <v>0.44999999999999996</v>
      </c>
      <c r="BD91" s="268">
        <f>0.3*1.5</f>
        <v>0.44999999999999996</v>
      </c>
      <c r="BE91" s="268"/>
      <c r="BF91" s="268">
        <f>-0.3*1.5</f>
        <v>-0.44999999999999996</v>
      </c>
      <c r="BG91" s="268">
        <f>-0.3*1.5</f>
        <v>-0.44999999999999996</v>
      </c>
      <c r="BH91" s="268">
        <f>0.3*1.5</f>
        <v>0.44999999999999996</v>
      </c>
      <c r="BI91" s="268">
        <f>0.3*1.5</f>
        <v>0.44999999999999996</v>
      </c>
    </row>
    <row r="92" spans="1:61">
      <c r="A92" s="69"/>
      <c r="B92" s="26"/>
      <c r="C92" s="26"/>
      <c r="D92" s="26"/>
      <c r="E92" s="27"/>
      <c r="F92" s="197"/>
      <c r="G92" s="211"/>
      <c r="H92" s="34"/>
      <c r="I92" s="197"/>
      <c r="J92" s="89"/>
      <c r="K92" s="289"/>
      <c r="L92" s="274"/>
      <c r="M92" s="268"/>
      <c r="N92" s="268"/>
      <c r="O92" s="268"/>
      <c r="P92" s="268"/>
      <c r="Q92" s="89"/>
      <c r="R92" s="268"/>
      <c r="S92" s="268"/>
      <c r="T92" s="268"/>
      <c r="U92" s="268"/>
      <c r="V92" s="268"/>
      <c r="W92" s="268"/>
      <c r="X92" s="268"/>
      <c r="Y92" s="268"/>
      <c r="Z92" s="268"/>
      <c r="AA92" s="268"/>
      <c r="AB92" s="268"/>
      <c r="AC92" s="268"/>
      <c r="AD92" s="268"/>
      <c r="AE92" s="268"/>
      <c r="AF92" s="268"/>
      <c r="AG92" s="268"/>
      <c r="AH92" s="268"/>
      <c r="AI92" s="268"/>
      <c r="AJ92" s="268"/>
      <c r="AK92" s="268"/>
      <c r="AL92" s="699"/>
      <c r="AM92" s="699"/>
      <c r="AN92" s="699"/>
      <c r="AO92" s="699"/>
      <c r="AP92" s="268"/>
      <c r="AQ92" s="699"/>
      <c r="AR92" s="699"/>
      <c r="AS92" s="699"/>
      <c r="AT92" s="699"/>
      <c r="AU92" s="268"/>
      <c r="AV92" s="268"/>
      <c r="AW92" s="268"/>
      <c r="AX92" s="268"/>
      <c r="AY92" s="268"/>
      <c r="AZ92" s="268"/>
      <c r="BA92" s="268"/>
      <c r="BB92" s="268"/>
      <c r="BC92" s="268"/>
      <c r="BD92" s="268"/>
      <c r="BE92" s="268"/>
      <c r="BF92" s="268"/>
      <c r="BG92" s="268"/>
      <c r="BH92" s="268"/>
      <c r="BI92" s="268"/>
    </row>
    <row r="93" spans="1:61">
      <c r="A93" s="69"/>
      <c r="B93" s="26"/>
      <c r="C93" s="26"/>
      <c r="D93" s="26"/>
      <c r="E93" s="27"/>
      <c r="F93" s="197"/>
      <c r="G93" s="211"/>
      <c r="H93" s="34"/>
      <c r="I93" s="197"/>
      <c r="J93" s="89"/>
      <c r="K93" s="289"/>
      <c r="L93" s="274"/>
      <c r="M93" s="268"/>
      <c r="N93" s="268"/>
      <c r="O93" s="268"/>
      <c r="P93" s="268"/>
      <c r="Q93" s="89"/>
      <c r="R93" s="268"/>
      <c r="S93" s="268"/>
      <c r="T93" s="268"/>
      <c r="U93" s="268"/>
      <c r="V93" s="268"/>
      <c r="W93" s="268"/>
      <c r="X93" s="268"/>
      <c r="Y93" s="268"/>
      <c r="Z93" s="268"/>
      <c r="AA93" s="268"/>
      <c r="AB93" s="268"/>
      <c r="AC93" s="268"/>
      <c r="AD93" s="268"/>
      <c r="AE93" s="268"/>
      <c r="AF93" s="268"/>
      <c r="AG93" s="268"/>
      <c r="AH93" s="268"/>
      <c r="AI93" s="268"/>
      <c r="AJ93" s="268"/>
      <c r="AK93" s="268"/>
      <c r="AL93" s="699"/>
      <c r="AM93" s="699"/>
      <c r="AN93" s="699"/>
      <c r="AO93" s="699"/>
      <c r="AP93" s="268"/>
      <c r="AQ93" s="699"/>
      <c r="AR93" s="699"/>
      <c r="AS93" s="699"/>
      <c r="AT93" s="699"/>
      <c r="AU93" s="268"/>
      <c r="AV93" s="268"/>
      <c r="AW93" s="268"/>
      <c r="AX93" s="268"/>
      <c r="AY93" s="268"/>
      <c r="AZ93" s="268"/>
      <c r="BA93" s="268"/>
      <c r="BB93" s="268"/>
      <c r="BC93" s="268"/>
      <c r="BD93" s="268"/>
      <c r="BE93" s="268"/>
      <c r="BF93" s="268"/>
      <c r="BG93" s="268"/>
      <c r="BH93" s="268"/>
      <c r="BI93" s="268"/>
    </row>
    <row r="94" spans="1:61">
      <c r="A94" s="686"/>
      <c r="B94" s="688"/>
      <c r="C94" s="688"/>
      <c r="D94" s="688"/>
      <c r="E94" s="689"/>
      <c r="F94" s="695"/>
      <c r="G94" s="621"/>
      <c r="H94" s="620"/>
      <c r="I94" s="695"/>
      <c r="J94" s="695"/>
      <c r="K94" s="289"/>
      <c r="L94" s="274"/>
      <c r="M94" s="376"/>
      <c r="N94" s="376"/>
      <c r="O94" s="376"/>
      <c r="P94" s="376"/>
      <c r="Q94" s="34"/>
      <c r="R94" s="376"/>
      <c r="S94" s="376"/>
      <c r="T94" s="376"/>
      <c r="U94" s="376"/>
      <c r="V94" s="376"/>
      <c r="W94" s="376"/>
      <c r="X94" s="376"/>
      <c r="Y94" s="376"/>
      <c r="Z94" s="376"/>
      <c r="AA94" s="376"/>
      <c r="AB94" s="376"/>
      <c r="AC94" s="376"/>
      <c r="AD94" s="376"/>
      <c r="AE94" s="376"/>
      <c r="AF94" s="376"/>
      <c r="AG94" s="376"/>
      <c r="AH94" s="376"/>
      <c r="AI94" s="376"/>
      <c r="AJ94" s="376"/>
      <c r="AK94" s="376"/>
      <c r="AL94" s="699"/>
      <c r="AM94" s="699"/>
      <c r="AN94" s="699"/>
      <c r="AO94" s="699"/>
      <c r="AP94" s="268"/>
      <c r="AQ94" s="699"/>
      <c r="AR94" s="699"/>
      <c r="AS94" s="699"/>
      <c r="AT94" s="699"/>
      <c r="AU94" s="268"/>
      <c r="AV94" s="268"/>
      <c r="AW94" s="268"/>
      <c r="AX94" s="268"/>
      <c r="AY94" s="268"/>
      <c r="AZ94" s="268"/>
      <c r="BA94" s="268"/>
      <c r="BB94" s="268"/>
      <c r="BC94" s="268"/>
      <c r="BD94" s="268"/>
      <c r="BE94" s="268"/>
      <c r="BF94" s="268"/>
      <c r="BG94" s="268"/>
      <c r="BH94" s="268"/>
      <c r="BI94" s="268"/>
    </row>
    <row r="95" spans="1:61">
      <c r="A95" s="25"/>
      <c r="B95" s="26"/>
      <c r="C95" s="26"/>
      <c r="D95" s="11"/>
      <c r="E95" s="191"/>
      <c r="F95" s="197"/>
      <c r="G95" s="211"/>
      <c r="H95" s="197"/>
      <c r="I95" s="197"/>
      <c r="J95" s="89"/>
      <c r="K95" s="289"/>
      <c r="L95" s="274"/>
      <c r="M95" s="376"/>
      <c r="N95" s="376"/>
      <c r="O95" s="376"/>
      <c r="P95" s="376"/>
      <c r="Q95" s="34"/>
      <c r="R95" s="376"/>
      <c r="S95" s="376"/>
      <c r="T95" s="376"/>
      <c r="U95" s="376"/>
      <c r="V95" s="376"/>
      <c r="W95" s="376"/>
      <c r="X95" s="376"/>
      <c r="Y95" s="376"/>
      <c r="Z95" s="376"/>
      <c r="AA95" s="376"/>
      <c r="AB95" s="376"/>
      <c r="AC95" s="376"/>
      <c r="AD95" s="376"/>
      <c r="AE95" s="376"/>
      <c r="AF95" s="376"/>
      <c r="AG95" s="376"/>
      <c r="AH95" s="376"/>
      <c r="AI95" s="376"/>
      <c r="AJ95" s="376"/>
      <c r="AK95" s="376"/>
      <c r="AL95" s="376"/>
      <c r="AM95" s="376"/>
      <c r="AN95" s="376"/>
      <c r="AO95" s="376"/>
      <c r="AP95" s="376"/>
      <c r="AQ95" s="700"/>
      <c r="AR95" s="700"/>
      <c r="AS95" s="700"/>
      <c r="AT95" s="700"/>
      <c r="AU95" s="376"/>
      <c r="AV95" s="376"/>
      <c r="AW95" s="376"/>
      <c r="AX95" s="376"/>
      <c r="AY95" s="376"/>
      <c r="AZ95" s="376"/>
      <c r="BA95" s="376"/>
      <c r="BB95" s="376"/>
      <c r="BC95" s="376"/>
      <c r="BD95" s="376"/>
      <c r="BE95" s="376"/>
      <c r="BF95" s="376"/>
      <c r="BG95" s="376"/>
      <c r="BH95" s="376"/>
      <c r="BI95" s="376"/>
    </row>
    <row r="96" spans="1:61">
      <c r="A96" s="253"/>
      <c r="B96" s="15"/>
      <c r="C96" s="15"/>
      <c r="D96" s="15"/>
      <c r="E96" s="22"/>
      <c r="F96" s="212"/>
      <c r="G96" s="213"/>
      <c r="H96" s="198"/>
      <c r="I96" s="198"/>
      <c r="J96" s="58"/>
      <c r="K96" s="74"/>
      <c r="L96" s="277"/>
      <c r="M96" s="379"/>
      <c r="N96" s="379"/>
      <c r="O96" s="379"/>
      <c r="P96" s="379"/>
      <c r="Q96" s="379"/>
      <c r="R96" s="379"/>
      <c r="S96" s="379"/>
      <c r="T96" s="379"/>
      <c r="U96" s="379"/>
      <c r="V96" s="379"/>
      <c r="W96" s="379"/>
      <c r="X96" s="379"/>
      <c r="Y96" s="379"/>
      <c r="Z96" s="379"/>
      <c r="AA96" s="379"/>
      <c r="AB96" s="379"/>
      <c r="AC96" s="379"/>
      <c r="AD96" s="379"/>
      <c r="AE96" s="379"/>
      <c r="AF96" s="379"/>
      <c r="AG96" s="379"/>
      <c r="AH96" s="379"/>
      <c r="AI96" s="379"/>
      <c r="AJ96" s="379"/>
      <c r="AK96" s="379"/>
      <c r="AL96" s="703"/>
      <c r="AM96" s="703"/>
      <c r="AN96" s="703"/>
      <c r="AO96" s="703"/>
      <c r="AP96" s="379"/>
      <c r="AQ96" s="703"/>
      <c r="AR96" s="703"/>
      <c r="AS96" s="703"/>
      <c r="AT96" s="703"/>
      <c r="AU96" s="379"/>
      <c r="AV96" s="379"/>
      <c r="AW96" s="379"/>
      <c r="AX96" s="379"/>
      <c r="AY96" s="379"/>
      <c r="AZ96" s="379"/>
      <c r="BA96" s="379"/>
      <c r="BB96" s="379"/>
      <c r="BC96" s="379"/>
      <c r="BD96" s="379"/>
      <c r="BE96" s="379"/>
      <c r="BF96" s="379"/>
      <c r="BG96" s="379"/>
      <c r="BH96" s="379"/>
      <c r="BI96" s="379"/>
    </row>
    <row r="97" spans="1:10">
      <c r="A97" s="46"/>
      <c r="B97" s="46"/>
      <c r="C97" s="46"/>
      <c r="D97" s="46"/>
      <c r="E97" s="46"/>
      <c r="F97" s="46"/>
      <c r="G97" s="46"/>
      <c r="H97" s="46"/>
      <c r="I97" s="46"/>
      <c r="J97" s="46"/>
    </row>
    <row r="98" spans="1:10">
      <c r="A98" s="220" t="s">
        <v>73</v>
      </c>
      <c r="B98" s="220" t="s">
        <v>74</v>
      </c>
      <c r="C98" s="200"/>
      <c r="D98" s="200"/>
      <c r="E98" s="217"/>
      <c r="F98" s="1636" t="s">
        <v>72</v>
      </c>
      <c r="G98" s="1637"/>
      <c r="H98" s="1637"/>
      <c r="I98" s="1637"/>
      <c r="J98" s="1638"/>
    </row>
    <row r="99" spans="1:10" ht="18">
      <c r="A99" s="221"/>
      <c r="B99" s="221"/>
      <c r="C99" s="201"/>
      <c r="D99" s="201"/>
      <c r="E99" s="219"/>
      <c r="F99" s="223" t="s">
        <v>23</v>
      </c>
      <c r="G99" s="223" t="s">
        <v>87</v>
      </c>
      <c r="H99" s="223" t="s">
        <v>212</v>
      </c>
      <c r="I99" s="223" t="s">
        <v>80</v>
      </c>
      <c r="J99" s="223" t="s">
        <v>81</v>
      </c>
    </row>
    <row r="100" spans="1:10">
      <c r="A100" s="222"/>
      <c r="B100" s="222"/>
      <c r="C100" s="203"/>
      <c r="D100" s="203"/>
      <c r="E100" s="218"/>
      <c r="F100" s="204" t="s">
        <v>34</v>
      </c>
      <c r="G100" s="204" t="s">
        <v>34</v>
      </c>
      <c r="H100" s="203" t="s">
        <v>34</v>
      </c>
      <c r="I100" s="204" t="s">
        <v>77</v>
      </c>
      <c r="J100" s="204" t="s">
        <v>77</v>
      </c>
    </row>
    <row r="101" spans="1:10">
      <c r="A101" s="202"/>
      <c r="B101" s="200"/>
      <c r="C101" s="200"/>
      <c r="D101" s="200"/>
      <c r="E101" s="217"/>
      <c r="F101" s="205"/>
      <c r="G101" s="205"/>
      <c r="H101" s="201"/>
      <c r="I101" s="205"/>
      <c r="J101" s="205"/>
    </row>
    <row r="102" spans="1:10">
      <c r="A102" s="205" t="str">
        <f>A10</f>
        <v>LC-1</v>
      </c>
      <c r="B102" s="201" t="str">
        <f>B10</f>
        <v>NS LWL Span dislodge case</v>
      </c>
      <c r="C102" s="201"/>
      <c r="D102" s="201"/>
      <c r="E102" s="219"/>
      <c r="F102" s="1054">
        <f>SUMPRODUCT(F13:F95,$M$13:$M$95)</f>
        <v>635.21210219751424</v>
      </c>
      <c r="G102" s="1055">
        <f>SUMPRODUCT(G13:G95,$M$13:$M$95)</f>
        <v>21.9495</v>
      </c>
      <c r="H102" s="1055">
        <f>SUMPRODUCT(H13:H95,$M$13:$M$95)</f>
        <v>0</v>
      </c>
      <c r="I102" s="1055">
        <f>SUMPRODUCT(I13:I95,$M$13:$M$95)</f>
        <v>337.43063500000005</v>
      </c>
      <c r="J102" s="1055">
        <f>SUMPRODUCT(J13:J95,$M$13:$M$95)</f>
        <v>0</v>
      </c>
    </row>
    <row r="103" spans="1:10">
      <c r="A103" s="204"/>
      <c r="B103" s="203"/>
      <c r="C103" s="203"/>
      <c r="D103" s="203"/>
      <c r="E103" s="218"/>
      <c r="F103" s="204"/>
      <c r="G103" s="204"/>
      <c r="H103" s="203"/>
      <c r="I103" s="204"/>
      <c r="J103" s="204"/>
    </row>
    <row r="105" spans="1:10">
      <c r="A105" s="112" t="str">
        <f>A102</f>
        <v>LC-1</v>
      </c>
      <c r="B105" s="112" t="str">
        <f>B102</f>
        <v>NS LWL Span dislodge case</v>
      </c>
      <c r="C105" s="11"/>
      <c r="D105" s="11"/>
      <c r="E105" s="191"/>
    </row>
  </sheetData>
  <mergeCells count="2">
    <mergeCell ref="F10:J10"/>
    <mergeCell ref="F98:J98"/>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codeName="Sheet37"/>
  <dimension ref="A1:L50"/>
  <sheetViews>
    <sheetView view="pageBreakPreview" zoomScaleSheetLayoutView="100" workbookViewId="0">
      <selection activeCell="F9" sqref="F9"/>
    </sheetView>
  </sheetViews>
  <sheetFormatPr defaultColWidth="7.7109375" defaultRowHeight="15"/>
  <cols>
    <col min="1" max="2" width="7.7109375" style="1"/>
    <col min="3" max="3" width="7.7109375" style="1" customWidth="1"/>
    <col min="4" max="16384" width="7.7109375" style="1"/>
  </cols>
  <sheetData>
    <row r="1" spans="1:12">
      <c r="A1" s="1" t="s">
        <v>1517</v>
      </c>
    </row>
    <row r="2" spans="1:12">
      <c r="A2" s="1" t="s">
        <v>329</v>
      </c>
      <c r="B2" s="1" t="s">
        <v>1</v>
      </c>
      <c r="C2" s="63">
        <v>35</v>
      </c>
      <c r="D2" s="1" t="s">
        <v>293</v>
      </c>
      <c r="E2" s="1" t="s">
        <v>1373</v>
      </c>
    </row>
    <row r="4" spans="1:12">
      <c r="A4" s="1" t="s">
        <v>349</v>
      </c>
      <c r="B4" s="1" t="s">
        <v>1</v>
      </c>
      <c r="C4" s="63">
        <v>45</v>
      </c>
      <c r="D4" s="1" t="s">
        <v>293</v>
      </c>
    </row>
    <row r="6" spans="1:12">
      <c r="A6" s="1" t="s">
        <v>134</v>
      </c>
      <c r="B6" s="1" t="s">
        <v>1</v>
      </c>
      <c r="C6" s="63">
        <v>25550</v>
      </c>
      <c r="D6" s="1" t="s">
        <v>1374</v>
      </c>
    </row>
    <row r="7" spans="1:12">
      <c r="A7" s="1" t="s">
        <v>1375</v>
      </c>
      <c r="B7" s="1" t="s">
        <v>1</v>
      </c>
      <c r="C7" s="63">
        <v>90</v>
      </c>
      <c r="D7" s="1" t="s">
        <v>1374</v>
      </c>
    </row>
    <row r="9" spans="1:12" ht="18">
      <c r="A9" s="1" t="s">
        <v>1376</v>
      </c>
      <c r="B9" s="1" t="s">
        <v>1</v>
      </c>
      <c r="C9" s="1" t="s">
        <v>1377</v>
      </c>
    </row>
    <row r="11" spans="1:12" ht="18">
      <c r="A11" s="1" t="s">
        <v>1378</v>
      </c>
      <c r="B11" s="1" t="s">
        <v>1</v>
      </c>
      <c r="C11" s="1" t="s">
        <v>1379</v>
      </c>
    </row>
    <row r="13" spans="1:12" ht="18">
      <c r="A13" s="1" t="s">
        <v>1380</v>
      </c>
      <c r="B13" s="1" t="s">
        <v>1</v>
      </c>
      <c r="C13" s="1">
        <v>1</v>
      </c>
      <c r="D13" s="1" t="s">
        <v>54</v>
      </c>
      <c r="E13" s="1588" t="s">
        <v>1381</v>
      </c>
      <c r="F13" s="1588"/>
      <c r="I13" s="1" t="s">
        <v>1382</v>
      </c>
      <c r="J13" s="325" t="s">
        <v>355</v>
      </c>
      <c r="K13" s="4">
        <v>45</v>
      </c>
      <c r="L13" s="1" t="s">
        <v>293</v>
      </c>
    </row>
    <row r="14" spans="1:12" ht="17.25">
      <c r="E14" s="1589" t="s">
        <v>1383</v>
      </c>
      <c r="F14" s="1589"/>
      <c r="J14" s="528"/>
    </row>
    <row r="15" spans="1:12">
      <c r="J15" s="528"/>
    </row>
    <row r="16" spans="1:12">
      <c r="C16" s="1">
        <v>1</v>
      </c>
      <c r="D16" s="1" t="s">
        <v>54</v>
      </c>
      <c r="E16" s="1588" t="s">
        <v>1381</v>
      </c>
      <c r="F16" s="1588"/>
      <c r="G16" s="1590" t="s">
        <v>1384</v>
      </c>
      <c r="H16" s="1590" t="s">
        <v>1385</v>
      </c>
      <c r="I16" s="1" t="s">
        <v>1382</v>
      </c>
      <c r="J16" s="325" t="s">
        <v>357</v>
      </c>
      <c r="K16" s="4">
        <v>45</v>
      </c>
      <c r="L16" s="1" t="s">
        <v>293</v>
      </c>
    </row>
    <row r="17" spans="1:8" ht="17.25">
      <c r="E17" s="1589" t="s">
        <v>1383</v>
      </c>
      <c r="F17" s="1589"/>
      <c r="G17" s="1590"/>
      <c r="H17" s="1590"/>
    </row>
    <row r="19" spans="1:8">
      <c r="A19" s="1" t="s">
        <v>1386</v>
      </c>
      <c r="B19" s="1" t="s">
        <v>1</v>
      </c>
      <c r="C19" s="1" t="s">
        <v>448</v>
      </c>
    </row>
    <row r="20" spans="1:8">
      <c r="B20" s="1" t="s">
        <v>1</v>
      </c>
      <c r="C20" s="63">
        <v>45</v>
      </c>
      <c r="D20" s="1" t="s">
        <v>360</v>
      </c>
    </row>
    <row r="22" spans="1:8">
      <c r="A22" s="1" t="s">
        <v>1387</v>
      </c>
      <c r="B22" s="1" t="s">
        <v>1</v>
      </c>
      <c r="C22" s="956">
        <v>1046.8544135195714</v>
      </c>
      <c r="D22" s="1" t="s">
        <v>5</v>
      </c>
    </row>
    <row r="24" spans="1:8" ht="18.75">
      <c r="A24" s="1" t="s">
        <v>1388</v>
      </c>
      <c r="B24" s="1" t="s">
        <v>1</v>
      </c>
      <c r="C24" s="1" t="s">
        <v>1389</v>
      </c>
      <c r="F24" s="1" t="s">
        <v>1</v>
      </c>
      <c r="G24" s="1">
        <v>0.980473545946276</v>
      </c>
    </row>
    <row r="26" spans="1:8" ht="18">
      <c r="A26" s="323" t="s">
        <v>1390</v>
      </c>
      <c r="B26" s="1" t="s">
        <v>1</v>
      </c>
      <c r="C26" s="1" t="s">
        <v>1391</v>
      </c>
      <c r="F26" s="1" t="s">
        <v>1</v>
      </c>
      <c r="G26" s="1">
        <v>0.99438166680630102</v>
      </c>
    </row>
    <row r="28" spans="1:8" ht="18">
      <c r="A28" s="62" t="s">
        <v>1392</v>
      </c>
      <c r="B28" s="62" t="s">
        <v>1</v>
      </c>
      <c r="C28" s="62">
        <v>1.5416689317863739</v>
      </c>
      <c r="D28" s="62"/>
    </row>
    <row r="30" spans="1:8" ht="18">
      <c r="A30" s="1" t="s">
        <v>1393</v>
      </c>
      <c r="B30" s="1" t="s">
        <v>1</v>
      </c>
      <c r="C30" s="1" t="s">
        <v>1394</v>
      </c>
      <c r="E30" s="62" t="s">
        <v>1</v>
      </c>
      <c r="F30" s="62">
        <v>2.7995571078297368</v>
      </c>
    </row>
    <row r="32" spans="1:8" ht="18.75">
      <c r="A32" s="1" t="s">
        <v>1395</v>
      </c>
      <c r="B32" s="1" t="s">
        <v>1</v>
      </c>
      <c r="C32" s="1" t="s">
        <v>1396</v>
      </c>
      <c r="E32" s="62" t="s">
        <v>1</v>
      </c>
      <c r="F32" s="62">
        <v>0.3906998608634395</v>
      </c>
    </row>
    <row r="34" spans="1:12" ht="18">
      <c r="A34" s="30" t="s">
        <v>1378</v>
      </c>
      <c r="B34" s="31" t="s">
        <v>1</v>
      </c>
      <c r="C34" s="31">
        <v>1.686256776841198</v>
      </c>
      <c r="D34" s="32"/>
    </row>
    <row r="36" spans="1:12" ht="18.75">
      <c r="A36" s="1" t="s">
        <v>1397</v>
      </c>
      <c r="B36" s="1" t="s">
        <v>1</v>
      </c>
      <c r="C36" s="1" t="s">
        <v>1398</v>
      </c>
    </row>
    <row r="38" spans="1:12" ht="18.75">
      <c r="A38" s="1" t="s">
        <v>1399</v>
      </c>
      <c r="B38" s="1" t="s">
        <v>1</v>
      </c>
      <c r="C38" s="1" t="s">
        <v>425</v>
      </c>
      <c r="D38" s="1" t="s">
        <v>1400</v>
      </c>
      <c r="I38" s="1" t="s">
        <v>1382</v>
      </c>
      <c r="J38" s="325" t="s">
        <v>355</v>
      </c>
      <c r="K38" s="6">
        <v>35</v>
      </c>
      <c r="L38" s="1" t="s">
        <v>293</v>
      </c>
    </row>
    <row r="39" spans="1:12">
      <c r="D39" s="1">
        <v>1500</v>
      </c>
      <c r="K39" s="528"/>
    </row>
    <row r="40" spans="1:12">
      <c r="K40" s="528"/>
    </row>
    <row r="41" spans="1:12" ht="18.75">
      <c r="C41" s="1" t="s">
        <v>425</v>
      </c>
      <c r="D41" s="1" t="s">
        <v>1401</v>
      </c>
      <c r="I41" s="1" t="s">
        <v>1382</v>
      </c>
      <c r="J41" s="325" t="s">
        <v>357</v>
      </c>
      <c r="K41" s="6">
        <v>35</v>
      </c>
      <c r="L41" s="1" t="s">
        <v>293</v>
      </c>
    </row>
    <row r="42" spans="1:12" ht="18">
      <c r="D42" s="1" t="s">
        <v>1402</v>
      </c>
    </row>
    <row r="44" spans="1:12" ht="18">
      <c r="A44" s="323" t="s">
        <v>1390</v>
      </c>
      <c r="B44" s="1" t="s">
        <v>1</v>
      </c>
      <c r="C44" s="1" t="s">
        <v>1403</v>
      </c>
      <c r="F44" s="1" t="s">
        <v>1</v>
      </c>
      <c r="G44" s="41">
        <v>0.98601329718326935</v>
      </c>
    </row>
    <row r="46" spans="1:12" ht="18">
      <c r="A46" s="1" t="s">
        <v>1399</v>
      </c>
      <c r="B46" s="1" t="s">
        <v>1</v>
      </c>
      <c r="C46" s="1">
        <v>1479.019945774904</v>
      </c>
    </row>
    <row r="48" spans="1:12" ht="18">
      <c r="A48" s="30" t="s">
        <v>1397</v>
      </c>
      <c r="B48" s="31" t="s">
        <v>1</v>
      </c>
      <c r="C48" s="957">
        <v>0.98320251829019845</v>
      </c>
      <c r="D48" s="32"/>
    </row>
    <row r="50" spans="1:4">
      <c r="A50" s="42" t="s">
        <v>1404</v>
      </c>
      <c r="B50" s="44" t="s">
        <v>1</v>
      </c>
      <c r="C50" s="958">
        <v>1.6579319094741791</v>
      </c>
      <c r="D50" s="80"/>
    </row>
  </sheetData>
  <mergeCells count="6">
    <mergeCell ref="E13:F13"/>
    <mergeCell ref="E14:F14"/>
    <mergeCell ref="E16:F16"/>
    <mergeCell ref="G16:G17"/>
    <mergeCell ref="H16:H17"/>
    <mergeCell ref="E17:F17"/>
  </mergeCells>
  <pageMargins left="0.70866141732283472" right="0.70866141732283472" top="0.74803149606299213" bottom="0.74803149606299213" header="0.31496062992125984" footer="0.31496062992125984"/>
  <pageSetup paperSize="9" scale="76" orientation="portrait" blackAndWhite="1" r:id="rId1"/>
  <drawing r:id="rId2"/>
</worksheet>
</file>

<file path=xl/worksheets/sheet40.xml><?xml version="1.0" encoding="utf-8"?>
<worksheet xmlns="http://schemas.openxmlformats.org/spreadsheetml/2006/main" xmlns:r="http://schemas.openxmlformats.org/officeDocument/2006/relationships">
  <sheetPr codeName="Sheet51">
    <tabColor theme="5" tint="0.39997558519241921"/>
  </sheetPr>
  <dimension ref="A1:M1328"/>
  <sheetViews>
    <sheetView view="pageBreakPreview" topLeftCell="A343" zoomScaleSheetLayoutView="100" workbookViewId="0">
      <selection activeCell="M33" sqref="M33"/>
    </sheetView>
  </sheetViews>
  <sheetFormatPr defaultRowHeight="15"/>
  <sheetData>
    <row r="1" spans="1:13">
      <c r="A1" t="s">
        <v>1821</v>
      </c>
    </row>
    <row r="2" spans="1:13">
      <c r="A2" t="s">
        <v>1823</v>
      </c>
    </row>
    <row r="3" spans="1:13">
      <c r="A3" t="s">
        <v>221</v>
      </c>
    </row>
    <row r="5" spans="1:13">
      <c r="A5" s="1"/>
      <c r="B5" s="1"/>
      <c r="C5" s="1"/>
      <c r="D5" s="1"/>
      <c r="E5" s="1"/>
      <c r="F5" s="1"/>
      <c r="G5" s="1"/>
      <c r="H5" s="1"/>
      <c r="I5" s="1"/>
      <c r="J5" s="1"/>
      <c r="K5" s="1"/>
      <c r="L5" s="1"/>
      <c r="M5" s="1"/>
    </row>
    <row r="6" spans="1:13">
      <c r="A6" s="1"/>
      <c r="B6" s="1"/>
      <c r="C6" s="1"/>
      <c r="D6" s="1"/>
      <c r="E6" s="1"/>
      <c r="F6" s="1"/>
      <c r="G6" s="1"/>
      <c r="H6" s="1"/>
      <c r="I6" s="1"/>
      <c r="J6" s="1"/>
      <c r="K6" s="1"/>
      <c r="L6" s="1"/>
      <c r="M6" s="1"/>
    </row>
    <row r="7" spans="1:13">
      <c r="A7" s="225" t="str">
        <f>M7</f>
        <v>LC-1</v>
      </c>
      <c r="B7" s="24" t="str">
        <f>VLOOKUP(A7,LC_DEF_2!A3:B42,2,FALSE)</f>
        <v>NS LWL Span dislodge case</v>
      </c>
      <c r="C7" s="24"/>
      <c r="D7" s="24"/>
      <c r="E7" s="21"/>
      <c r="F7" s="1599" t="s">
        <v>742</v>
      </c>
      <c r="G7" s="1635"/>
      <c r="H7" s="1635"/>
      <c r="I7" s="1635"/>
      <c r="J7" s="1600"/>
      <c r="K7" s="73"/>
      <c r="L7" s="272"/>
      <c r="M7" s="384" t="s">
        <v>122</v>
      </c>
    </row>
    <row r="8" spans="1:13" ht="18">
      <c r="A8" s="25" t="s">
        <v>73</v>
      </c>
      <c r="B8" s="26" t="s">
        <v>74</v>
      </c>
      <c r="C8" s="26"/>
      <c r="D8" s="26"/>
      <c r="E8" s="27"/>
      <c r="F8" s="33" t="s">
        <v>23</v>
      </c>
      <c r="G8" s="33" t="s">
        <v>87</v>
      </c>
      <c r="H8" s="33" t="s">
        <v>212</v>
      </c>
      <c r="I8" s="33" t="s">
        <v>80</v>
      </c>
      <c r="J8" s="33" t="s">
        <v>81</v>
      </c>
      <c r="K8" s="273"/>
      <c r="L8" s="274"/>
      <c r="M8" s="376"/>
    </row>
    <row r="9" spans="1:13">
      <c r="A9" s="25"/>
      <c r="B9" s="26"/>
      <c r="C9" s="26"/>
      <c r="D9" s="26"/>
      <c r="E9" s="27"/>
      <c r="F9" s="36" t="s">
        <v>34</v>
      </c>
      <c r="G9" s="36" t="s">
        <v>34</v>
      </c>
      <c r="H9" s="36" t="s">
        <v>34</v>
      </c>
      <c r="I9" s="36" t="s">
        <v>77</v>
      </c>
      <c r="J9" s="36" t="s">
        <v>77</v>
      </c>
      <c r="K9" s="74"/>
      <c r="L9" s="277"/>
      <c r="M9" s="655"/>
    </row>
    <row r="10" spans="1:13">
      <c r="A10" s="25" t="s">
        <v>88</v>
      </c>
      <c r="B10" s="26" t="s">
        <v>75</v>
      </c>
      <c r="C10" s="26"/>
      <c r="D10" s="26"/>
      <c r="E10" s="27"/>
      <c r="F10" s="195">
        <f>SHF!F14</f>
        <v>165.42303866482536</v>
      </c>
      <c r="G10" s="210"/>
      <c r="H10" s="34"/>
      <c r="I10" s="195">
        <f>SHF!I14</f>
        <v>0</v>
      </c>
      <c r="J10" s="195">
        <f>SHF!J14</f>
        <v>0</v>
      </c>
      <c r="K10" s="273"/>
      <c r="L10" s="274"/>
      <c r="M10" s="268">
        <v>1.35</v>
      </c>
    </row>
    <row r="11" spans="1:13">
      <c r="A11" s="25" t="s">
        <v>250</v>
      </c>
      <c r="B11" s="26" t="s">
        <v>970</v>
      </c>
      <c r="C11" s="26"/>
      <c r="D11" s="26"/>
      <c r="E11" s="27"/>
      <c r="F11" s="195">
        <f>SHF!F21</f>
        <v>230</v>
      </c>
      <c r="G11" s="210"/>
      <c r="H11" s="34"/>
      <c r="I11" s="195">
        <f>SHF!I21</f>
        <v>115</v>
      </c>
      <c r="J11" s="195">
        <f>SHF!J21</f>
        <v>0</v>
      </c>
      <c r="K11" s="273"/>
      <c r="L11" s="274"/>
      <c r="M11" s="376">
        <v>1.35</v>
      </c>
    </row>
    <row r="12" spans="1:13">
      <c r="A12" s="25" t="s">
        <v>251</v>
      </c>
      <c r="B12" s="26" t="s">
        <v>971</v>
      </c>
      <c r="C12" s="26"/>
      <c r="D12" s="26"/>
      <c r="E12" s="27"/>
      <c r="F12" s="195">
        <f>SHF!F22</f>
        <v>20.660000000000004</v>
      </c>
      <c r="G12" s="210"/>
      <c r="H12" s="34"/>
      <c r="I12" s="195">
        <f>SHF!I22</f>
        <v>10.330000000000002</v>
      </c>
      <c r="J12" s="195">
        <f>SHF!J22</f>
        <v>0</v>
      </c>
      <c r="K12" s="273"/>
      <c r="L12" s="274"/>
      <c r="M12" s="376">
        <v>1.35</v>
      </c>
    </row>
    <row r="13" spans="1:13">
      <c r="A13" s="25" t="s">
        <v>97</v>
      </c>
      <c r="B13" s="26" t="s">
        <v>972</v>
      </c>
      <c r="C13" s="26"/>
      <c r="D13" s="26"/>
      <c r="E13" s="27"/>
      <c r="F13" s="195">
        <f>SHF!F23</f>
        <v>42</v>
      </c>
      <c r="G13" s="210"/>
      <c r="H13" s="34"/>
      <c r="I13" s="195">
        <f>SHF!I23</f>
        <v>14.858499999999999</v>
      </c>
      <c r="J13" s="195">
        <f>SHF!J23</f>
        <v>0</v>
      </c>
      <c r="K13" s="273"/>
      <c r="L13" s="274"/>
      <c r="M13" s="376">
        <v>1.75</v>
      </c>
    </row>
    <row r="14" spans="1:13">
      <c r="A14" s="25" t="s">
        <v>987</v>
      </c>
      <c r="B14" s="163" t="s">
        <v>957</v>
      </c>
      <c r="C14" s="26"/>
      <c r="D14" s="26"/>
      <c r="E14" s="27"/>
      <c r="F14" s="34"/>
      <c r="G14" s="195">
        <f>SHF!G38</f>
        <v>14.632999999999999</v>
      </c>
      <c r="H14" s="34"/>
      <c r="I14" s="195">
        <f>SHF!I38</f>
        <v>94.821840000000009</v>
      </c>
      <c r="J14" s="34"/>
      <c r="K14" s="273"/>
      <c r="L14" s="274"/>
      <c r="M14" s="376">
        <v>1.5</v>
      </c>
    </row>
    <row r="15" spans="1:13">
      <c r="A15" s="253"/>
      <c r="B15" s="15"/>
      <c r="C15" s="15"/>
      <c r="D15" s="15"/>
      <c r="E15" s="22"/>
      <c r="F15" s="212"/>
      <c r="G15" s="213"/>
      <c r="H15" s="198"/>
      <c r="I15" s="198"/>
      <c r="J15" s="58"/>
      <c r="K15" s="74"/>
      <c r="L15" s="277"/>
      <c r="M15" s="379"/>
    </row>
    <row r="16" spans="1:13">
      <c r="A16" s="46"/>
      <c r="B16" s="46"/>
      <c r="C16" s="46"/>
      <c r="D16" s="46"/>
      <c r="E16" s="46"/>
      <c r="F16" s="46"/>
      <c r="G16" s="46"/>
      <c r="H16" s="46"/>
      <c r="I16" s="46"/>
      <c r="J16" s="46"/>
      <c r="K16" s="116"/>
      <c r="L16" s="270"/>
      <c r="M16" s="87"/>
    </row>
    <row r="17" spans="1:13">
      <c r="A17" s="220" t="s">
        <v>73</v>
      </c>
      <c r="B17" s="220" t="s">
        <v>74</v>
      </c>
      <c r="C17" s="200"/>
      <c r="D17" s="200"/>
      <c r="E17" s="217"/>
      <c r="F17" s="1636" t="s">
        <v>72</v>
      </c>
      <c r="G17" s="1637"/>
      <c r="H17" s="1637"/>
      <c r="I17" s="1637"/>
      <c r="J17" s="1638"/>
      <c r="K17" s="116"/>
      <c r="L17" s="270"/>
      <c r="M17" s="87"/>
    </row>
    <row r="18" spans="1:13" ht="18">
      <c r="A18" s="221"/>
      <c r="B18" s="221"/>
      <c r="C18" s="201"/>
      <c r="D18" s="201"/>
      <c r="E18" s="219"/>
      <c r="F18" s="223" t="s">
        <v>23</v>
      </c>
      <c r="G18" s="223" t="s">
        <v>87</v>
      </c>
      <c r="H18" s="223" t="s">
        <v>212</v>
      </c>
      <c r="I18" s="223" t="s">
        <v>80</v>
      </c>
      <c r="J18" s="223" t="s">
        <v>81</v>
      </c>
      <c r="K18" s="116"/>
      <c r="L18" s="270"/>
      <c r="M18" s="87"/>
    </row>
    <row r="19" spans="1:13">
      <c r="A19" s="222"/>
      <c r="B19" s="222"/>
      <c r="C19" s="203"/>
      <c r="D19" s="203"/>
      <c r="E19" s="218"/>
      <c r="F19" s="204" t="s">
        <v>34</v>
      </c>
      <c r="G19" s="204" t="s">
        <v>34</v>
      </c>
      <c r="H19" s="203" t="s">
        <v>34</v>
      </c>
      <c r="I19" s="204" t="s">
        <v>77</v>
      </c>
      <c r="J19" s="204" t="s">
        <v>77</v>
      </c>
      <c r="K19" s="116"/>
      <c r="L19" s="270"/>
      <c r="M19" s="87"/>
    </row>
    <row r="20" spans="1:13">
      <c r="A20" s="202"/>
      <c r="B20" s="200"/>
      <c r="C20" s="200"/>
      <c r="D20" s="200"/>
      <c r="E20" s="217"/>
      <c r="F20" s="205"/>
      <c r="G20" s="205"/>
      <c r="H20" s="201"/>
      <c r="I20" s="205"/>
      <c r="J20" s="205"/>
      <c r="K20" s="116"/>
      <c r="L20" s="270"/>
      <c r="M20" s="87"/>
    </row>
    <row r="21" spans="1:13">
      <c r="A21" s="205" t="str">
        <f>A7</f>
        <v>LC-1</v>
      </c>
      <c r="B21" s="201" t="str">
        <f>B7</f>
        <v>NS LWL Span dislodge case</v>
      </c>
      <c r="C21" s="201"/>
      <c r="D21" s="201"/>
      <c r="E21" s="219"/>
      <c r="F21" s="1054">
        <f>SUMPRODUCT(F10:F14,$M$10:$M$14)</f>
        <v>635.21210219751424</v>
      </c>
      <c r="G21" s="1055">
        <f>SUMPRODUCT(G10:G14,$M$10:$M$14)</f>
        <v>21.9495</v>
      </c>
      <c r="H21" s="1055">
        <f>SUMPRODUCT(H10:H14,$M$10:$M$14)</f>
        <v>0</v>
      </c>
      <c r="I21" s="1055">
        <f>SUMPRODUCT(I10:I14,$M$10:$M$14)</f>
        <v>337.43063500000005</v>
      </c>
      <c r="J21" s="1055">
        <f>SUMPRODUCT(J10:J14,$M$10:$M$14)</f>
        <v>0</v>
      </c>
      <c r="K21" s="116"/>
      <c r="L21" s="270"/>
      <c r="M21" s="87"/>
    </row>
    <row r="22" spans="1:13">
      <c r="A22" s="204"/>
      <c r="B22" s="203"/>
      <c r="C22" s="203"/>
      <c r="D22" s="203"/>
      <c r="E22" s="218"/>
      <c r="F22" s="204"/>
      <c r="G22" s="204"/>
      <c r="H22" s="203"/>
      <c r="I22" s="204"/>
      <c r="J22" s="204"/>
      <c r="K22" s="116"/>
      <c r="L22" s="270"/>
      <c r="M22" s="87"/>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225" t="str">
        <f>M25</f>
        <v>LC-2</v>
      </c>
      <c r="B25" s="24" t="str">
        <f>VLOOKUP(A25,LC_DEF_2!A3:B42,2,FALSE)</f>
        <v>NS LWL No Live load</v>
      </c>
      <c r="C25" s="24"/>
      <c r="D25" s="24"/>
      <c r="E25" s="21"/>
      <c r="F25" s="1599" t="s">
        <v>742</v>
      </c>
      <c r="G25" s="1635"/>
      <c r="H25" s="1635"/>
      <c r="I25" s="1635"/>
      <c r="J25" s="1600"/>
      <c r="K25" s="73"/>
      <c r="L25" s="272"/>
      <c r="M25" s="384" t="s">
        <v>123</v>
      </c>
    </row>
    <row r="26" spans="1:13" ht="18">
      <c r="A26" s="25" t="s">
        <v>73</v>
      </c>
      <c r="B26" s="26" t="s">
        <v>74</v>
      </c>
      <c r="C26" s="26"/>
      <c r="D26" s="26"/>
      <c r="E26" s="27"/>
      <c r="F26" s="33" t="s">
        <v>23</v>
      </c>
      <c r="G26" s="33" t="s">
        <v>87</v>
      </c>
      <c r="H26" s="33" t="s">
        <v>212</v>
      </c>
      <c r="I26" s="33" t="s">
        <v>80</v>
      </c>
      <c r="J26" s="33" t="s">
        <v>81</v>
      </c>
      <c r="K26" s="273"/>
      <c r="L26" s="274"/>
      <c r="M26" s="376"/>
    </row>
    <row r="27" spans="1:13">
      <c r="A27" s="25"/>
      <c r="B27" s="26"/>
      <c r="C27" s="26"/>
      <c r="D27" s="26"/>
      <c r="E27" s="27"/>
      <c r="F27" s="36" t="s">
        <v>34</v>
      </c>
      <c r="G27" s="36" t="s">
        <v>34</v>
      </c>
      <c r="H27" s="36" t="s">
        <v>34</v>
      </c>
      <c r="I27" s="36" t="s">
        <v>77</v>
      </c>
      <c r="J27" s="36" t="s">
        <v>77</v>
      </c>
      <c r="K27" s="74"/>
      <c r="L27" s="277"/>
      <c r="M27" s="655"/>
    </row>
    <row r="28" spans="1:13">
      <c r="A28" s="25" t="s">
        <v>88</v>
      </c>
      <c r="B28" s="26" t="s">
        <v>75</v>
      </c>
      <c r="C28" s="26"/>
      <c r="D28" s="26"/>
      <c r="E28" s="27"/>
      <c r="F28" s="195">
        <f>SHF!F14</f>
        <v>165.42303866482536</v>
      </c>
      <c r="G28" s="210"/>
      <c r="H28" s="34"/>
      <c r="I28" s="195">
        <f>SHF!I14</f>
        <v>0</v>
      </c>
      <c r="J28" s="195">
        <f>SHF!J14</f>
        <v>0</v>
      </c>
      <c r="K28" s="273"/>
      <c r="L28" s="274"/>
      <c r="M28" s="268">
        <v>1.35</v>
      </c>
    </row>
    <row r="29" spans="1:13">
      <c r="A29" s="25" t="s">
        <v>250</v>
      </c>
      <c r="B29" s="26" t="s">
        <v>967</v>
      </c>
      <c r="C29" s="26"/>
      <c r="D29" s="26"/>
      <c r="E29" s="27"/>
      <c r="F29" s="195">
        <f>SHF!F17</f>
        <v>230</v>
      </c>
      <c r="G29" s="210"/>
      <c r="H29" s="34"/>
      <c r="I29" s="195">
        <f>SHF!I17</f>
        <v>-115</v>
      </c>
      <c r="J29" s="195">
        <f>SHF!J17</f>
        <v>0</v>
      </c>
      <c r="K29" s="273"/>
      <c r="L29" s="274"/>
      <c r="M29" s="268">
        <v>1.35</v>
      </c>
    </row>
    <row r="30" spans="1:13">
      <c r="A30" s="25" t="s">
        <v>251</v>
      </c>
      <c r="B30" s="26" t="s">
        <v>968</v>
      </c>
      <c r="C30" s="26"/>
      <c r="D30" s="26"/>
      <c r="E30" s="27"/>
      <c r="F30" s="195">
        <f>SHF!F18</f>
        <v>20.660000000000004</v>
      </c>
      <c r="G30" s="210"/>
      <c r="H30" s="34"/>
      <c r="I30" s="195">
        <f>SHF!I18</f>
        <v>-10.330000000000002</v>
      </c>
      <c r="J30" s="195">
        <f>SHF!J18</f>
        <v>0</v>
      </c>
      <c r="K30" s="273"/>
      <c r="L30" s="274"/>
      <c r="M30" s="268">
        <v>1.35</v>
      </c>
    </row>
    <row r="31" spans="1:13">
      <c r="A31" s="25" t="s">
        <v>97</v>
      </c>
      <c r="B31" s="26" t="s">
        <v>969</v>
      </c>
      <c r="C31" s="26"/>
      <c r="D31" s="26"/>
      <c r="E31" s="27"/>
      <c r="F31" s="195">
        <f>SHF!F19</f>
        <v>42</v>
      </c>
      <c r="G31" s="210"/>
      <c r="H31" s="34"/>
      <c r="I31" s="195">
        <f>SHF!I19</f>
        <v>-14.858499999999999</v>
      </c>
      <c r="J31" s="195">
        <f>SHF!J19</f>
        <v>0</v>
      </c>
      <c r="K31" s="273"/>
      <c r="L31" s="274"/>
      <c r="M31" s="268">
        <v>1.35</v>
      </c>
    </row>
    <row r="32" spans="1:13">
      <c r="A32" s="25" t="s">
        <v>250</v>
      </c>
      <c r="B32" s="26" t="s">
        <v>970</v>
      </c>
      <c r="C32" s="26"/>
      <c r="D32" s="26"/>
      <c r="E32" s="27"/>
      <c r="F32" s="195">
        <f>SHF!F21</f>
        <v>230</v>
      </c>
      <c r="G32" s="210"/>
      <c r="H32" s="34"/>
      <c r="I32" s="195">
        <f>SHF!I21</f>
        <v>115</v>
      </c>
      <c r="J32" s="195">
        <f>SHF!J21</f>
        <v>0</v>
      </c>
      <c r="K32" s="273"/>
      <c r="L32" s="274"/>
      <c r="M32" s="376">
        <v>1.35</v>
      </c>
    </row>
    <row r="33" spans="1:13">
      <c r="A33" s="25" t="s">
        <v>251</v>
      </c>
      <c r="B33" s="26" t="s">
        <v>971</v>
      </c>
      <c r="C33" s="26"/>
      <c r="D33" s="26"/>
      <c r="E33" s="27"/>
      <c r="F33" s="195">
        <f>SHF!F22</f>
        <v>20.660000000000004</v>
      </c>
      <c r="G33" s="210"/>
      <c r="H33" s="34"/>
      <c r="I33" s="195">
        <f>SHF!I22</f>
        <v>10.330000000000002</v>
      </c>
      <c r="J33" s="195">
        <f>SHF!J22</f>
        <v>0</v>
      </c>
      <c r="K33" s="273"/>
      <c r="L33" s="274"/>
      <c r="M33" s="376">
        <v>1.35</v>
      </c>
    </row>
    <row r="34" spans="1:13">
      <c r="A34" s="25" t="s">
        <v>97</v>
      </c>
      <c r="B34" s="26" t="s">
        <v>972</v>
      </c>
      <c r="C34" s="26"/>
      <c r="D34" s="26"/>
      <c r="E34" s="27"/>
      <c r="F34" s="195">
        <f>SHF!F23</f>
        <v>42</v>
      </c>
      <c r="G34" s="210"/>
      <c r="H34" s="34"/>
      <c r="I34" s="195">
        <f>SHF!I23</f>
        <v>14.858499999999999</v>
      </c>
      <c r="J34" s="195">
        <f>SHF!J23</f>
        <v>0</v>
      </c>
      <c r="K34" s="273"/>
      <c r="L34" s="274"/>
      <c r="M34" s="376">
        <v>1.75</v>
      </c>
    </row>
    <row r="35" spans="1:13">
      <c r="A35" s="25" t="s">
        <v>986</v>
      </c>
      <c r="B35" s="163" t="s">
        <v>955</v>
      </c>
      <c r="C35" s="26"/>
      <c r="D35" s="26"/>
      <c r="E35" s="27"/>
      <c r="F35" s="34"/>
      <c r="G35" s="195">
        <f>SHF!G37</f>
        <v>5.8532000000000011</v>
      </c>
      <c r="H35" s="34"/>
      <c r="I35" s="195">
        <f>SHF!I37</f>
        <v>37.928736000000015</v>
      </c>
      <c r="J35" s="34"/>
      <c r="K35" s="273"/>
      <c r="L35" s="274"/>
      <c r="M35" s="376">
        <v>1.5</v>
      </c>
    </row>
    <row r="36" spans="1:13">
      <c r="A36" s="253"/>
      <c r="B36" s="15"/>
      <c r="C36" s="15"/>
      <c r="D36" s="15"/>
      <c r="E36" s="22"/>
      <c r="F36" s="212"/>
      <c r="G36" s="213"/>
      <c r="H36" s="198"/>
      <c r="I36" s="198"/>
      <c r="J36" s="58"/>
      <c r="K36" s="74"/>
      <c r="L36" s="277"/>
      <c r="M36" s="379"/>
    </row>
    <row r="37" spans="1:13">
      <c r="A37" s="46"/>
      <c r="B37" s="46"/>
      <c r="C37" s="46"/>
      <c r="D37" s="46"/>
      <c r="E37" s="46"/>
      <c r="F37" s="46"/>
      <c r="G37" s="46"/>
      <c r="H37" s="46"/>
      <c r="I37" s="46"/>
      <c r="J37" s="46"/>
      <c r="K37" s="116"/>
      <c r="L37" s="270"/>
      <c r="M37" s="87"/>
    </row>
    <row r="38" spans="1:13">
      <c r="A38" s="220" t="s">
        <v>73</v>
      </c>
      <c r="B38" s="220" t="s">
        <v>74</v>
      </c>
      <c r="C38" s="200"/>
      <c r="D38" s="200"/>
      <c r="E38" s="217"/>
      <c r="F38" s="1636" t="s">
        <v>72</v>
      </c>
      <c r="G38" s="1637"/>
      <c r="H38" s="1637"/>
      <c r="I38" s="1637"/>
      <c r="J38" s="1638"/>
      <c r="K38" s="116"/>
      <c r="L38" s="270"/>
      <c r="M38" s="87"/>
    </row>
    <row r="39" spans="1:13" ht="18">
      <c r="A39" s="221"/>
      <c r="B39" s="221"/>
      <c r="C39" s="201"/>
      <c r="D39" s="201"/>
      <c r="E39" s="219"/>
      <c r="F39" s="223" t="s">
        <v>23</v>
      </c>
      <c r="G39" s="223" t="s">
        <v>87</v>
      </c>
      <c r="H39" s="223" t="s">
        <v>212</v>
      </c>
      <c r="I39" s="223" t="s">
        <v>80</v>
      </c>
      <c r="J39" s="223" t="s">
        <v>81</v>
      </c>
      <c r="K39" s="116"/>
      <c r="L39" s="270"/>
      <c r="M39" s="87"/>
    </row>
    <row r="40" spans="1:13">
      <c r="A40" s="222"/>
      <c r="B40" s="222"/>
      <c r="C40" s="203"/>
      <c r="D40" s="203"/>
      <c r="E40" s="218"/>
      <c r="F40" s="204" t="s">
        <v>34</v>
      </c>
      <c r="G40" s="204" t="s">
        <v>34</v>
      </c>
      <c r="H40" s="203" t="s">
        <v>34</v>
      </c>
      <c r="I40" s="204" t="s">
        <v>77</v>
      </c>
      <c r="J40" s="204" t="s">
        <v>77</v>
      </c>
      <c r="K40" s="116"/>
      <c r="L40" s="270"/>
      <c r="M40" s="87"/>
    </row>
    <row r="41" spans="1:13">
      <c r="A41" s="202"/>
      <c r="B41" s="200"/>
      <c r="C41" s="200"/>
      <c r="D41" s="200"/>
      <c r="E41" s="217"/>
      <c r="F41" s="205"/>
      <c r="G41" s="205"/>
      <c r="H41" s="201"/>
      <c r="I41" s="205"/>
      <c r="J41" s="205"/>
      <c r="K41" s="116"/>
      <c r="L41" s="270"/>
      <c r="M41" s="87"/>
    </row>
    <row r="42" spans="1:13">
      <c r="A42" s="205" t="str">
        <f>A25</f>
        <v>LC-2</v>
      </c>
      <c r="B42" s="201" t="str">
        <f>B25</f>
        <v>NS LWL No Live load</v>
      </c>
      <c r="C42" s="201"/>
      <c r="D42" s="201"/>
      <c r="E42" s="219"/>
      <c r="F42" s="1054">
        <f>SUMPRODUCT(F28:F35,$M$28:$M$35)</f>
        <v>1030.3031021975144</v>
      </c>
      <c r="G42" s="1055">
        <f>SUMPRODUCT(G28:G35,$M$28:$M$35)</f>
        <v>8.7798000000000016</v>
      </c>
      <c r="H42" s="1055">
        <f>SUMPRODUCT(H28:H35,$M$28:$M$35)</f>
        <v>0</v>
      </c>
      <c r="I42" s="1055">
        <f>SUMPRODUCT(I28:I35,$M$28:$M$35)</f>
        <v>62.836504000000012</v>
      </c>
      <c r="J42" s="1055">
        <f>SUMPRODUCT(J28:J35,$M$28:$M$35)</f>
        <v>0</v>
      </c>
      <c r="K42" s="116"/>
      <c r="L42" s="270"/>
      <c r="M42" s="87"/>
    </row>
    <row r="43" spans="1:13">
      <c r="A43" s="204"/>
      <c r="B43" s="203"/>
      <c r="C43" s="203"/>
      <c r="D43" s="203"/>
      <c r="E43" s="218"/>
      <c r="F43" s="204"/>
      <c r="G43" s="204"/>
      <c r="H43" s="203"/>
      <c r="I43" s="204"/>
      <c r="J43" s="204"/>
      <c r="K43" s="116"/>
      <c r="L43" s="270"/>
      <c r="M43" s="87"/>
    </row>
    <row r="44" spans="1:13">
      <c r="A44" s="1"/>
      <c r="B44" s="1"/>
      <c r="C44" s="1"/>
      <c r="D44" s="1"/>
      <c r="E44" s="1"/>
      <c r="F44" s="1"/>
      <c r="G44" s="1"/>
      <c r="H44" s="1"/>
      <c r="I44" s="1"/>
      <c r="J44" s="1"/>
      <c r="K44" s="1"/>
      <c r="L44" s="1"/>
      <c r="M44" s="1"/>
    </row>
    <row r="45" spans="1:13">
      <c r="A45" s="1"/>
      <c r="B45" s="1"/>
      <c r="C45" s="1"/>
      <c r="D45" s="1"/>
      <c r="E45" s="1"/>
      <c r="F45" s="1"/>
      <c r="G45" s="1"/>
      <c r="H45" s="1"/>
      <c r="I45" s="1"/>
      <c r="J45" s="1"/>
      <c r="K45" s="1"/>
      <c r="L45" s="1"/>
      <c r="M45" s="1"/>
    </row>
    <row r="46" spans="1:13">
      <c r="A46" s="225" t="str">
        <f>M46</f>
        <v>LC-3</v>
      </c>
      <c r="B46" s="24" t="str">
        <f>VLOOKUP(A46,LC_DEF_2!A3:B42,2,FALSE)</f>
        <v>NS LWL With LL max reaction case</v>
      </c>
      <c r="C46" s="24"/>
      <c r="D46" s="24"/>
      <c r="E46" s="21"/>
      <c r="F46" s="1599" t="s">
        <v>742</v>
      </c>
      <c r="G46" s="1635"/>
      <c r="H46" s="1635"/>
      <c r="I46" s="1635"/>
      <c r="J46" s="1600"/>
      <c r="K46" s="73"/>
      <c r="L46" s="272"/>
      <c r="M46" s="384" t="s">
        <v>126</v>
      </c>
    </row>
    <row r="47" spans="1:13" ht="18">
      <c r="A47" s="25" t="s">
        <v>73</v>
      </c>
      <c r="B47" s="26" t="s">
        <v>74</v>
      </c>
      <c r="C47" s="26"/>
      <c r="D47" s="26"/>
      <c r="E47" s="27"/>
      <c r="F47" s="33" t="s">
        <v>23</v>
      </c>
      <c r="G47" s="33" t="s">
        <v>87</v>
      </c>
      <c r="H47" s="33" t="s">
        <v>212</v>
      </c>
      <c r="I47" s="33" t="s">
        <v>80</v>
      </c>
      <c r="J47" s="33" t="s">
        <v>81</v>
      </c>
      <c r="K47" s="273"/>
      <c r="L47" s="274"/>
      <c r="M47" s="376"/>
    </row>
    <row r="48" spans="1:13">
      <c r="A48" s="25"/>
      <c r="B48" s="26"/>
      <c r="C48" s="26"/>
      <c r="D48" s="26"/>
      <c r="E48" s="27"/>
      <c r="F48" s="36" t="s">
        <v>34</v>
      </c>
      <c r="G48" s="36" t="s">
        <v>34</v>
      </c>
      <c r="H48" s="36" t="s">
        <v>34</v>
      </c>
      <c r="I48" s="36" t="s">
        <v>77</v>
      </c>
      <c r="J48" s="36" t="s">
        <v>77</v>
      </c>
      <c r="K48" s="74"/>
      <c r="L48" s="277"/>
      <c r="M48" s="655"/>
    </row>
    <row r="49" spans="1:13">
      <c r="A49" s="25" t="s">
        <v>88</v>
      </c>
      <c r="B49" s="26" t="s">
        <v>75</v>
      </c>
      <c r="C49" s="26"/>
      <c r="D49" s="26"/>
      <c r="E49" s="27"/>
      <c r="F49" s="195">
        <f>SHF!F14</f>
        <v>165.42303866482536</v>
      </c>
      <c r="G49" s="210"/>
      <c r="H49" s="34"/>
      <c r="I49" s="195">
        <f>SHF!I14</f>
        <v>0</v>
      </c>
      <c r="J49" s="195">
        <f>SHF!J14</f>
        <v>0</v>
      </c>
      <c r="K49" s="273"/>
      <c r="L49" s="274"/>
      <c r="M49" s="268">
        <v>1.35</v>
      </c>
    </row>
    <row r="50" spans="1:13">
      <c r="A50" s="25" t="s">
        <v>250</v>
      </c>
      <c r="B50" s="26" t="s">
        <v>967</v>
      </c>
      <c r="C50" s="26"/>
      <c r="D50" s="26"/>
      <c r="E50" s="27"/>
      <c r="F50" s="195">
        <f>SHF!F17</f>
        <v>230</v>
      </c>
      <c r="G50" s="210"/>
      <c r="H50" s="34"/>
      <c r="I50" s="195">
        <f>SHF!I17</f>
        <v>-115</v>
      </c>
      <c r="J50" s="195">
        <f>SHF!J17</f>
        <v>0</v>
      </c>
      <c r="K50" s="273"/>
      <c r="L50" s="274"/>
      <c r="M50" s="268">
        <v>1.35</v>
      </c>
    </row>
    <row r="51" spans="1:13">
      <c r="A51" s="25" t="s">
        <v>251</v>
      </c>
      <c r="B51" s="26" t="s">
        <v>968</v>
      </c>
      <c r="C51" s="26"/>
      <c r="D51" s="26"/>
      <c r="E51" s="27"/>
      <c r="F51" s="195">
        <f>SHF!F18</f>
        <v>20.660000000000004</v>
      </c>
      <c r="G51" s="210"/>
      <c r="H51" s="34"/>
      <c r="I51" s="195">
        <f>SHF!I18</f>
        <v>-10.330000000000002</v>
      </c>
      <c r="J51" s="195">
        <f>SHF!J18</f>
        <v>0</v>
      </c>
      <c r="K51" s="273"/>
      <c r="L51" s="274"/>
      <c r="M51" s="268">
        <v>1.35</v>
      </c>
    </row>
    <row r="52" spans="1:13">
      <c r="A52" s="25" t="s">
        <v>97</v>
      </c>
      <c r="B52" s="26" t="s">
        <v>969</v>
      </c>
      <c r="C52" s="26"/>
      <c r="D52" s="26"/>
      <c r="E52" s="27"/>
      <c r="F52" s="195">
        <f>SHF!F19</f>
        <v>42</v>
      </c>
      <c r="G52" s="210"/>
      <c r="H52" s="34"/>
      <c r="I52" s="195">
        <f>SHF!I19</f>
        <v>-14.858499999999999</v>
      </c>
      <c r="J52" s="195">
        <f>SHF!J19</f>
        <v>0</v>
      </c>
      <c r="K52" s="273"/>
      <c r="L52" s="274"/>
      <c r="M52" s="268">
        <v>1.35</v>
      </c>
    </row>
    <row r="53" spans="1:13">
      <c r="A53" s="25" t="s">
        <v>250</v>
      </c>
      <c r="B53" s="26" t="s">
        <v>970</v>
      </c>
      <c r="C53" s="26"/>
      <c r="D53" s="26"/>
      <c r="E53" s="27"/>
      <c r="F53" s="195">
        <f>SHF!F21</f>
        <v>230</v>
      </c>
      <c r="G53" s="210"/>
      <c r="H53" s="34"/>
      <c r="I53" s="195">
        <f>SHF!I21</f>
        <v>115</v>
      </c>
      <c r="J53" s="195">
        <f>SHF!J21</f>
        <v>0</v>
      </c>
      <c r="K53" s="273"/>
      <c r="L53" s="274"/>
      <c r="M53" s="376">
        <v>1.35</v>
      </c>
    </row>
    <row r="54" spans="1:13">
      <c r="A54" s="25" t="s">
        <v>251</v>
      </c>
      <c r="B54" s="26" t="s">
        <v>971</v>
      </c>
      <c r="C54" s="26"/>
      <c r="D54" s="26"/>
      <c r="E54" s="27"/>
      <c r="F54" s="195">
        <f>SHF!F22</f>
        <v>20.660000000000004</v>
      </c>
      <c r="G54" s="210"/>
      <c r="H54" s="34"/>
      <c r="I54" s="195">
        <f>SHF!I22</f>
        <v>10.330000000000002</v>
      </c>
      <c r="J54" s="195">
        <f>SHF!J22</f>
        <v>0</v>
      </c>
      <c r="K54" s="273"/>
      <c r="L54" s="274"/>
      <c r="M54" s="376">
        <v>1.35</v>
      </c>
    </row>
    <row r="55" spans="1:13">
      <c r="A55" s="25" t="s">
        <v>97</v>
      </c>
      <c r="B55" s="26" t="s">
        <v>972</v>
      </c>
      <c r="C55" s="26"/>
      <c r="D55" s="26"/>
      <c r="E55" s="27"/>
      <c r="F55" s="195">
        <f>SHF!F23</f>
        <v>42</v>
      </c>
      <c r="G55" s="210"/>
      <c r="H55" s="34"/>
      <c r="I55" s="195">
        <f>SHF!I23</f>
        <v>14.858499999999999</v>
      </c>
      <c r="J55" s="195">
        <f>SHF!J23</f>
        <v>0</v>
      </c>
      <c r="K55" s="273"/>
      <c r="L55" s="274"/>
      <c r="M55" s="376">
        <v>1.75</v>
      </c>
    </row>
    <row r="56" spans="1:13">
      <c r="A56" s="25" t="s">
        <v>976</v>
      </c>
      <c r="B56" s="26" t="s">
        <v>978</v>
      </c>
      <c r="C56" s="26"/>
      <c r="D56" s="26"/>
      <c r="E56" s="27"/>
      <c r="F56" s="195">
        <f>SHF!F27</f>
        <v>65.160399999999996</v>
      </c>
      <c r="G56" s="210"/>
      <c r="H56" s="34"/>
      <c r="I56" s="195">
        <f>SHF!I27</f>
        <v>-32.580199999999998</v>
      </c>
      <c r="J56" s="195">
        <f>SHF!J27</f>
        <v>-10.105732306306301</v>
      </c>
      <c r="K56" s="273"/>
      <c r="L56" s="274"/>
      <c r="M56" s="268">
        <v>1.5</v>
      </c>
    </row>
    <row r="57" spans="1:13">
      <c r="A57" s="25" t="s">
        <v>977</v>
      </c>
      <c r="B57" s="26" t="s">
        <v>979</v>
      </c>
      <c r="C57" s="26"/>
      <c r="D57" s="26"/>
      <c r="E57" s="27"/>
      <c r="F57" s="195">
        <f>SHF!F28</f>
        <v>75.185314285714313</v>
      </c>
      <c r="G57" s="210"/>
      <c r="H57" s="34"/>
      <c r="I57" s="195">
        <f>SHF!I28</f>
        <v>37.592657142857156</v>
      </c>
      <c r="J57" s="195">
        <f>SHF!J28</f>
        <v>-11.660497166023164</v>
      </c>
      <c r="K57" s="273"/>
      <c r="L57" s="274"/>
      <c r="M57" s="268">
        <v>1.5</v>
      </c>
    </row>
    <row r="58" spans="1:13">
      <c r="A58" s="25" t="s">
        <v>984</v>
      </c>
      <c r="B58" s="163" t="s">
        <v>951</v>
      </c>
      <c r="C58" s="26"/>
      <c r="D58" s="26"/>
      <c r="E58" s="27"/>
      <c r="F58" s="34"/>
      <c r="G58" s="195">
        <f>SHF!G35</f>
        <v>32.051277714285717</v>
      </c>
      <c r="H58" s="34"/>
      <c r="I58" s="195">
        <f>SHF!I35</f>
        <v>207.69227958857149</v>
      </c>
      <c r="J58" s="34"/>
      <c r="K58" s="273"/>
      <c r="L58" s="274"/>
      <c r="M58" s="376">
        <v>1.5</v>
      </c>
    </row>
    <row r="59" spans="1:13">
      <c r="A59" s="253"/>
      <c r="B59" s="15"/>
      <c r="C59" s="15"/>
      <c r="D59" s="15"/>
      <c r="E59" s="22"/>
      <c r="F59" s="212"/>
      <c r="G59" s="213"/>
      <c r="H59" s="198"/>
      <c r="I59" s="198"/>
      <c r="J59" s="58"/>
      <c r="K59" s="74"/>
      <c r="L59" s="277"/>
      <c r="M59" s="379"/>
    </row>
    <row r="60" spans="1:13">
      <c r="A60" s="46"/>
      <c r="B60" s="46"/>
      <c r="C60" s="46"/>
      <c r="D60" s="46"/>
      <c r="E60" s="46"/>
      <c r="F60" s="46"/>
      <c r="G60" s="46"/>
      <c r="H60" s="46"/>
      <c r="I60" s="46"/>
      <c r="J60" s="46"/>
      <c r="K60" s="116"/>
      <c r="L60" s="270"/>
      <c r="M60" s="87"/>
    </row>
    <row r="61" spans="1:13">
      <c r="A61" s="220" t="s">
        <v>73</v>
      </c>
      <c r="B61" s="220" t="s">
        <v>74</v>
      </c>
      <c r="C61" s="200"/>
      <c r="D61" s="200"/>
      <c r="E61" s="217"/>
      <c r="F61" s="1636" t="s">
        <v>72</v>
      </c>
      <c r="G61" s="1637"/>
      <c r="H61" s="1637"/>
      <c r="I61" s="1637"/>
      <c r="J61" s="1638"/>
      <c r="K61" s="116"/>
      <c r="L61" s="270"/>
      <c r="M61" s="87"/>
    </row>
    <row r="62" spans="1:13" ht="18">
      <c r="A62" s="221"/>
      <c r="B62" s="221"/>
      <c r="C62" s="201"/>
      <c r="D62" s="201"/>
      <c r="E62" s="219"/>
      <c r="F62" s="223" t="s">
        <v>23</v>
      </c>
      <c r="G62" s="223" t="s">
        <v>87</v>
      </c>
      <c r="H62" s="223" t="s">
        <v>212</v>
      </c>
      <c r="I62" s="223" t="s">
        <v>80</v>
      </c>
      <c r="J62" s="223" t="s">
        <v>81</v>
      </c>
      <c r="K62" s="116"/>
      <c r="L62" s="270"/>
      <c r="M62" s="87"/>
    </row>
    <row r="63" spans="1:13">
      <c r="A63" s="222"/>
      <c r="B63" s="222"/>
      <c r="C63" s="203"/>
      <c r="D63" s="203"/>
      <c r="E63" s="218"/>
      <c r="F63" s="204" t="s">
        <v>34</v>
      </c>
      <c r="G63" s="204" t="s">
        <v>34</v>
      </c>
      <c r="H63" s="203" t="s">
        <v>34</v>
      </c>
      <c r="I63" s="204" t="s">
        <v>77</v>
      </c>
      <c r="J63" s="204" t="s">
        <v>77</v>
      </c>
      <c r="K63" s="116"/>
      <c r="L63" s="270"/>
      <c r="M63" s="87"/>
    </row>
    <row r="64" spans="1:13">
      <c r="A64" s="202"/>
      <c r="B64" s="200"/>
      <c r="C64" s="200"/>
      <c r="D64" s="200"/>
      <c r="E64" s="217"/>
      <c r="F64" s="205"/>
      <c r="G64" s="205"/>
      <c r="H64" s="201"/>
      <c r="I64" s="205"/>
      <c r="J64" s="205"/>
      <c r="K64" s="116"/>
      <c r="L64" s="270"/>
      <c r="M64" s="87"/>
    </row>
    <row r="65" spans="1:13">
      <c r="A65" s="205" t="str">
        <f>A46</f>
        <v>LC-3</v>
      </c>
      <c r="B65" s="201" t="str">
        <f>B46</f>
        <v>NS LWL With LL max reaction case</v>
      </c>
      <c r="C65" s="201"/>
      <c r="D65" s="201"/>
      <c r="E65" s="219"/>
      <c r="F65" s="1054">
        <f>SUMPRODUCT(F49:F58,$M$49:$M$58)</f>
        <v>1240.8216736260858</v>
      </c>
      <c r="G65" s="1055">
        <f>SUMPRODUCT(G49:G58,$M$49:$M$58)</f>
        <v>48.076916571428576</v>
      </c>
      <c r="H65" s="1055">
        <f>SUMPRODUCT(H49:H58,$M$49:$M$58)</f>
        <v>0</v>
      </c>
      <c r="I65" s="1055">
        <f>SUMPRODUCT(I49:I58,$M$49:$M$58)</f>
        <v>325.00050509714293</v>
      </c>
      <c r="J65" s="1055">
        <f>SUMPRODUCT(J49:J58,$M$49:$M$58)</f>
        <v>-32.649344208494199</v>
      </c>
      <c r="K65" s="116"/>
      <c r="L65" s="270"/>
      <c r="M65" s="87"/>
    </row>
    <row r="66" spans="1:13">
      <c r="A66" s="204"/>
      <c r="B66" s="203"/>
      <c r="C66" s="203"/>
      <c r="D66" s="203"/>
      <c r="E66" s="218"/>
      <c r="F66" s="204"/>
      <c r="G66" s="204"/>
      <c r="H66" s="203"/>
      <c r="I66" s="204"/>
      <c r="J66" s="204"/>
      <c r="K66" s="116"/>
      <c r="L66" s="270"/>
      <c r="M66" s="87"/>
    </row>
    <row r="67" spans="1:13">
      <c r="A67" s="1"/>
      <c r="B67" s="1"/>
      <c r="C67" s="1"/>
      <c r="D67" s="1"/>
      <c r="E67" s="1"/>
      <c r="F67" s="1"/>
      <c r="G67" s="1"/>
      <c r="H67" s="1"/>
      <c r="I67" s="1"/>
      <c r="J67" s="1"/>
      <c r="K67" s="1"/>
      <c r="L67" s="1"/>
      <c r="M67" s="1"/>
    </row>
    <row r="68" spans="1:13">
      <c r="A68" s="1"/>
      <c r="B68" s="1"/>
      <c r="C68" s="1"/>
      <c r="D68" s="1"/>
      <c r="E68" s="1"/>
      <c r="F68" s="1"/>
      <c r="G68" s="1"/>
      <c r="H68" s="1"/>
      <c r="I68" s="1"/>
      <c r="J68" s="1"/>
      <c r="K68" s="1"/>
      <c r="L68" s="1"/>
      <c r="M68" s="1"/>
    </row>
    <row r="69" spans="1:13">
      <c r="A69" s="225" t="str">
        <f>M69</f>
        <v>LC-4</v>
      </c>
      <c r="B69" s="24" t="str">
        <f>VLOOKUP(A69,LC_DEF_2!A3:B42,2,FALSE)</f>
        <v>NS LWL With LL max moment case</v>
      </c>
      <c r="C69" s="24"/>
      <c r="D69" s="24"/>
      <c r="E69" s="21"/>
      <c r="F69" s="1599" t="s">
        <v>742</v>
      </c>
      <c r="G69" s="1635"/>
      <c r="H69" s="1635"/>
      <c r="I69" s="1635"/>
      <c r="J69" s="1600"/>
      <c r="K69" s="73"/>
      <c r="L69" s="272"/>
      <c r="M69" s="384" t="s">
        <v>214</v>
      </c>
    </row>
    <row r="70" spans="1:13" ht="18">
      <c r="A70" s="25" t="s">
        <v>73</v>
      </c>
      <c r="B70" s="26" t="s">
        <v>74</v>
      </c>
      <c r="C70" s="26"/>
      <c r="D70" s="26"/>
      <c r="E70" s="27"/>
      <c r="F70" s="33" t="s">
        <v>23</v>
      </c>
      <c r="G70" s="33" t="s">
        <v>87</v>
      </c>
      <c r="H70" s="33" t="s">
        <v>212</v>
      </c>
      <c r="I70" s="33" t="s">
        <v>80</v>
      </c>
      <c r="J70" s="33" t="s">
        <v>81</v>
      </c>
      <c r="K70" s="273"/>
      <c r="L70" s="274"/>
      <c r="M70" s="376"/>
    </row>
    <row r="71" spans="1:13">
      <c r="A71" s="25"/>
      <c r="B71" s="26"/>
      <c r="C71" s="26"/>
      <c r="D71" s="26"/>
      <c r="E71" s="27"/>
      <c r="F71" s="36" t="s">
        <v>34</v>
      </c>
      <c r="G71" s="36" t="s">
        <v>34</v>
      </c>
      <c r="H71" s="36" t="s">
        <v>34</v>
      </c>
      <c r="I71" s="36" t="s">
        <v>77</v>
      </c>
      <c r="J71" s="36" t="s">
        <v>77</v>
      </c>
      <c r="K71" s="74"/>
      <c r="L71" s="277"/>
      <c r="M71" s="655"/>
    </row>
    <row r="72" spans="1:13">
      <c r="A72" s="25" t="s">
        <v>88</v>
      </c>
      <c r="B72" s="26" t="s">
        <v>75</v>
      </c>
      <c r="C72" s="26"/>
      <c r="D72" s="26"/>
      <c r="E72" s="27"/>
      <c r="F72" s="195">
        <f>SHF!F14</f>
        <v>165.42303866482536</v>
      </c>
      <c r="G72" s="210"/>
      <c r="H72" s="34"/>
      <c r="I72" s="195">
        <f>SHF!I14</f>
        <v>0</v>
      </c>
      <c r="J72" s="195">
        <f>SHF!J14</f>
        <v>0</v>
      </c>
      <c r="K72" s="273"/>
      <c r="L72" s="274"/>
      <c r="M72" s="268">
        <v>1.35</v>
      </c>
    </row>
    <row r="73" spans="1:13">
      <c r="A73" s="25" t="s">
        <v>250</v>
      </c>
      <c r="B73" s="26" t="s">
        <v>967</v>
      </c>
      <c r="C73" s="26"/>
      <c r="D73" s="26"/>
      <c r="E73" s="27"/>
      <c r="F73" s="195">
        <f>SHF!F17</f>
        <v>230</v>
      </c>
      <c r="G73" s="210"/>
      <c r="H73" s="34"/>
      <c r="I73" s="195">
        <f>SHF!I17</f>
        <v>-115</v>
      </c>
      <c r="J73" s="195">
        <f>SHF!J17</f>
        <v>0</v>
      </c>
      <c r="K73" s="273"/>
      <c r="L73" s="274"/>
      <c r="M73" s="268">
        <v>1.35</v>
      </c>
    </row>
    <row r="74" spans="1:13">
      <c r="A74" s="25" t="s">
        <v>251</v>
      </c>
      <c r="B74" s="26" t="s">
        <v>968</v>
      </c>
      <c r="C74" s="26"/>
      <c r="D74" s="26"/>
      <c r="E74" s="27"/>
      <c r="F74" s="195">
        <f>SHF!F18</f>
        <v>20.660000000000004</v>
      </c>
      <c r="G74" s="210"/>
      <c r="H74" s="34"/>
      <c r="I74" s="195">
        <f>SHF!I18</f>
        <v>-10.330000000000002</v>
      </c>
      <c r="J74" s="195">
        <f>SHF!J18</f>
        <v>0</v>
      </c>
      <c r="K74" s="273"/>
      <c r="L74" s="274"/>
      <c r="M74" s="268">
        <v>1.35</v>
      </c>
    </row>
    <row r="75" spans="1:13">
      <c r="A75" s="25" t="s">
        <v>97</v>
      </c>
      <c r="B75" s="26" t="s">
        <v>969</v>
      </c>
      <c r="C75" s="26"/>
      <c r="D75" s="26"/>
      <c r="E75" s="27"/>
      <c r="F75" s="195">
        <f>SHF!F19</f>
        <v>42</v>
      </c>
      <c r="G75" s="210"/>
      <c r="H75" s="34"/>
      <c r="I75" s="195">
        <f>SHF!I19</f>
        <v>-14.858499999999999</v>
      </c>
      <c r="J75" s="195">
        <f>SHF!J19</f>
        <v>0</v>
      </c>
      <c r="K75" s="273"/>
      <c r="L75" s="274"/>
      <c r="M75" s="268">
        <v>1.35</v>
      </c>
    </row>
    <row r="76" spans="1:13">
      <c r="A76" s="25" t="s">
        <v>250</v>
      </c>
      <c r="B76" s="26" t="s">
        <v>970</v>
      </c>
      <c r="C76" s="26"/>
      <c r="D76" s="26"/>
      <c r="E76" s="27"/>
      <c r="F76" s="195">
        <f>SHF!F21</f>
        <v>230</v>
      </c>
      <c r="G76" s="210"/>
      <c r="H76" s="34"/>
      <c r="I76" s="195">
        <f>SHF!I21</f>
        <v>115</v>
      </c>
      <c r="J76" s="195">
        <f>SHF!J21</f>
        <v>0</v>
      </c>
      <c r="K76" s="273"/>
      <c r="L76" s="274"/>
      <c r="M76" s="376">
        <v>1.35</v>
      </c>
    </row>
    <row r="77" spans="1:13">
      <c r="A77" s="25" t="s">
        <v>251</v>
      </c>
      <c r="B77" s="26" t="s">
        <v>971</v>
      </c>
      <c r="C77" s="26"/>
      <c r="D77" s="26"/>
      <c r="E77" s="27"/>
      <c r="F77" s="195">
        <f>SHF!F22</f>
        <v>20.660000000000004</v>
      </c>
      <c r="G77" s="210"/>
      <c r="H77" s="34"/>
      <c r="I77" s="195">
        <f>SHF!I22</f>
        <v>10.330000000000002</v>
      </c>
      <c r="J77" s="195">
        <f>SHF!J22</f>
        <v>0</v>
      </c>
      <c r="K77" s="273"/>
      <c r="L77" s="274"/>
      <c r="M77" s="376">
        <v>1.35</v>
      </c>
    </row>
    <row r="78" spans="1:13">
      <c r="A78" s="25" t="s">
        <v>97</v>
      </c>
      <c r="B78" s="26" t="s">
        <v>972</v>
      </c>
      <c r="C78" s="26"/>
      <c r="D78" s="26"/>
      <c r="E78" s="27"/>
      <c r="F78" s="195">
        <f>SHF!F23</f>
        <v>42</v>
      </c>
      <c r="G78" s="210"/>
      <c r="H78" s="34"/>
      <c r="I78" s="195">
        <f>SHF!I23</f>
        <v>14.858499999999999</v>
      </c>
      <c r="J78" s="195">
        <f>SHF!J23</f>
        <v>0</v>
      </c>
      <c r="K78" s="273"/>
      <c r="L78" s="274"/>
      <c r="M78" s="376">
        <v>1.75</v>
      </c>
    </row>
    <row r="79" spans="1:13">
      <c r="A79" s="25" t="s">
        <v>976</v>
      </c>
      <c r="B79" s="26" t="s">
        <v>981</v>
      </c>
      <c r="C79" s="26"/>
      <c r="D79" s="26"/>
      <c r="E79" s="27"/>
      <c r="F79" s="195">
        <f>SHF!F31</f>
        <v>0</v>
      </c>
      <c r="G79" s="210"/>
      <c r="H79" s="34"/>
      <c r="I79" s="195">
        <f>SHF!I31</f>
        <v>0</v>
      </c>
      <c r="J79" s="195">
        <f>SHF!J31</f>
        <v>0</v>
      </c>
      <c r="K79" s="273"/>
      <c r="L79" s="274"/>
      <c r="M79" s="376">
        <v>1.5</v>
      </c>
    </row>
    <row r="80" spans="1:13">
      <c r="A80" s="25" t="s">
        <v>977</v>
      </c>
      <c r="B80" s="26" t="s">
        <v>982</v>
      </c>
      <c r="C80" s="26"/>
      <c r="D80" s="26"/>
      <c r="E80" s="27"/>
      <c r="F80" s="195">
        <f>SHF!F32</f>
        <v>127.89948571428575</v>
      </c>
      <c r="G80" s="210"/>
      <c r="H80" s="34"/>
      <c r="I80" s="195">
        <f>SHF!I32</f>
        <v>63.949742857142873</v>
      </c>
      <c r="J80" s="195">
        <f>SHF!J32</f>
        <v>-19.835942761904757</v>
      </c>
      <c r="K80" s="273"/>
      <c r="L80" s="274"/>
      <c r="M80" s="376">
        <v>1.5</v>
      </c>
    </row>
    <row r="81" spans="1:13">
      <c r="A81" s="25" t="s">
        <v>985</v>
      </c>
      <c r="B81" s="163" t="s">
        <v>953</v>
      </c>
      <c r="C81" s="26"/>
      <c r="D81" s="26"/>
      <c r="E81" s="27"/>
      <c r="F81" s="34"/>
      <c r="G81" s="195">
        <f>SHF!G36</f>
        <v>29.998225714285713</v>
      </c>
      <c r="H81" s="34"/>
      <c r="I81" s="195">
        <f>SHF!I36</f>
        <v>194.38850262857147</v>
      </c>
      <c r="J81" s="34"/>
      <c r="K81" s="273"/>
      <c r="L81" s="274"/>
      <c r="M81" s="376">
        <v>1.5</v>
      </c>
    </row>
    <row r="82" spans="1:13">
      <c r="A82" s="253"/>
      <c r="B82" s="15"/>
      <c r="C82" s="15"/>
      <c r="D82" s="15"/>
      <c r="E82" s="22"/>
      <c r="F82" s="212"/>
      <c r="G82" s="213"/>
      <c r="H82" s="198"/>
      <c r="I82" s="198"/>
      <c r="J82" s="58"/>
      <c r="K82" s="74"/>
      <c r="L82" s="277"/>
      <c r="M82" s="379"/>
    </row>
    <row r="83" spans="1:13">
      <c r="A83" s="46"/>
      <c r="B83" s="46"/>
      <c r="C83" s="46"/>
      <c r="D83" s="46"/>
      <c r="E83" s="46"/>
      <c r="F83" s="46"/>
      <c r="G83" s="46"/>
      <c r="H83" s="46"/>
      <c r="I83" s="46"/>
      <c r="J83" s="46"/>
      <c r="K83" s="116"/>
      <c r="L83" s="270"/>
      <c r="M83" s="87"/>
    </row>
    <row r="84" spans="1:13">
      <c r="A84" s="220" t="s">
        <v>73</v>
      </c>
      <c r="B84" s="220" t="s">
        <v>74</v>
      </c>
      <c r="C84" s="200"/>
      <c r="D84" s="200"/>
      <c r="E84" s="217"/>
      <c r="F84" s="1636" t="s">
        <v>72</v>
      </c>
      <c r="G84" s="1637"/>
      <c r="H84" s="1637"/>
      <c r="I84" s="1637"/>
      <c r="J84" s="1638"/>
      <c r="K84" s="116"/>
      <c r="L84" s="270"/>
      <c r="M84" s="87"/>
    </row>
    <row r="85" spans="1:13" ht="18">
      <c r="A85" s="221"/>
      <c r="B85" s="221"/>
      <c r="C85" s="201"/>
      <c r="D85" s="201"/>
      <c r="E85" s="219"/>
      <c r="F85" s="223" t="s">
        <v>23</v>
      </c>
      <c r="G85" s="223" t="s">
        <v>87</v>
      </c>
      <c r="H85" s="223" t="s">
        <v>212</v>
      </c>
      <c r="I85" s="223" t="s">
        <v>80</v>
      </c>
      <c r="J85" s="223" t="s">
        <v>81</v>
      </c>
      <c r="K85" s="116"/>
      <c r="L85" s="270"/>
      <c r="M85" s="87"/>
    </row>
    <row r="86" spans="1:13">
      <c r="A86" s="222"/>
      <c r="B86" s="222"/>
      <c r="C86" s="203"/>
      <c r="D86" s="203"/>
      <c r="E86" s="218"/>
      <c r="F86" s="204" t="s">
        <v>34</v>
      </c>
      <c r="G86" s="204" t="s">
        <v>34</v>
      </c>
      <c r="H86" s="203" t="s">
        <v>34</v>
      </c>
      <c r="I86" s="204" t="s">
        <v>77</v>
      </c>
      <c r="J86" s="204" t="s">
        <v>77</v>
      </c>
      <c r="K86" s="116"/>
      <c r="L86" s="270"/>
      <c r="M86" s="87"/>
    </row>
    <row r="87" spans="1:13">
      <c r="A87" s="202"/>
      <c r="B87" s="200"/>
      <c r="C87" s="200"/>
      <c r="D87" s="200"/>
      <c r="E87" s="217"/>
      <c r="F87" s="205"/>
      <c r="G87" s="205"/>
      <c r="H87" s="201"/>
      <c r="I87" s="205"/>
      <c r="J87" s="205"/>
      <c r="K87" s="116"/>
      <c r="L87" s="270"/>
      <c r="M87" s="87"/>
    </row>
    <row r="88" spans="1:13">
      <c r="A88" s="205" t="str">
        <f>A69</f>
        <v>LC-4</v>
      </c>
      <c r="B88" s="201" t="str">
        <f>B69</f>
        <v>NS LWL With LL max moment case</v>
      </c>
      <c r="C88" s="201"/>
      <c r="D88" s="201"/>
      <c r="E88" s="219"/>
      <c r="F88" s="1054">
        <f>SUMPRODUCT(F72:F81,$M$72:$M$81)</f>
        <v>1222.1523307689431</v>
      </c>
      <c r="G88" s="1055">
        <f>SUMPRODUCT(G72:G81,$M$72:$M$81)</f>
        <v>44.997338571428571</v>
      </c>
      <c r="H88" s="1055">
        <f>SUMPRODUCT(H72:H81,$M$72:$M$81)</f>
        <v>0</v>
      </c>
      <c r="I88" s="1055">
        <f>SUMPRODUCT(I72:I81,$M$72:$M$81)</f>
        <v>393.45076822857152</v>
      </c>
      <c r="J88" s="1055">
        <f>SUMPRODUCT(J72:J81,$M$72:$M$81)</f>
        <v>-29.753914142857134</v>
      </c>
      <c r="K88" s="116"/>
      <c r="L88" s="270"/>
      <c r="M88" s="87"/>
    </row>
    <row r="89" spans="1:13">
      <c r="A89" s="204"/>
      <c r="B89" s="203"/>
      <c r="C89" s="203"/>
      <c r="D89" s="203"/>
      <c r="E89" s="218"/>
      <c r="F89" s="204"/>
      <c r="G89" s="204"/>
      <c r="H89" s="203"/>
      <c r="I89" s="204"/>
      <c r="J89" s="204"/>
      <c r="K89" s="116"/>
      <c r="L89" s="270"/>
      <c r="M89" s="87"/>
    </row>
    <row r="90" spans="1:13">
      <c r="A90" s="1"/>
      <c r="B90" s="1"/>
      <c r="C90" s="1"/>
      <c r="D90" s="1"/>
      <c r="E90" s="1"/>
      <c r="F90" s="1"/>
      <c r="G90" s="1"/>
      <c r="H90" s="1"/>
      <c r="I90" s="1"/>
      <c r="J90" s="1"/>
      <c r="K90" s="1"/>
      <c r="L90" s="1"/>
      <c r="M90" s="1"/>
    </row>
    <row r="91" spans="1:13">
      <c r="A91" s="1"/>
      <c r="B91" s="1"/>
      <c r="C91" s="1"/>
      <c r="D91" s="1"/>
      <c r="E91" s="1"/>
      <c r="F91" s="1"/>
      <c r="G91" s="1"/>
      <c r="H91" s="1"/>
      <c r="I91" s="1"/>
      <c r="J91" s="1"/>
      <c r="K91" s="1"/>
      <c r="L91" s="1"/>
      <c r="M91" s="1"/>
    </row>
    <row r="92" spans="1:13">
      <c r="A92" s="225" t="str">
        <f>M92</f>
        <v>LC-5</v>
      </c>
      <c r="B92" s="24" t="str">
        <f>VLOOKUP(A92,LC_DEF_2!A3:B42,2,FALSE)</f>
        <v>LC-1 + Seismic Sx=1,Sz=0.3,Sy=-0.3 (50% seismic)</v>
      </c>
      <c r="C92" s="24"/>
      <c r="D92" s="24"/>
      <c r="E92" s="21"/>
      <c r="F92" s="1599" t="s">
        <v>742</v>
      </c>
      <c r="G92" s="1635"/>
      <c r="H92" s="1635"/>
      <c r="I92" s="1635"/>
      <c r="J92" s="1600"/>
      <c r="K92" s="73"/>
      <c r="L92" s="272"/>
      <c r="M92" s="384" t="s">
        <v>215</v>
      </c>
    </row>
    <row r="93" spans="1:13" ht="18">
      <c r="A93" s="25" t="s">
        <v>73</v>
      </c>
      <c r="B93" s="26" t="s">
        <v>74</v>
      </c>
      <c r="C93" s="26"/>
      <c r="D93" s="26"/>
      <c r="E93" s="27"/>
      <c r="F93" s="33" t="s">
        <v>23</v>
      </c>
      <c r="G93" s="33" t="s">
        <v>87</v>
      </c>
      <c r="H93" s="33" t="s">
        <v>212</v>
      </c>
      <c r="I93" s="33" t="s">
        <v>80</v>
      </c>
      <c r="J93" s="33" t="s">
        <v>81</v>
      </c>
      <c r="K93" s="273"/>
      <c r="L93" s="274"/>
      <c r="M93" s="376"/>
    </row>
    <row r="94" spans="1:13">
      <c r="A94" s="25"/>
      <c r="B94" s="26"/>
      <c r="C94" s="26"/>
      <c r="D94" s="26"/>
      <c r="E94" s="27"/>
      <c r="F94" s="36" t="s">
        <v>34</v>
      </c>
      <c r="G94" s="36" t="s">
        <v>34</v>
      </c>
      <c r="H94" s="36" t="s">
        <v>34</v>
      </c>
      <c r="I94" s="36" t="s">
        <v>77</v>
      </c>
      <c r="J94" s="36" t="s">
        <v>77</v>
      </c>
      <c r="K94" s="74"/>
      <c r="L94" s="277"/>
      <c r="M94" s="655"/>
    </row>
    <row r="95" spans="1:13">
      <c r="A95" s="25" t="s">
        <v>88</v>
      </c>
      <c r="B95" s="26" t="s">
        <v>75</v>
      </c>
      <c r="C95" s="26"/>
      <c r="D95" s="26"/>
      <c r="E95" s="27"/>
      <c r="F95" s="195">
        <f>SHF!F14</f>
        <v>165.42303866482536</v>
      </c>
      <c r="G95" s="210"/>
      <c r="H95" s="34"/>
      <c r="I95" s="195">
        <f>SHF!I14</f>
        <v>0</v>
      </c>
      <c r="J95" s="195">
        <f>SHF!J14</f>
        <v>0</v>
      </c>
      <c r="K95" s="273"/>
      <c r="L95" s="274"/>
      <c r="M95" s="268">
        <v>1.35</v>
      </c>
    </row>
    <row r="96" spans="1:13">
      <c r="A96" s="25" t="s">
        <v>250</v>
      </c>
      <c r="B96" s="26" t="s">
        <v>970</v>
      </c>
      <c r="C96" s="26"/>
      <c r="D96" s="26"/>
      <c r="E96" s="27"/>
      <c r="F96" s="195">
        <f>SHF!F21</f>
        <v>230</v>
      </c>
      <c r="G96" s="210"/>
      <c r="H96" s="34"/>
      <c r="I96" s="195">
        <f>SHF!I21</f>
        <v>115</v>
      </c>
      <c r="J96" s="195">
        <f>SHF!J21</f>
        <v>0</v>
      </c>
      <c r="K96" s="273"/>
      <c r="L96" s="274"/>
      <c r="M96" s="376">
        <v>1.35</v>
      </c>
    </row>
    <row r="97" spans="1:13">
      <c r="A97" s="25" t="s">
        <v>251</v>
      </c>
      <c r="B97" s="26" t="s">
        <v>971</v>
      </c>
      <c r="C97" s="26"/>
      <c r="D97" s="26"/>
      <c r="E97" s="27"/>
      <c r="F97" s="195">
        <f>SHF!F22</f>
        <v>20.660000000000004</v>
      </c>
      <c r="G97" s="210"/>
      <c r="H97" s="34"/>
      <c r="I97" s="195">
        <f>SHF!I22</f>
        <v>10.330000000000002</v>
      </c>
      <c r="J97" s="195">
        <f>SHF!J22</f>
        <v>0</v>
      </c>
      <c r="K97" s="273"/>
      <c r="L97" s="274"/>
      <c r="M97" s="376">
        <v>1.35</v>
      </c>
    </row>
    <row r="98" spans="1:13">
      <c r="A98" s="25" t="s">
        <v>97</v>
      </c>
      <c r="B98" s="26" t="s">
        <v>972</v>
      </c>
      <c r="C98" s="26"/>
      <c r="D98" s="26"/>
      <c r="E98" s="27"/>
      <c r="F98" s="195">
        <f>SHF!F23</f>
        <v>42</v>
      </c>
      <c r="G98" s="210"/>
      <c r="H98" s="34"/>
      <c r="I98" s="195">
        <f>SHF!I23</f>
        <v>14.858499999999999</v>
      </c>
      <c r="J98" s="195">
        <f>SHF!J23</f>
        <v>0</v>
      </c>
      <c r="K98" s="273"/>
      <c r="L98" s="274"/>
      <c r="M98" s="376">
        <v>1.75</v>
      </c>
    </row>
    <row r="99" spans="1:13">
      <c r="A99" s="25" t="s">
        <v>987</v>
      </c>
      <c r="B99" s="163" t="s">
        <v>957</v>
      </c>
      <c r="C99" s="26"/>
      <c r="D99" s="26"/>
      <c r="E99" s="27"/>
      <c r="F99" s="34"/>
      <c r="G99" s="195">
        <f>SHF!G38</f>
        <v>14.632999999999999</v>
      </c>
      <c r="H99" s="34"/>
      <c r="I99" s="195">
        <f>SHF!I38</f>
        <v>94.821840000000009</v>
      </c>
      <c r="J99" s="34"/>
      <c r="K99" s="273"/>
      <c r="L99" s="274"/>
      <c r="M99" s="376">
        <v>0.75</v>
      </c>
    </row>
    <row r="100" spans="1:13">
      <c r="A100" s="278" t="s">
        <v>1132</v>
      </c>
      <c r="B100" s="262"/>
      <c r="C100" s="262"/>
      <c r="D100" s="262"/>
      <c r="E100" s="263"/>
      <c r="F100" s="1052"/>
      <c r="G100" s="1053"/>
      <c r="H100" s="267"/>
      <c r="I100" s="1052"/>
      <c r="J100" s="267"/>
      <c r="K100" s="289"/>
      <c r="L100" s="274"/>
      <c r="M100" s="412">
        <v>0.75</v>
      </c>
    </row>
    <row r="101" spans="1:13">
      <c r="A101" s="25" t="s">
        <v>991</v>
      </c>
      <c r="B101" s="26" t="s">
        <v>989</v>
      </c>
      <c r="C101" s="26"/>
      <c r="D101" s="26"/>
      <c r="E101" s="27"/>
      <c r="F101" s="197"/>
      <c r="G101" s="195">
        <f>SHF!G49</f>
        <v>70.238399999999984</v>
      </c>
      <c r="H101" s="34"/>
      <c r="I101" s="195">
        <f>SHF!I49</f>
        <v>455.14483200000001</v>
      </c>
      <c r="J101" s="89"/>
      <c r="K101" s="289"/>
      <c r="L101" s="274"/>
      <c r="M101" s="268">
        <v>0.75</v>
      </c>
    </row>
    <row r="102" spans="1:13">
      <c r="A102" s="25" t="s">
        <v>217</v>
      </c>
      <c r="B102" s="26" t="s">
        <v>211</v>
      </c>
      <c r="C102" s="26"/>
      <c r="D102" s="26"/>
      <c r="E102" s="27"/>
      <c r="F102" s="197"/>
      <c r="G102" s="195">
        <f>SHF!G55</f>
        <v>19.850764639779044</v>
      </c>
      <c r="H102" s="34"/>
      <c r="I102" s="195">
        <f>SHF!I55</f>
        <v>73.367744311147007</v>
      </c>
      <c r="J102" s="89"/>
      <c r="K102" s="289"/>
      <c r="L102" s="274"/>
      <c r="M102" s="376">
        <v>0.75</v>
      </c>
    </row>
    <row r="103" spans="1:13">
      <c r="A103" s="278" t="s">
        <v>1135</v>
      </c>
      <c r="B103" s="262"/>
      <c r="C103" s="262"/>
      <c r="D103" s="262"/>
      <c r="E103" s="263"/>
      <c r="F103" s="279"/>
      <c r="G103" s="280"/>
      <c r="H103" s="264"/>
      <c r="I103" s="279"/>
      <c r="J103" s="264"/>
      <c r="K103" s="289"/>
      <c r="L103" s="274"/>
      <c r="M103" s="708">
        <v>0.22499999999999998</v>
      </c>
    </row>
    <row r="104" spans="1:13">
      <c r="A104" s="25" t="s">
        <v>998</v>
      </c>
      <c r="B104" s="26" t="s">
        <v>989</v>
      </c>
      <c r="C104" s="26"/>
      <c r="D104" s="26"/>
      <c r="E104" s="27"/>
      <c r="F104" s="197"/>
      <c r="G104" s="211"/>
      <c r="H104" s="195">
        <f>SHF!H63</f>
        <v>35.119199999999992</v>
      </c>
      <c r="I104" s="197"/>
      <c r="J104" s="195">
        <f>SHF!J63</f>
        <v>257.60072117968605</v>
      </c>
      <c r="K104" s="289"/>
      <c r="L104" s="274"/>
      <c r="M104" s="376">
        <v>0.22499999999999998</v>
      </c>
    </row>
    <row r="105" spans="1:13">
      <c r="A105" s="25" t="s">
        <v>1006</v>
      </c>
      <c r="B105" s="26" t="s">
        <v>211</v>
      </c>
      <c r="C105" s="26"/>
      <c r="D105" s="26"/>
      <c r="E105" s="27"/>
      <c r="F105" s="197"/>
      <c r="G105" s="211"/>
      <c r="H105" s="195">
        <f>SHF!H73</f>
        <v>19.850764639779044</v>
      </c>
      <c r="I105" s="197"/>
      <c r="J105" s="195">
        <f>SHF!J73</f>
        <v>73.367744311147007</v>
      </c>
      <c r="K105" s="289"/>
      <c r="L105" s="274"/>
      <c r="M105" s="376">
        <v>0.22499999999999998</v>
      </c>
    </row>
    <row r="106" spans="1:13">
      <c r="A106" s="290" t="s">
        <v>1137</v>
      </c>
      <c r="B106" s="11"/>
      <c r="C106" s="11"/>
      <c r="D106" s="11"/>
      <c r="E106" s="191"/>
      <c r="F106" s="197"/>
      <c r="G106" s="211"/>
      <c r="H106" s="89"/>
      <c r="I106" s="197"/>
      <c r="J106" s="89"/>
      <c r="K106" s="289"/>
      <c r="L106" s="274"/>
      <c r="M106" s="994">
        <v>0.22499999999999998</v>
      </c>
    </row>
    <row r="107" spans="1:13">
      <c r="A107" s="25" t="s">
        <v>1008</v>
      </c>
      <c r="B107" s="26" t="s">
        <v>989</v>
      </c>
      <c r="C107" s="26"/>
      <c r="D107" s="26"/>
      <c r="E107" s="27"/>
      <c r="F107" s="195">
        <f>SHF!F81</f>
        <v>23.412799999999997</v>
      </c>
      <c r="G107" s="211"/>
      <c r="H107" s="34"/>
      <c r="I107" s="195">
        <f>SHF!I81</f>
        <v>11.21508</v>
      </c>
      <c r="J107" s="195">
        <f>SHF!J81</f>
        <v>0</v>
      </c>
      <c r="K107" s="289"/>
      <c r="L107" s="274"/>
      <c r="M107" s="268">
        <v>-0.22499999999999998</v>
      </c>
    </row>
    <row r="108" spans="1:13">
      <c r="A108" s="25" t="s">
        <v>1011</v>
      </c>
      <c r="B108" s="26" t="s">
        <v>211</v>
      </c>
      <c r="C108" s="26"/>
      <c r="D108" s="26"/>
      <c r="E108" s="27"/>
      <c r="F108" s="195">
        <f>SHF!F91</f>
        <v>13.233843093186028</v>
      </c>
      <c r="G108" s="211"/>
      <c r="H108" s="197"/>
      <c r="I108" s="195">
        <f>SHF!I91</f>
        <v>0</v>
      </c>
      <c r="J108" s="195">
        <f>SHF!J91</f>
        <v>0</v>
      </c>
      <c r="K108" s="289"/>
      <c r="L108" s="274"/>
      <c r="M108" s="268">
        <v>-0.22499999999999998</v>
      </c>
    </row>
    <row r="109" spans="1:13">
      <c r="A109" s="253"/>
      <c r="B109" s="15"/>
      <c r="C109" s="15"/>
      <c r="D109" s="15"/>
      <c r="E109" s="22"/>
      <c r="F109" s="212"/>
      <c r="G109" s="213"/>
      <c r="H109" s="198"/>
      <c r="I109" s="198"/>
      <c r="J109" s="58"/>
      <c r="K109" s="74"/>
      <c r="L109" s="277"/>
      <c r="M109" s="379"/>
    </row>
    <row r="110" spans="1:13">
      <c r="A110" s="46"/>
      <c r="B110" s="46"/>
      <c r="C110" s="46"/>
      <c r="D110" s="46"/>
      <c r="E110" s="46"/>
      <c r="F110" s="46"/>
      <c r="G110" s="46"/>
      <c r="H110" s="46"/>
      <c r="I110" s="46"/>
      <c r="J110" s="46"/>
      <c r="K110" s="116"/>
      <c r="L110" s="270"/>
      <c r="M110" s="87"/>
    </row>
    <row r="111" spans="1:13">
      <c r="A111" s="220" t="s">
        <v>73</v>
      </c>
      <c r="B111" s="220" t="s">
        <v>74</v>
      </c>
      <c r="C111" s="200"/>
      <c r="D111" s="200"/>
      <c r="E111" s="217"/>
      <c r="F111" s="1636" t="s">
        <v>72</v>
      </c>
      <c r="G111" s="1637"/>
      <c r="H111" s="1637"/>
      <c r="I111" s="1637"/>
      <c r="J111" s="1638"/>
      <c r="K111" s="116"/>
      <c r="L111" s="270"/>
      <c r="M111" s="87"/>
    </row>
    <row r="112" spans="1:13" ht="18">
      <c r="A112" s="221"/>
      <c r="B112" s="221"/>
      <c r="C112" s="201"/>
      <c r="D112" s="201"/>
      <c r="E112" s="219"/>
      <c r="F112" s="223" t="s">
        <v>23</v>
      </c>
      <c r="G112" s="223" t="s">
        <v>87</v>
      </c>
      <c r="H112" s="223" t="s">
        <v>212</v>
      </c>
      <c r="I112" s="223" t="s">
        <v>80</v>
      </c>
      <c r="J112" s="223" t="s">
        <v>81</v>
      </c>
      <c r="K112" s="116"/>
      <c r="L112" s="270"/>
      <c r="M112" s="87"/>
    </row>
    <row r="113" spans="1:13">
      <c r="A113" s="222"/>
      <c r="B113" s="222"/>
      <c r="C113" s="203"/>
      <c r="D113" s="203"/>
      <c r="E113" s="218"/>
      <c r="F113" s="204" t="s">
        <v>34</v>
      </c>
      <c r="G113" s="204" t="s">
        <v>34</v>
      </c>
      <c r="H113" s="203" t="s">
        <v>34</v>
      </c>
      <c r="I113" s="204" t="s">
        <v>77</v>
      </c>
      <c r="J113" s="204" t="s">
        <v>77</v>
      </c>
      <c r="K113" s="116"/>
      <c r="L113" s="270"/>
      <c r="M113" s="87"/>
    </row>
    <row r="114" spans="1:13">
      <c r="A114" s="202"/>
      <c r="B114" s="200"/>
      <c r="C114" s="200"/>
      <c r="D114" s="200"/>
      <c r="E114" s="217"/>
      <c r="F114" s="205"/>
      <c r="G114" s="205"/>
      <c r="H114" s="201"/>
      <c r="I114" s="205"/>
      <c r="J114" s="205"/>
      <c r="K114" s="116"/>
      <c r="L114" s="270"/>
      <c r="M114" s="87"/>
    </row>
    <row r="115" spans="1:13">
      <c r="A115" s="205" t="str">
        <f>A92</f>
        <v>LC-5</v>
      </c>
      <c r="B115" s="201" t="str">
        <f>B92</f>
        <v>LC-1 + Seismic Sx=1,Sz=0.3,Sy=-0.3 (50% seismic)</v>
      </c>
      <c r="C115" s="201"/>
      <c r="D115" s="201"/>
      <c r="E115" s="219"/>
      <c r="F115" s="1054">
        <f>SUMPRODUCT(F95:F108,$M$95:$M$108)</f>
        <v>626.9666075015474</v>
      </c>
      <c r="G115" s="1055">
        <f>SUMPRODUCT(G95:G108,$M$95:$M$108)</f>
        <v>78.541623479834271</v>
      </c>
      <c r="H115" s="1055">
        <f>SUMPRODUCT(H95:H108,$M$95:$M$108)</f>
        <v>12.368242043950282</v>
      </c>
      <c r="I115" s="1055">
        <f>SUMPRODUCT(I95:I108,$M$95:$M$108)</f>
        <v>660.1752942333602</v>
      </c>
      <c r="J115" s="1055">
        <f>SUMPRODUCT(J95:J108,$M$95:$M$108)</f>
        <v>74.467904735437429</v>
      </c>
      <c r="K115" s="116"/>
      <c r="L115" s="270"/>
      <c r="M115" s="87"/>
    </row>
    <row r="116" spans="1:13">
      <c r="A116" s="204"/>
      <c r="B116" s="203"/>
      <c r="C116" s="203"/>
      <c r="D116" s="203"/>
      <c r="E116" s="218"/>
      <c r="F116" s="204"/>
      <c r="G116" s="204"/>
      <c r="H116" s="203"/>
      <c r="I116" s="204"/>
      <c r="J116" s="204"/>
      <c r="K116" s="116"/>
      <c r="L116" s="270"/>
      <c r="M116" s="87"/>
    </row>
    <row r="117" spans="1:13">
      <c r="A117" s="1"/>
      <c r="B117" s="1"/>
      <c r="C117" s="1"/>
      <c r="D117" s="1"/>
      <c r="E117" s="1"/>
      <c r="F117" s="1"/>
      <c r="G117" s="1"/>
      <c r="H117" s="1"/>
      <c r="I117" s="1"/>
      <c r="J117" s="1"/>
      <c r="K117" s="1"/>
      <c r="L117" s="1"/>
      <c r="M117" s="1"/>
    </row>
    <row r="118" spans="1:13">
      <c r="A118" s="1"/>
      <c r="B118" s="1"/>
      <c r="C118" s="1"/>
      <c r="D118" s="1"/>
      <c r="E118" s="1"/>
      <c r="F118" s="1"/>
      <c r="G118" s="1"/>
      <c r="H118" s="1"/>
      <c r="I118" s="1"/>
      <c r="J118" s="1"/>
      <c r="K118" s="1"/>
      <c r="L118" s="1"/>
      <c r="M118" s="1"/>
    </row>
    <row r="119" spans="1:13">
      <c r="A119" s="225" t="str">
        <f>M119</f>
        <v>LC-6</v>
      </c>
      <c r="B119" s="24" t="str">
        <f>VLOOKUP(A119,LC_DEF_2!A3:B42,2,FALSE)</f>
        <v>LC-1 + Seismic Sx=0.3,Sz=1,Sy=-0.3 (50% seismic)</v>
      </c>
      <c r="C119" s="24"/>
      <c r="D119" s="24"/>
      <c r="E119" s="21"/>
      <c r="F119" s="1599" t="s">
        <v>742</v>
      </c>
      <c r="G119" s="1635"/>
      <c r="H119" s="1635"/>
      <c r="I119" s="1635"/>
      <c r="J119" s="1600"/>
      <c r="K119" s="73"/>
      <c r="L119" s="272"/>
      <c r="M119" s="384" t="s">
        <v>216</v>
      </c>
    </row>
    <row r="120" spans="1:13" ht="18">
      <c r="A120" s="25" t="s">
        <v>73</v>
      </c>
      <c r="B120" s="26" t="s">
        <v>74</v>
      </c>
      <c r="C120" s="26"/>
      <c r="D120" s="26"/>
      <c r="E120" s="27"/>
      <c r="F120" s="33" t="s">
        <v>23</v>
      </c>
      <c r="G120" s="33" t="s">
        <v>87</v>
      </c>
      <c r="H120" s="33" t="s">
        <v>212</v>
      </c>
      <c r="I120" s="33" t="s">
        <v>80</v>
      </c>
      <c r="J120" s="33" t="s">
        <v>81</v>
      </c>
      <c r="K120" s="273"/>
      <c r="L120" s="274"/>
      <c r="M120" s="376"/>
    </row>
    <row r="121" spans="1:13">
      <c r="A121" s="25"/>
      <c r="B121" s="26"/>
      <c r="C121" s="26"/>
      <c r="D121" s="26"/>
      <c r="E121" s="27"/>
      <c r="F121" s="36" t="s">
        <v>34</v>
      </c>
      <c r="G121" s="36" t="s">
        <v>34</v>
      </c>
      <c r="H121" s="36" t="s">
        <v>34</v>
      </c>
      <c r="I121" s="36" t="s">
        <v>77</v>
      </c>
      <c r="J121" s="36" t="s">
        <v>77</v>
      </c>
      <c r="K121" s="74"/>
      <c r="L121" s="277"/>
      <c r="M121" s="655"/>
    </row>
    <row r="122" spans="1:13">
      <c r="A122" s="25" t="s">
        <v>88</v>
      </c>
      <c r="B122" s="26" t="s">
        <v>75</v>
      </c>
      <c r="C122" s="26"/>
      <c r="D122" s="26"/>
      <c r="E122" s="27"/>
      <c r="F122" s="195">
        <f>SHF!F14</f>
        <v>165.42303866482536</v>
      </c>
      <c r="G122" s="210"/>
      <c r="H122" s="34"/>
      <c r="I122" s="195">
        <f>SHF!I14</f>
        <v>0</v>
      </c>
      <c r="J122" s="195">
        <f>SHF!J14</f>
        <v>0</v>
      </c>
      <c r="K122" s="273"/>
      <c r="L122" s="274"/>
      <c r="M122" s="268">
        <v>1.35</v>
      </c>
    </row>
    <row r="123" spans="1:13">
      <c r="A123" s="25" t="s">
        <v>250</v>
      </c>
      <c r="B123" s="26" t="s">
        <v>970</v>
      </c>
      <c r="C123" s="26"/>
      <c r="D123" s="26"/>
      <c r="E123" s="27"/>
      <c r="F123" s="195">
        <f>SHF!F21</f>
        <v>230</v>
      </c>
      <c r="G123" s="210"/>
      <c r="H123" s="34"/>
      <c r="I123" s="195">
        <f>SHF!I21</f>
        <v>115</v>
      </c>
      <c r="J123" s="195">
        <f>SHF!J21</f>
        <v>0</v>
      </c>
      <c r="K123" s="273"/>
      <c r="L123" s="274"/>
      <c r="M123" s="376">
        <v>1.35</v>
      </c>
    </row>
    <row r="124" spans="1:13">
      <c r="A124" s="25" t="s">
        <v>251</v>
      </c>
      <c r="B124" s="26" t="s">
        <v>971</v>
      </c>
      <c r="C124" s="26"/>
      <c r="D124" s="26"/>
      <c r="E124" s="27"/>
      <c r="F124" s="195">
        <f>SHF!F22</f>
        <v>20.660000000000004</v>
      </c>
      <c r="G124" s="210"/>
      <c r="H124" s="34"/>
      <c r="I124" s="195">
        <f>SHF!I22</f>
        <v>10.330000000000002</v>
      </c>
      <c r="J124" s="195">
        <f>SHF!J22</f>
        <v>0</v>
      </c>
      <c r="K124" s="273"/>
      <c r="L124" s="274"/>
      <c r="M124" s="376">
        <v>1.35</v>
      </c>
    </row>
    <row r="125" spans="1:13">
      <c r="A125" s="25" t="s">
        <v>97</v>
      </c>
      <c r="B125" s="26" t="s">
        <v>972</v>
      </c>
      <c r="C125" s="26"/>
      <c r="D125" s="26"/>
      <c r="E125" s="27"/>
      <c r="F125" s="195">
        <f>SHF!F23</f>
        <v>42</v>
      </c>
      <c r="G125" s="210"/>
      <c r="H125" s="34"/>
      <c r="I125" s="195">
        <f>SHF!I23</f>
        <v>14.858499999999999</v>
      </c>
      <c r="J125" s="195">
        <f>SHF!J23</f>
        <v>0</v>
      </c>
      <c r="K125" s="273"/>
      <c r="L125" s="274"/>
      <c r="M125" s="376">
        <v>1.75</v>
      </c>
    </row>
    <row r="126" spans="1:13">
      <c r="A126" s="25" t="s">
        <v>987</v>
      </c>
      <c r="B126" s="163" t="s">
        <v>957</v>
      </c>
      <c r="C126" s="26"/>
      <c r="D126" s="26"/>
      <c r="E126" s="27"/>
      <c r="F126" s="34"/>
      <c r="G126" s="195">
        <f>SHF!G38</f>
        <v>14.632999999999999</v>
      </c>
      <c r="H126" s="34"/>
      <c r="I126" s="195">
        <f>SHF!I38</f>
        <v>94.821840000000009</v>
      </c>
      <c r="J126" s="34"/>
      <c r="K126" s="273"/>
      <c r="L126" s="274"/>
      <c r="M126" s="376">
        <v>0.75</v>
      </c>
    </row>
    <row r="127" spans="1:13">
      <c r="A127" s="278" t="s">
        <v>1132</v>
      </c>
      <c r="B127" s="262"/>
      <c r="C127" s="262"/>
      <c r="D127" s="262"/>
      <c r="E127" s="263"/>
      <c r="F127" s="1052"/>
      <c r="G127" s="1053"/>
      <c r="H127" s="267"/>
      <c r="I127" s="1052"/>
      <c r="J127" s="267"/>
      <c r="K127" s="289"/>
      <c r="L127" s="274"/>
      <c r="M127" s="412">
        <v>0.22499999999999998</v>
      </c>
    </row>
    <row r="128" spans="1:13">
      <c r="A128" s="25" t="s">
        <v>991</v>
      </c>
      <c r="B128" s="26" t="s">
        <v>989</v>
      </c>
      <c r="C128" s="26"/>
      <c r="D128" s="26"/>
      <c r="E128" s="27"/>
      <c r="F128" s="197"/>
      <c r="G128" s="195">
        <f>SHF!G49</f>
        <v>70.238399999999984</v>
      </c>
      <c r="H128" s="34"/>
      <c r="I128" s="195">
        <f>SHF!I49</f>
        <v>455.14483200000001</v>
      </c>
      <c r="J128" s="89"/>
      <c r="K128" s="289"/>
      <c r="L128" s="274"/>
      <c r="M128" s="268">
        <v>0.22499999999999998</v>
      </c>
    </row>
    <row r="129" spans="1:13">
      <c r="A129" s="25" t="s">
        <v>217</v>
      </c>
      <c r="B129" s="26" t="s">
        <v>211</v>
      </c>
      <c r="C129" s="26"/>
      <c r="D129" s="26"/>
      <c r="E129" s="27"/>
      <c r="F129" s="197"/>
      <c r="G129" s="195">
        <f>SHF!G55</f>
        <v>19.850764639779044</v>
      </c>
      <c r="H129" s="34"/>
      <c r="I129" s="195">
        <f>SHF!I55</f>
        <v>73.367744311147007</v>
      </c>
      <c r="J129" s="89"/>
      <c r="K129" s="289"/>
      <c r="L129" s="274"/>
      <c r="M129" s="376">
        <v>0.22499999999999998</v>
      </c>
    </row>
    <row r="130" spans="1:13">
      <c r="A130" s="278" t="s">
        <v>1135</v>
      </c>
      <c r="B130" s="262"/>
      <c r="C130" s="262"/>
      <c r="D130" s="262"/>
      <c r="E130" s="263"/>
      <c r="F130" s="279"/>
      <c r="G130" s="280"/>
      <c r="H130" s="264"/>
      <c r="I130" s="279"/>
      <c r="J130" s="264"/>
      <c r="K130" s="289"/>
      <c r="L130" s="274"/>
      <c r="M130" s="708">
        <v>0.75</v>
      </c>
    </row>
    <row r="131" spans="1:13">
      <c r="A131" s="25" t="s">
        <v>998</v>
      </c>
      <c r="B131" s="26" t="s">
        <v>989</v>
      </c>
      <c r="C131" s="26"/>
      <c r="D131" s="26"/>
      <c r="E131" s="27"/>
      <c r="F131" s="197"/>
      <c r="G131" s="211"/>
      <c r="H131" s="195">
        <f>SHF!H63</f>
        <v>35.119199999999992</v>
      </c>
      <c r="I131" s="197"/>
      <c r="J131" s="195">
        <f>SHF!J63</f>
        <v>257.60072117968605</v>
      </c>
      <c r="K131" s="289"/>
      <c r="L131" s="274"/>
      <c r="M131" s="376">
        <v>0.75</v>
      </c>
    </row>
    <row r="132" spans="1:13">
      <c r="A132" s="25" t="s">
        <v>1006</v>
      </c>
      <c r="B132" s="26" t="s">
        <v>211</v>
      </c>
      <c r="C132" s="26"/>
      <c r="D132" s="26"/>
      <c r="E132" s="27"/>
      <c r="F132" s="197"/>
      <c r="G132" s="211"/>
      <c r="H132" s="195">
        <f>SHF!H73</f>
        <v>19.850764639779044</v>
      </c>
      <c r="I132" s="197"/>
      <c r="J132" s="195">
        <f>SHF!J73</f>
        <v>73.367744311147007</v>
      </c>
      <c r="K132" s="289"/>
      <c r="L132" s="274"/>
      <c r="M132" s="376">
        <v>0.75</v>
      </c>
    </row>
    <row r="133" spans="1:13">
      <c r="A133" s="290" t="s">
        <v>1137</v>
      </c>
      <c r="B133" s="11"/>
      <c r="C133" s="11"/>
      <c r="D133" s="11"/>
      <c r="E133" s="191"/>
      <c r="F133" s="197"/>
      <c r="G133" s="211"/>
      <c r="H133" s="89"/>
      <c r="I133" s="197"/>
      <c r="J133" s="89"/>
      <c r="K133" s="289"/>
      <c r="L133" s="274"/>
      <c r="M133" s="994">
        <v>0.22499999999999998</v>
      </c>
    </row>
    <row r="134" spans="1:13">
      <c r="A134" s="25" t="s">
        <v>1008</v>
      </c>
      <c r="B134" s="26" t="s">
        <v>989</v>
      </c>
      <c r="C134" s="26"/>
      <c r="D134" s="26"/>
      <c r="E134" s="27"/>
      <c r="F134" s="195">
        <f>SHF!F81</f>
        <v>23.412799999999997</v>
      </c>
      <c r="G134" s="211"/>
      <c r="H134" s="34"/>
      <c r="I134" s="195">
        <f>SHF!I81</f>
        <v>11.21508</v>
      </c>
      <c r="J134" s="195">
        <f>SHF!J81</f>
        <v>0</v>
      </c>
      <c r="K134" s="289"/>
      <c r="L134" s="274"/>
      <c r="M134" s="268">
        <v>-0.22499999999999998</v>
      </c>
    </row>
    <row r="135" spans="1:13">
      <c r="A135" s="25" t="s">
        <v>1011</v>
      </c>
      <c r="B135" s="26" t="s">
        <v>211</v>
      </c>
      <c r="C135" s="26"/>
      <c r="D135" s="26"/>
      <c r="E135" s="27"/>
      <c r="F135" s="195">
        <f>SHF!F91</f>
        <v>13.233843093186028</v>
      </c>
      <c r="G135" s="211"/>
      <c r="H135" s="197"/>
      <c r="I135" s="195">
        <f>SHF!I91</f>
        <v>0</v>
      </c>
      <c r="J135" s="195">
        <f>SHF!J91</f>
        <v>0</v>
      </c>
      <c r="K135" s="289"/>
      <c r="L135" s="274"/>
      <c r="M135" s="268">
        <v>-0.22499999999999998</v>
      </c>
    </row>
    <row r="136" spans="1:13">
      <c r="A136" s="253"/>
      <c r="B136" s="15"/>
      <c r="C136" s="15"/>
      <c r="D136" s="15"/>
      <c r="E136" s="22"/>
      <c r="F136" s="212"/>
      <c r="G136" s="213"/>
      <c r="H136" s="198"/>
      <c r="I136" s="198"/>
      <c r="J136" s="58"/>
      <c r="K136" s="74"/>
      <c r="L136" s="277"/>
      <c r="M136" s="379"/>
    </row>
    <row r="137" spans="1:13">
      <c r="A137" s="46"/>
      <c r="B137" s="46"/>
      <c r="C137" s="46"/>
      <c r="D137" s="46"/>
      <c r="E137" s="46"/>
      <c r="F137" s="46"/>
      <c r="G137" s="46"/>
      <c r="H137" s="46"/>
      <c r="I137" s="46"/>
      <c r="J137" s="46"/>
      <c r="K137" s="116"/>
      <c r="L137" s="270"/>
      <c r="M137" s="87"/>
    </row>
    <row r="138" spans="1:13">
      <c r="A138" s="220" t="s">
        <v>73</v>
      </c>
      <c r="B138" s="220" t="s">
        <v>74</v>
      </c>
      <c r="C138" s="200"/>
      <c r="D138" s="200"/>
      <c r="E138" s="217"/>
      <c r="F138" s="1636" t="s">
        <v>72</v>
      </c>
      <c r="G138" s="1637"/>
      <c r="H138" s="1637"/>
      <c r="I138" s="1637"/>
      <c r="J138" s="1638"/>
      <c r="K138" s="116"/>
      <c r="L138" s="270"/>
      <c r="M138" s="87"/>
    </row>
    <row r="139" spans="1:13" ht="18">
      <c r="A139" s="221"/>
      <c r="B139" s="221"/>
      <c r="C139" s="201"/>
      <c r="D139" s="201"/>
      <c r="E139" s="219"/>
      <c r="F139" s="223" t="s">
        <v>23</v>
      </c>
      <c r="G139" s="223" t="s">
        <v>87</v>
      </c>
      <c r="H139" s="223" t="s">
        <v>212</v>
      </c>
      <c r="I139" s="223" t="s">
        <v>80</v>
      </c>
      <c r="J139" s="223" t="s">
        <v>81</v>
      </c>
      <c r="K139" s="116"/>
      <c r="L139" s="270"/>
      <c r="M139" s="87"/>
    </row>
    <row r="140" spans="1:13">
      <c r="A140" s="222"/>
      <c r="B140" s="222"/>
      <c r="C140" s="203"/>
      <c r="D140" s="203"/>
      <c r="E140" s="218"/>
      <c r="F140" s="204" t="s">
        <v>34</v>
      </c>
      <c r="G140" s="204" t="s">
        <v>34</v>
      </c>
      <c r="H140" s="203" t="s">
        <v>34</v>
      </c>
      <c r="I140" s="204" t="s">
        <v>77</v>
      </c>
      <c r="J140" s="204" t="s">
        <v>77</v>
      </c>
      <c r="K140" s="116"/>
      <c r="L140" s="270"/>
      <c r="M140" s="87"/>
    </row>
    <row r="141" spans="1:13">
      <c r="A141" s="202"/>
      <c r="B141" s="200"/>
      <c r="C141" s="200"/>
      <c r="D141" s="200"/>
      <c r="E141" s="217"/>
      <c r="F141" s="205"/>
      <c r="G141" s="205"/>
      <c r="H141" s="201"/>
      <c r="I141" s="205"/>
      <c r="J141" s="205"/>
      <c r="K141" s="116"/>
      <c r="L141" s="270"/>
      <c r="M141" s="87"/>
    </row>
    <row r="142" spans="1:13">
      <c r="A142" s="205" t="str">
        <f>A119</f>
        <v>LC-6</v>
      </c>
      <c r="B142" s="201" t="str">
        <f>B119</f>
        <v>LC-1 + Seismic Sx=0.3,Sz=1,Sy=-0.3 (50% seismic)</v>
      </c>
      <c r="C142" s="201"/>
      <c r="D142" s="201"/>
      <c r="E142" s="219"/>
      <c r="F142" s="1054">
        <f>SUMPRODUCT(F122:F135,$M$122:$M$135)</f>
        <v>626.9666075015474</v>
      </c>
      <c r="G142" s="1055">
        <f>SUMPRODUCT(G122:G135,$M$122:$M$135)</f>
        <v>31.244812043950279</v>
      </c>
      <c r="H142" s="1055">
        <f>SUMPRODUCT(H122:H135,$M$122:$M$135)</f>
        <v>41.227473479834273</v>
      </c>
      <c r="I142" s="1055">
        <f>SUMPRODUCT(I122:I135,$M$122:$M$135)</f>
        <v>382.70619167000802</v>
      </c>
      <c r="J142" s="1055">
        <f>SUMPRODUCT(J122:J135,$M$122:$M$135)</f>
        <v>248.2263491181248</v>
      </c>
      <c r="K142" s="116"/>
      <c r="L142" s="270"/>
      <c r="M142" s="87"/>
    </row>
    <row r="143" spans="1:13">
      <c r="A143" s="204"/>
      <c r="B143" s="203"/>
      <c r="C143" s="203"/>
      <c r="D143" s="203"/>
      <c r="E143" s="218"/>
      <c r="F143" s="204"/>
      <c r="G143" s="204"/>
      <c r="H143" s="203"/>
      <c r="I143" s="204"/>
      <c r="J143" s="204"/>
      <c r="K143" s="116"/>
      <c r="L143" s="270"/>
      <c r="M143" s="87"/>
    </row>
    <row r="144" spans="1:13">
      <c r="A144" s="1"/>
      <c r="B144" s="1"/>
      <c r="C144" s="1"/>
      <c r="D144" s="1"/>
      <c r="E144" s="1"/>
      <c r="F144" s="1"/>
      <c r="G144" s="1"/>
      <c r="H144" s="1"/>
      <c r="I144" s="1"/>
      <c r="J144" s="1"/>
      <c r="K144" s="1"/>
      <c r="L144" s="1"/>
      <c r="M144" s="1"/>
    </row>
    <row r="145" spans="1:13">
      <c r="A145" s="1"/>
      <c r="B145" s="1"/>
      <c r="C145" s="1"/>
      <c r="D145" s="1"/>
      <c r="E145" s="1"/>
      <c r="F145" s="1"/>
      <c r="G145" s="1"/>
      <c r="H145" s="1"/>
      <c r="I145" s="1"/>
      <c r="J145" s="1"/>
      <c r="K145" s="1"/>
      <c r="L145" s="1"/>
      <c r="M145" s="1"/>
    </row>
    <row r="146" spans="1:13">
      <c r="A146" s="225" t="str">
        <f>M146</f>
        <v>LC-7</v>
      </c>
      <c r="B146" s="24" t="str">
        <f>VLOOKUP(A146,LC_DEF_2!A3:B42,2,FALSE)</f>
        <v>LC-1 + Seismic Sx=1,Sz=0.3,Sy=0.3 (50% seismic)</v>
      </c>
      <c r="C146" s="24"/>
      <c r="D146" s="24"/>
      <c r="E146" s="21"/>
      <c r="F146" s="1599" t="s">
        <v>742</v>
      </c>
      <c r="G146" s="1635"/>
      <c r="H146" s="1635"/>
      <c r="I146" s="1635"/>
      <c r="J146" s="1600"/>
      <c r="K146" s="73"/>
      <c r="L146" s="272"/>
      <c r="M146" s="384" t="s">
        <v>222</v>
      </c>
    </row>
    <row r="147" spans="1:13" ht="18">
      <c r="A147" s="25" t="s">
        <v>73</v>
      </c>
      <c r="B147" s="26" t="s">
        <v>74</v>
      </c>
      <c r="C147" s="26"/>
      <c r="D147" s="26"/>
      <c r="E147" s="27"/>
      <c r="F147" s="33" t="s">
        <v>23</v>
      </c>
      <c r="G147" s="33" t="s">
        <v>87</v>
      </c>
      <c r="H147" s="33" t="s">
        <v>212</v>
      </c>
      <c r="I147" s="33" t="s">
        <v>80</v>
      </c>
      <c r="J147" s="33" t="s">
        <v>81</v>
      </c>
      <c r="K147" s="273"/>
      <c r="L147" s="274"/>
      <c r="M147" s="376"/>
    </row>
    <row r="148" spans="1:13">
      <c r="A148" s="25"/>
      <c r="B148" s="26"/>
      <c r="C148" s="26"/>
      <c r="D148" s="26"/>
      <c r="E148" s="27"/>
      <c r="F148" s="36" t="s">
        <v>34</v>
      </c>
      <c r="G148" s="36" t="s">
        <v>34</v>
      </c>
      <c r="H148" s="36" t="s">
        <v>34</v>
      </c>
      <c r="I148" s="36" t="s">
        <v>77</v>
      </c>
      <c r="J148" s="36" t="s">
        <v>77</v>
      </c>
      <c r="K148" s="74"/>
      <c r="L148" s="277"/>
      <c r="M148" s="655"/>
    </row>
    <row r="149" spans="1:13">
      <c r="A149" s="25" t="s">
        <v>88</v>
      </c>
      <c r="B149" s="26" t="s">
        <v>75</v>
      </c>
      <c r="C149" s="26"/>
      <c r="D149" s="26"/>
      <c r="E149" s="27"/>
      <c r="F149" s="195">
        <f>SHF!F14</f>
        <v>165.42303866482536</v>
      </c>
      <c r="G149" s="210"/>
      <c r="H149" s="34"/>
      <c r="I149" s="195">
        <f>SHF!I14</f>
        <v>0</v>
      </c>
      <c r="J149" s="195">
        <f>SHF!J14</f>
        <v>0</v>
      </c>
      <c r="K149" s="273"/>
      <c r="L149" s="274"/>
      <c r="M149" s="268">
        <v>1.35</v>
      </c>
    </row>
    <row r="150" spans="1:13">
      <c r="A150" s="25" t="s">
        <v>250</v>
      </c>
      <c r="B150" s="26" t="s">
        <v>970</v>
      </c>
      <c r="C150" s="26"/>
      <c r="D150" s="26"/>
      <c r="E150" s="27"/>
      <c r="F150" s="195">
        <f>SHF!F21</f>
        <v>230</v>
      </c>
      <c r="G150" s="210"/>
      <c r="H150" s="34"/>
      <c r="I150" s="195">
        <f>SHF!I21</f>
        <v>115</v>
      </c>
      <c r="J150" s="195">
        <f>SHF!J21</f>
        <v>0</v>
      </c>
      <c r="K150" s="273"/>
      <c r="L150" s="274"/>
      <c r="M150" s="376">
        <v>1.35</v>
      </c>
    </row>
    <row r="151" spans="1:13">
      <c r="A151" s="25" t="s">
        <v>251</v>
      </c>
      <c r="B151" s="26" t="s">
        <v>971</v>
      </c>
      <c r="C151" s="26"/>
      <c r="D151" s="26"/>
      <c r="E151" s="27"/>
      <c r="F151" s="195">
        <f>SHF!F22</f>
        <v>20.660000000000004</v>
      </c>
      <c r="G151" s="210"/>
      <c r="H151" s="34"/>
      <c r="I151" s="195">
        <f>SHF!I22</f>
        <v>10.330000000000002</v>
      </c>
      <c r="J151" s="195">
        <f>SHF!J22</f>
        <v>0</v>
      </c>
      <c r="K151" s="273"/>
      <c r="L151" s="274"/>
      <c r="M151" s="376">
        <v>1.35</v>
      </c>
    </row>
    <row r="152" spans="1:13">
      <c r="A152" s="25" t="s">
        <v>97</v>
      </c>
      <c r="B152" s="26" t="s">
        <v>972</v>
      </c>
      <c r="C152" s="26"/>
      <c r="D152" s="26"/>
      <c r="E152" s="27"/>
      <c r="F152" s="195">
        <f>SHF!F23</f>
        <v>42</v>
      </c>
      <c r="G152" s="210"/>
      <c r="H152" s="34"/>
      <c r="I152" s="195">
        <f>SHF!I23</f>
        <v>14.858499999999999</v>
      </c>
      <c r="J152" s="195">
        <f>SHF!J23</f>
        <v>0</v>
      </c>
      <c r="K152" s="273"/>
      <c r="L152" s="274"/>
      <c r="M152" s="376">
        <v>1.75</v>
      </c>
    </row>
    <row r="153" spans="1:13">
      <c r="A153" s="25" t="s">
        <v>987</v>
      </c>
      <c r="B153" s="163" t="s">
        <v>957</v>
      </c>
      <c r="C153" s="26"/>
      <c r="D153" s="26"/>
      <c r="E153" s="27"/>
      <c r="F153" s="34"/>
      <c r="G153" s="195">
        <f>SHF!G38</f>
        <v>14.632999999999999</v>
      </c>
      <c r="H153" s="34"/>
      <c r="I153" s="195">
        <f>SHF!I38</f>
        <v>94.821840000000009</v>
      </c>
      <c r="J153" s="34"/>
      <c r="K153" s="273"/>
      <c r="L153" s="274"/>
      <c r="M153" s="376">
        <v>0.75</v>
      </c>
    </row>
    <row r="154" spans="1:13">
      <c r="A154" s="278" t="s">
        <v>1132</v>
      </c>
      <c r="B154" s="262"/>
      <c r="C154" s="262"/>
      <c r="D154" s="262"/>
      <c r="E154" s="263"/>
      <c r="F154" s="1052"/>
      <c r="G154" s="1053"/>
      <c r="H154" s="267"/>
      <c r="I154" s="1052"/>
      <c r="J154" s="267"/>
      <c r="K154" s="289"/>
      <c r="L154" s="274"/>
      <c r="M154" s="412">
        <v>0.75</v>
      </c>
    </row>
    <row r="155" spans="1:13">
      <c r="A155" s="25" t="s">
        <v>991</v>
      </c>
      <c r="B155" s="26" t="s">
        <v>989</v>
      </c>
      <c r="C155" s="26"/>
      <c r="D155" s="26"/>
      <c r="E155" s="27"/>
      <c r="F155" s="197"/>
      <c r="G155" s="195">
        <f>SHF!G49</f>
        <v>70.238399999999984</v>
      </c>
      <c r="H155" s="34"/>
      <c r="I155" s="195">
        <f>SHF!I49</f>
        <v>455.14483200000001</v>
      </c>
      <c r="J155" s="89"/>
      <c r="K155" s="289"/>
      <c r="L155" s="274"/>
      <c r="M155" s="268">
        <v>0.75</v>
      </c>
    </row>
    <row r="156" spans="1:13">
      <c r="A156" s="25" t="s">
        <v>217</v>
      </c>
      <c r="B156" s="26" t="s">
        <v>211</v>
      </c>
      <c r="C156" s="26"/>
      <c r="D156" s="26"/>
      <c r="E156" s="27"/>
      <c r="F156" s="197"/>
      <c r="G156" s="195">
        <f>SHF!G55</f>
        <v>19.850764639779044</v>
      </c>
      <c r="H156" s="34"/>
      <c r="I156" s="195">
        <f>SHF!I55</f>
        <v>73.367744311147007</v>
      </c>
      <c r="J156" s="89"/>
      <c r="K156" s="289"/>
      <c r="L156" s="274"/>
      <c r="M156" s="376">
        <v>0.75</v>
      </c>
    </row>
    <row r="157" spans="1:13">
      <c r="A157" s="278" t="s">
        <v>1135</v>
      </c>
      <c r="B157" s="262"/>
      <c r="C157" s="262"/>
      <c r="D157" s="262"/>
      <c r="E157" s="263"/>
      <c r="F157" s="279"/>
      <c r="G157" s="280"/>
      <c r="H157" s="264"/>
      <c r="I157" s="279"/>
      <c r="J157" s="264"/>
      <c r="K157" s="289"/>
      <c r="L157" s="274"/>
      <c r="M157" s="708">
        <v>0.22499999999999998</v>
      </c>
    </row>
    <row r="158" spans="1:13">
      <c r="A158" s="25" t="s">
        <v>998</v>
      </c>
      <c r="B158" s="26" t="s">
        <v>989</v>
      </c>
      <c r="C158" s="26"/>
      <c r="D158" s="26"/>
      <c r="E158" s="27"/>
      <c r="F158" s="197"/>
      <c r="G158" s="211"/>
      <c r="H158" s="195">
        <f>SHF!H63</f>
        <v>35.119199999999992</v>
      </c>
      <c r="I158" s="197"/>
      <c r="J158" s="195">
        <f>SHF!J63</f>
        <v>257.60072117968605</v>
      </c>
      <c r="K158" s="289"/>
      <c r="L158" s="274"/>
      <c r="M158" s="376">
        <v>0.22499999999999998</v>
      </c>
    </row>
    <row r="159" spans="1:13">
      <c r="A159" s="25" t="s">
        <v>1006</v>
      </c>
      <c r="B159" s="26" t="s">
        <v>211</v>
      </c>
      <c r="C159" s="26"/>
      <c r="D159" s="26"/>
      <c r="E159" s="27"/>
      <c r="F159" s="197"/>
      <c r="G159" s="211"/>
      <c r="H159" s="195">
        <f>SHF!H73</f>
        <v>19.850764639779044</v>
      </c>
      <c r="I159" s="197"/>
      <c r="J159" s="195">
        <f>SHF!J73</f>
        <v>73.367744311147007</v>
      </c>
      <c r="K159" s="289"/>
      <c r="L159" s="274"/>
      <c r="M159" s="376">
        <v>0.22499999999999998</v>
      </c>
    </row>
    <row r="160" spans="1:13">
      <c r="A160" s="290" t="s">
        <v>1137</v>
      </c>
      <c r="B160" s="11"/>
      <c r="C160" s="11"/>
      <c r="D160" s="11"/>
      <c r="E160" s="191"/>
      <c r="F160" s="197"/>
      <c r="G160" s="211"/>
      <c r="H160" s="89"/>
      <c r="I160" s="197"/>
      <c r="J160" s="89"/>
      <c r="K160" s="289"/>
      <c r="L160" s="274"/>
      <c r="M160" s="994">
        <v>0.22499999999999998</v>
      </c>
    </row>
    <row r="161" spans="1:13">
      <c r="A161" s="25" t="s">
        <v>1008</v>
      </c>
      <c r="B161" s="26" t="s">
        <v>989</v>
      </c>
      <c r="C161" s="26"/>
      <c r="D161" s="26"/>
      <c r="E161" s="27"/>
      <c r="F161" s="195">
        <f>SHF!F81</f>
        <v>23.412799999999997</v>
      </c>
      <c r="G161" s="211"/>
      <c r="H161" s="34"/>
      <c r="I161" s="195">
        <f>SHF!I81</f>
        <v>11.21508</v>
      </c>
      <c r="J161" s="195">
        <f>SHF!J81</f>
        <v>0</v>
      </c>
      <c r="K161" s="289"/>
      <c r="L161" s="274"/>
      <c r="M161" s="268">
        <v>0.22499999999999998</v>
      </c>
    </row>
    <row r="162" spans="1:13">
      <c r="A162" s="25" t="s">
        <v>1011</v>
      </c>
      <c r="B162" s="26" t="s">
        <v>211</v>
      </c>
      <c r="C162" s="26"/>
      <c r="D162" s="26"/>
      <c r="E162" s="27"/>
      <c r="F162" s="195">
        <f>SHF!F91</f>
        <v>13.233843093186028</v>
      </c>
      <c r="G162" s="211"/>
      <c r="H162" s="197"/>
      <c r="I162" s="195">
        <f>SHF!I91</f>
        <v>0</v>
      </c>
      <c r="J162" s="195">
        <f>SHF!J91</f>
        <v>0</v>
      </c>
      <c r="K162" s="289"/>
      <c r="L162" s="274"/>
      <c r="M162" s="268">
        <v>0.22499999999999998</v>
      </c>
    </row>
    <row r="163" spans="1:13">
      <c r="A163" s="253"/>
      <c r="B163" s="15"/>
      <c r="C163" s="15"/>
      <c r="D163" s="15"/>
      <c r="E163" s="22"/>
      <c r="F163" s="212"/>
      <c r="G163" s="213"/>
      <c r="H163" s="198"/>
      <c r="I163" s="198"/>
      <c r="J163" s="58"/>
      <c r="K163" s="74"/>
      <c r="L163" s="277"/>
      <c r="M163" s="379"/>
    </row>
    <row r="164" spans="1:13">
      <c r="A164" s="46"/>
      <c r="B164" s="46"/>
      <c r="C164" s="46"/>
      <c r="D164" s="46"/>
      <c r="E164" s="46"/>
      <c r="F164" s="46"/>
      <c r="G164" s="46"/>
      <c r="H164" s="46"/>
      <c r="I164" s="46"/>
      <c r="J164" s="46"/>
      <c r="K164" s="116"/>
      <c r="L164" s="270"/>
      <c r="M164" s="87"/>
    </row>
    <row r="165" spans="1:13">
      <c r="A165" s="220" t="s">
        <v>73</v>
      </c>
      <c r="B165" s="220" t="s">
        <v>74</v>
      </c>
      <c r="C165" s="200"/>
      <c r="D165" s="200"/>
      <c r="E165" s="217"/>
      <c r="F165" s="1636" t="s">
        <v>72</v>
      </c>
      <c r="G165" s="1637"/>
      <c r="H165" s="1637"/>
      <c r="I165" s="1637"/>
      <c r="J165" s="1638"/>
      <c r="K165" s="116"/>
      <c r="L165" s="270"/>
      <c r="M165" s="87"/>
    </row>
    <row r="166" spans="1:13" ht="18">
      <c r="A166" s="221"/>
      <c r="B166" s="221"/>
      <c r="C166" s="201"/>
      <c r="D166" s="201"/>
      <c r="E166" s="219"/>
      <c r="F166" s="223" t="s">
        <v>23</v>
      </c>
      <c r="G166" s="223" t="s">
        <v>87</v>
      </c>
      <c r="H166" s="223" t="s">
        <v>212</v>
      </c>
      <c r="I166" s="223" t="s">
        <v>80</v>
      </c>
      <c r="J166" s="223" t="s">
        <v>81</v>
      </c>
      <c r="K166" s="116"/>
      <c r="L166" s="270"/>
      <c r="M166" s="87"/>
    </row>
    <row r="167" spans="1:13">
      <c r="A167" s="222"/>
      <c r="B167" s="222"/>
      <c r="C167" s="203"/>
      <c r="D167" s="203"/>
      <c r="E167" s="218"/>
      <c r="F167" s="204" t="s">
        <v>34</v>
      </c>
      <c r="G167" s="204" t="s">
        <v>34</v>
      </c>
      <c r="H167" s="203" t="s">
        <v>34</v>
      </c>
      <c r="I167" s="204" t="s">
        <v>77</v>
      </c>
      <c r="J167" s="204" t="s">
        <v>77</v>
      </c>
      <c r="K167" s="116"/>
      <c r="L167" s="270"/>
      <c r="M167" s="87"/>
    </row>
    <row r="168" spans="1:13">
      <c r="A168" s="202"/>
      <c r="B168" s="200"/>
      <c r="C168" s="200"/>
      <c r="D168" s="200"/>
      <c r="E168" s="217"/>
      <c r="F168" s="205"/>
      <c r="G168" s="205"/>
      <c r="H168" s="201"/>
      <c r="I168" s="205"/>
      <c r="J168" s="205"/>
      <c r="K168" s="116"/>
      <c r="L168" s="270"/>
      <c r="M168" s="87"/>
    </row>
    <row r="169" spans="1:13">
      <c r="A169" s="205" t="str">
        <f>A146</f>
        <v>LC-7</v>
      </c>
      <c r="B169" s="201" t="str">
        <f>B146</f>
        <v>LC-1 + Seismic Sx=1,Sz=0.3,Sy=0.3 (50% seismic)</v>
      </c>
      <c r="C169" s="201"/>
      <c r="D169" s="201"/>
      <c r="E169" s="219"/>
      <c r="F169" s="1054">
        <f>SUMPRODUCT(F149:F162,$M$149:$M$162)</f>
        <v>643.45759689348108</v>
      </c>
      <c r="G169" s="1055">
        <f>SUMPRODUCT(G149:G162,$M$149:$M$162)</f>
        <v>78.541623479834271</v>
      </c>
      <c r="H169" s="1055">
        <f>SUMPRODUCT(H149:H162,$M$149:$M$162)</f>
        <v>12.368242043950282</v>
      </c>
      <c r="I169" s="1055">
        <f>SUMPRODUCT(I149:I162,$M$149:$M$162)</f>
        <v>665.22208023336032</v>
      </c>
      <c r="J169" s="1055">
        <f>SUMPRODUCT(J149:J162,$M$149:$M$162)</f>
        <v>74.467904735437429</v>
      </c>
      <c r="K169" s="116"/>
      <c r="L169" s="270"/>
      <c r="M169" s="87"/>
    </row>
    <row r="170" spans="1:13">
      <c r="A170" s="204"/>
      <c r="B170" s="203"/>
      <c r="C170" s="203"/>
      <c r="D170" s="203"/>
      <c r="E170" s="218"/>
      <c r="F170" s="204"/>
      <c r="G170" s="204"/>
      <c r="H170" s="203"/>
      <c r="I170" s="204"/>
      <c r="J170" s="204"/>
      <c r="K170" s="116"/>
      <c r="L170" s="270"/>
      <c r="M170" s="87"/>
    </row>
    <row r="171" spans="1:13">
      <c r="A171" s="1"/>
      <c r="B171" s="1"/>
      <c r="C171" s="1"/>
      <c r="D171" s="1"/>
      <c r="E171" s="1"/>
      <c r="F171" s="1"/>
      <c r="G171" s="1"/>
      <c r="H171" s="1"/>
      <c r="I171" s="1"/>
      <c r="J171" s="1"/>
      <c r="K171" s="1"/>
      <c r="L171" s="1"/>
      <c r="M171" s="1"/>
    </row>
    <row r="172" spans="1:13">
      <c r="A172" s="1"/>
      <c r="B172" s="1"/>
      <c r="C172" s="1"/>
      <c r="D172" s="1"/>
      <c r="E172" s="1"/>
      <c r="F172" s="1"/>
      <c r="G172" s="1"/>
      <c r="H172" s="1"/>
      <c r="I172" s="1"/>
      <c r="J172" s="1"/>
      <c r="K172" s="1"/>
      <c r="L172" s="1"/>
      <c r="M172" s="1"/>
    </row>
    <row r="173" spans="1:13">
      <c r="A173" s="225" t="str">
        <f>M173</f>
        <v>LC-8</v>
      </c>
      <c r="B173" s="24" t="str">
        <f>VLOOKUP(A173,LC_DEF_2!A3:B42,2,FALSE)</f>
        <v>LC-1 + Seismic Sx=0.3,Sz=1,Sy=0.3 (50% seismic)</v>
      </c>
      <c r="C173" s="24"/>
      <c r="D173" s="24"/>
      <c r="E173" s="21"/>
      <c r="F173" s="1599" t="s">
        <v>742</v>
      </c>
      <c r="G173" s="1635"/>
      <c r="H173" s="1635"/>
      <c r="I173" s="1635"/>
      <c r="J173" s="1600"/>
      <c r="K173" s="73"/>
      <c r="L173" s="272"/>
      <c r="M173" s="384" t="s">
        <v>223</v>
      </c>
    </row>
    <row r="174" spans="1:13" ht="18">
      <c r="A174" s="25" t="s">
        <v>73</v>
      </c>
      <c r="B174" s="26" t="s">
        <v>74</v>
      </c>
      <c r="C174" s="26"/>
      <c r="D174" s="26"/>
      <c r="E174" s="27"/>
      <c r="F174" s="33" t="s">
        <v>23</v>
      </c>
      <c r="G174" s="33" t="s">
        <v>87</v>
      </c>
      <c r="H174" s="33" t="s">
        <v>212</v>
      </c>
      <c r="I174" s="33" t="s">
        <v>80</v>
      </c>
      <c r="J174" s="33" t="s">
        <v>81</v>
      </c>
      <c r="K174" s="273"/>
      <c r="L174" s="274"/>
      <c r="M174" s="376"/>
    </row>
    <row r="175" spans="1:13">
      <c r="A175" s="25"/>
      <c r="B175" s="26"/>
      <c r="C175" s="26"/>
      <c r="D175" s="26"/>
      <c r="E175" s="27"/>
      <c r="F175" s="36" t="s">
        <v>34</v>
      </c>
      <c r="G175" s="36" t="s">
        <v>34</v>
      </c>
      <c r="H175" s="36" t="s">
        <v>34</v>
      </c>
      <c r="I175" s="36" t="s">
        <v>77</v>
      </c>
      <c r="J175" s="36" t="s">
        <v>77</v>
      </c>
      <c r="K175" s="74"/>
      <c r="L175" s="277"/>
      <c r="M175" s="655"/>
    </row>
    <row r="176" spans="1:13">
      <c r="A176" s="25" t="s">
        <v>88</v>
      </c>
      <c r="B176" s="26" t="s">
        <v>75</v>
      </c>
      <c r="C176" s="26"/>
      <c r="D176" s="26"/>
      <c r="E176" s="27"/>
      <c r="F176" s="195">
        <f>SHF!F14</f>
        <v>165.42303866482536</v>
      </c>
      <c r="G176" s="210"/>
      <c r="H176" s="34"/>
      <c r="I176" s="195">
        <f>SHF!I14</f>
        <v>0</v>
      </c>
      <c r="J176" s="195">
        <f>SHF!J14</f>
        <v>0</v>
      </c>
      <c r="K176" s="273"/>
      <c r="L176" s="274"/>
      <c r="M176" s="268">
        <v>1.35</v>
      </c>
    </row>
    <row r="177" spans="1:13">
      <c r="A177" s="25" t="s">
        <v>250</v>
      </c>
      <c r="B177" s="26" t="s">
        <v>970</v>
      </c>
      <c r="C177" s="26"/>
      <c r="D177" s="26"/>
      <c r="E177" s="27"/>
      <c r="F177" s="195">
        <f>SHF!F21</f>
        <v>230</v>
      </c>
      <c r="G177" s="210"/>
      <c r="H177" s="34"/>
      <c r="I177" s="195">
        <f>SHF!I21</f>
        <v>115</v>
      </c>
      <c r="J177" s="195">
        <f>SHF!J21</f>
        <v>0</v>
      </c>
      <c r="K177" s="273"/>
      <c r="L177" s="274"/>
      <c r="M177" s="376">
        <v>1.35</v>
      </c>
    </row>
    <row r="178" spans="1:13">
      <c r="A178" s="25" t="s">
        <v>251</v>
      </c>
      <c r="B178" s="26" t="s">
        <v>971</v>
      </c>
      <c r="C178" s="26"/>
      <c r="D178" s="26"/>
      <c r="E178" s="27"/>
      <c r="F178" s="195">
        <f>SHF!F22</f>
        <v>20.660000000000004</v>
      </c>
      <c r="G178" s="210"/>
      <c r="H178" s="34"/>
      <c r="I178" s="195">
        <f>SHF!I22</f>
        <v>10.330000000000002</v>
      </c>
      <c r="J178" s="195">
        <f>SHF!J22</f>
        <v>0</v>
      </c>
      <c r="K178" s="273"/>
      <c r="L178" s="274"/>
      <c r="M178" s="376">
        <v>1.35</v>
      </c>
    </row>
    <row r="179" spans="1:13">
      <c r="A179" s="25" t="s">
        <v>97</v>
      </c>
      <c r="B179" s="26" t="s">
        <v>972</v>
      </c>
      <c r="C179" s="26"/>
      <c r="D179" s="26"/>
      <c r="E179" s="27"/>
      <c r="F179" s="195">
        <f>SHF!F23</f>
        <v>42</v>
      </c>
      <c r="G179" s="210"/>
      <c r="H179" s="34"/>
      <c r="I179" s="195">
        <f>SHF!I23</f>
        <v>14.858499999999999</v>
      </c>
      <c r="J179" s="195">
        <f>SHF!J23</f>
        <v>0</v>
      </c>
      <c r="K179" s="273"/>
      <c r="L179" s="274"/>
      <c r="M179" s="376">
        <v>1.75</v>
      </c>
    </row>
    <row r="180" spans="1:13">
      <c r="A180" s="25" t="s">
        <v>987</v>
      </c>
      <c r="B180" s="163" t="s">
        <v>957</v>
      </c>
      <c r="C180" s="26"/>
      <c r="D180" s="26"/>
      <c r="E180" s="27"/>
      <c r="F180" s="34"/>
      <c r="G180" s="195">
        <f>SHF!G38</f>
        <v>14.632999999999999</v>
      </c>
      <c r="H180" s="34"/>
      <c r="I180" s="195">
        <f>SHF!I38</f>
        <v>94.821840000000009</v>
      </c>
      <c r="J180" s="34"/>
      <c r="K180" s="273"/>
      <c r="L180" s="274"/>
      <c r="M180" s="376">
        <v>0.75</v>
      </c>
    </row>
    <row r="181" spans="1:13">
      <c r="A181" s="278" t="s">
        <v>1132</v>
      </c>
      <c r="B181" s="262"/>
      <c r="C181" s="262"/>
      <c r="D181" s="262"/>
      <c r="E181" s="263"/>
      <c r="F181" s="1052"/>
      <c r="G181" s="1053"/>
      <c r="H181" s="267"/>
      <c r="I181" s="1052"/>
      <c r="J181" s="267"/>
      <c r="K181" s="289"/>
      <c r="L181" s="274"/>
      <c r="M181" s="412">
        <v>0.22499999999999998</v>
      </c>
    </row>
    <row r="182" spans="1:13">
      <c r="A182" s="25" t="s">
        <v>991</v>
      </c>
      <c r="B182" s="26" t="s">
        <v>989</v>
      </c>
      <c r="C182" s="26"/>
      <c r="D182" s="26"/>
      <c r="E182" s="27"/>
      <c r="F182" s="197"/>
      <c r="G182" s="195">
        <f>SHF!G49</f>
        <v>70.238399999999984</v>
      </c>
      <c r="H182" s="34"/>
      <c r="I182" s="195">
        <f>SHF!I49</f>
        <v>455.14483200000001</v>
      </c>
      <c r="J182" s="89"/>
      <c r="K182" s="289"/>
      <c r="L182" s="274"/>
      <c r="M182" s="268">
        <v>0.22499999999999998</v>
      </c>
    </row>
    <row r="183" spans="1:13">
      <c r="A183" s="25" t="s">
        <v>217</v>
      </c>
      <c r="B183" s="26" t="s">
        <v>211</v>
      </c>
      <c r="C183" s="26"/>
      <c r="D183" s="26"/>
      <c r="E183" s="27"/>
      <c r="F183" s="197"/>
      <c r="G183" s="195">
        <f>SHF!G55</f>
        <v>19.850764639779044</v>
      </c>
      <c r="H183" s="34"/>
      <c r="I183" s="195">
        <f>SHF!I55</f>
        <v>73.367744311147007</v>
      </c>
      <c r="J183" s="89"/>
      <c r="K183" s="289"/>
      <c r="L183" s="274"/>
      <c r="M183" s="376">
        <v>0.22499999999999998</v>
      </c>
    </row>
    <row r="184" spans="1:13">
      <c r="A184" s="278" t="s">
        <v>1135</v>
      </c>
      <c r="B184" s="262"/>
      <c r="C184" s="262"/>
      <c r="D184" s="262"/>
      <c r="E184" s="263"/>
      <c r="F184" s="279"/>
      <c r="G184" s="280"/>
      <c r="H184" s="264"/>
      <c r="I184" s="279"/>
      <c r="J184" s="264"/>
      <c r="K184" s="289"/>
      <c r="L184" s="274"/>
      <c r="M184" s="708">
        <v>0.75</v>
      </c>
    </row>
    <row r="185" spans="1:13">
      <c r="A185" s="25" t="s">
        <v>998</v>
      </c>
      <c r="B185" s="26" t="s">
        <v>989</v>
      </c>
      <c r="C185" s="26"/>
      <c r="D185" s="26"/>
      <c r="E185" s="27"/>
      <c r="F185" s="197"/>
      <c r="G185" s="211"/>
      <c r="H185" s="195">
        <f>SHF!H63</f>
        <v>35.119199999999992</v>
      </c>
      <c r="I185" s="197"/>
      <c r="J185" s="195">
        <f>SHF!J63</f>
        <v>257.60072117968605</v>
      </c>
      <c r="K185" s="289"/>
      <c r="L185" s="274"/>
      <c r="M185" s="376">
        <v>0.75</v>
      </c>
    </row>
    <row r="186" spans="1:13">
      <c r="A186" s="25" t="s">
        <v>1006</v>
      </c>
      <c r="B186" s="26" t="s">
        <v>211</v>
      </c>
      <c r="C186" s="26"/>
      <c r="D186" s="26"/>
      <c r="E186" s="27"/>
      <c r="F186" s="197"/>
      <c r="G186" s="211"/>
      <c r="H186" s="195">
        <f>SHF!H73</f>
        <v>19.850764639779044</v>
      </c>
      <c r="I186" s="197"/>
      <c r="J186" s="195">
        <f>SHF!J73</f>
        <v>73.367744311147007</v>
      </c>
      <c r="K186" s="289"/>
      <c r="L186" s="274"/>
      <c r="M186" s="376">
        <v>0.75</v>
      </c>
    </row>
    <row r="187" spans="1:13">
      <c r="A187" s="290" t="s">
        <v>1137</v>
      </c>
      <c r="B187" s="11"/>
      <c r="C187" s="11"/>
      <c r="D187" s="11"/>
      <c r="E187" s="191"/>
      <c r="F187" s="197"/>
      <c r="G187" s="211"/>
      <c r="H187" s="89"/>
      <c r="I187" s="197"/>
      <c r="J187" s="89"/>
      <c r="K187" s="289"/>
      <c r="L187" s="274"/>
      <c r="M187" s="994">
        <v>0.22499999999999998</v>
      </c>
    </row>
    <row r="188" spans="1:13">
      <c r="A188" s="25" t="s">
        <v>1008</v>
      </c>
      <c r="B188" s="26" t="s">
        <v>989</v>
      </c>
      <c r="C188" s="26"/>
      <c r="D188" s="26"/>
      <c r="E188" s="27"/>
      <c r="F188" s="195">
        <f>SHF!F81</f>
        <v>23.412799999999997</v>
      </c>
      <c r="G188" s="211"/>
      <c r="H188" s="34"/>
      <c r="I188" s="195">
        <f>SHF!I81</f>
        <v>11.21508</v>
      </c>
      <c r="J188" s="195">
        <f>SHF!J81</f>
        <v>0</v>
      </c>
      <c r="K188" s="289"/>
      <c r="L188" s="274"/>
      <c r="M188" s="268">
        <v>0.22499999999999998</v>
      </c>
    </row>
    <row r="189" spans="1:13">
      <c r="A189" s="25" t="s">
        <v>1011</v>
      </c>
      <c r="B189" s="26" t="s">
        <v>211</v>
      </c>
      <c r="C189" s="26"/>
      <c r="D189" s="26"/>
      <c r="E189" s="27"/>
      <c r="F189" s="195">
        <f>SHF!F91</f>
        <v>13.233843093186028</v>
      </c>
      <c r="G189" s="211"/>
      <c r="H189" s="197"/>
      <c r="I189" s="195">
        <f>SHF!I91</f>
        <v>0</v>
      </c>
      <c r="J189" s="195">
        <f>SHF!J91</f>
        <v>0</v>
      </c>
      <c r="K189" s="289"/>
      <c r="L189" s="274"/>
      <c r="M189" s="268">
        <v>0.22499999999999998</v>
      </c>
    </row>
    <row r="190" spans="1:13">
      <c r="A190" s="253"/>
      <c r="B190" s="15"/>
      <c r="C190" s="15"/>
      <c r="D190" s="15"/>
      <c r="E190" s="22"/>
      <c r="F190" s="212"/>
      <c r="G190" s="213"/>
      <c r="H190" s="198"/>
      <c r="I190" s="198"/>
      <c r="J190" s="58"/>
      <c r="K190" s="74"/>
      <c r="L190" s="277"/>
      <c r="M190" s="379"/>
    </row>
    <row r="191" spans="1:13">
      <c r="A191" s="46"/>
      <c r="B191" s="46"/>
      <c r="C191" s="46"/>
      <c r="D191" s="46"/>
      <c r="E191" s="46"/>
      <c r="F191" s="46"/>
      <c r="G191" s="46"/>
      <c r="H191" s="46"/>
      <c r="I191" s="46"/>
      <c r="J191" s="46"/>
      <c r="K191" s="116"/>
      <c r="L191" s="270"/>
      <c r="M191" s="87"/>
    </row>
    <row r="192" spans="1:13">
      <c r="A192" s="220" t="s">
        <v>73</v>
      </c>
      <c r="B192" s="220" t="s">
        <v>74</v>
      </c>
      <c r="C192" s="200"/>
      <c r="D192" s="200"/>
      <c r="E192" s="217"/>
      <c r="F192" s="1636" t="s">
        <v>72</v>
      </c>
      <c r="G192" s="1637"/>
      <c r="H192" s="1637"/>
      <c r="I192" s="1637"/>
      <c r="J192" s="1638"/>
      <c r="K192" s="116"/>
      <c r="L192" s="270"/>
      <c r="M192" s="87"/>
    </row>
    <row r="193" spans="1:13" ht="18">
      <c r="A193" s="221"/>
      <c r="B193" s="221"/>
      <c r="C193" s="201"/>
      <c r="D193" s="201"/>
      <c r="E193" s="219"/>
      <c r="F193" s="223" t="s">
        <v>23</v>
      </c>
      <c r="G193" s="223" t="s">
        <v>87</v>
      </c>
      <c r="H193" s="223" t="s">
        <v>212</v>
      </c>
      <c r="I193" s="223" t="s">
        <v>80</v>
      </c>
      <c r="J193" s="223" t="s">
        <v>81</v>
      </c>
      <c r="K193" s="116"/>
      <c r="L193" s="270"/>
      <c r="M193" s="87"/>
    </row>
    <row r="194" spans="1:13">
      <c r="A194" s="222"/>
      <c r="B194" s="222"/>
      <c r="C194" s="203"/>
      <c r="D194" s="203"/>
      <c r="E194" s="218"/>
      <c r="F194" s="204" t="s">
        <v>34</v>
      </c>
      <c r="G194" s="204" t="s">
        <v>34</v>
      </c>
      <c r="H194" s="203" t="s">
        <v>34</v>
      </c>
      <c r="I194" s="204" t="s">
        <v>77</v>
      </c>
      <c r="J194" s="204" t="s">
        <v>77</v>
      </c>
      <c r="K194" s="116"/>
      <c r="L194" s="270"/>
      <c r="M194" s="87"/>
    </row>
    <row r="195" spans="1:13">
      <c r="A195" s="202"/>
      <c r="B195" s="200"/>
      <c r="C195" s="200"/>
      <c r="D195" s="200"/>
      <c r="E195" s="217"/>
      <c r="F195" s="205"/>
      <c r="G195" s="205"/>
      <c r="H195" s="201"/>
      <c r="I195" s="205"/>
      <c r="J195" s="205"/>
      <c r="K195" s="116"/>
      <c r="L195" s="270"/>
      <c r="M195" s="87"/>
    </row>
    <row r="196" spans="1:13">
      <c r="A196" s="205" t="str">
        <f>A173</f>
        <v>LC-8</v>
      </c>
      <c r="B196" s="201" t="str">
        <f>B173</f>
        <v>LC-1 + Seismic Sx=0.3,Sz=1,Sy=0.3 (50% seismic)</v>
      </c>
      <c r="C196" s="201"/>
      <c r="D196" s="201"/>
      <c r="E196" s="219"/>
      <c r="F196" s="1054">
        <f>SUMPRODUCT(F176:F189,$M$176:$M$189)</f>
        <v>643.45759689348108</v>
      </c>
      <c r="G196" s="1055">
        <f>SUMPRODUCT(G176:G189,$M$176:$M$189)</f>
        <v>31.244812043950279</v>
      </c>
      <c r="H196" s="1055">
        <f>SUMPRODUCT(H176:H189,$M$176:$M$189)</f>
        <v>41.227473479834273</v>
      </c>
      <c r="I196" s="1055">
        <f>SUMPRODUCT(I176:I189,$M$176:$M$189)</f>
        <v>387.75297767000802</v>
      </c>
      <c r="J196" s="1055">
        <f>SUMPRODUCT(J176:J189,$M$176:$M$189)</f>
        <v>248.2263491181248</v>
      </c>
      <c r="K196" s="116"/>
      <c r="L196" s="270"/>
      <c r="M196" s="87"/>
    </row>
    <row r="197" spans="1:13">
      <c r="A197" s="204"/>
      <c r="B197" s="203"/>
      <c r="C197" s="203"/>
      <c r="D197" s="203"/>
      <c r="E197" s="218"/>
      <c r="F197" s="204"/>
      <c r="G197" s="204"/>
      <c r="H197" s="203"/>
      <c r="I197" s="204"/>
      <c r="J197" s="204"/>
      <c r="K197" s="116"/>
      <c r="L197" s="270"/>
      <c r="M197" s="87"/>
    </row>
    <row r="198" spans="1:13">
      <c r="A198" s="1"/>
      <c r="B198" s="1"/>
      <c r="C198" s="1"/>
      <c r="D198" s="1"/>
      <c r="E198" s="1"/>
      <c r="F198" s="1"/>
      <c r="G198" s="1"/>
      <c r="H198" s="1"/>
      <c r="I198" s="1"/>
      <c r="J198" s="1"/>
      <c r="K198" s="1"/>
      <c r="L198" s="1"/>
      <c r="M198" s="1"/>
    </row>
    <row r="199" spans="1:13">
      <c r="A199" s="1"/>
      <c r="B199" s="1"/>
      <c r="C199" s="1"/>
      <c r="D199" s="1"/>
      <c r="E199" s="1"/>
      <c r="F199" s="1"/>
      <c r="G199" s="1"/>
      <c r="H199" s="1"/>
      <c r="I199" s="1"/>
      <c r="J199" s="1"/>
      <c r="K199" s="1"/>
      <c r="L199" s="1"/>
      <c r="M199" s="1"/>
    </row>
    <row r="200" spans="1:13">
      <c r="A200" s="225" t="str">
        <f>M200</f>
        <v>LC-9</v>
      </c>
      <c r="B200" s="24" t="str">
        <f>VLOOKUP(A200,LC_DEF_2!A3:B42,2,FALSE)</f>
        <v>LC-2 + Seismic Sx=1,Sz=0.3,Sy=-0.3</v>
      </c>
      <c r="C200" s="24"/>
      <c r="D200" s="24"/>
      <c r="E200" s="21"/>
      <c r="F200" s="1599" t="s">
        <v>742</v>
      </c>
      <c r="G200" s="1635"/>
      <c r="H200" s="1635"/>
      <c r="I200" s="1635"/>
      <c r="J200" s="1600"/>
      <c r="K200" s="73"/>
      <c r="L200" s="272"/>
      <c r="M200" s="384" t="s">
        <v>224</v>
      </c>
    </row>
    <row r="201" spans="1:13" ht="18">
      <c r="A201" s="25" t="s">
        <v>73</v>
      </c>
      <c r="B201" s="26" t="s">
        <v>74</v>
      </c>
      <c r="C201" s="26"/>
      <c r="D201" s="26"/>
      <c r="E201" s="27"/>
      <c r="F201" s="33" t="s">
        <v>23</v>
      </c>
      <c r="G201" s="33" t="s">
        <v>87</v>
      </c>
      <c r="H201" s="33" t="s">
        <v>212</v>
      </c>
      <c r="I201" s="33" t="s">
        <v>80</v>
      </c>
      <c r="J201" s="33" t="s">
        <v>81</v>
      </c>
      <c r="K201" s="273"/>
      <c r="L201" s="274"/>
      <c r="M201" s="376"/>
    </row>
    <row r="202" spans="1:13">
      <c r="A202" s="25"/>
      <c r="B202" s="26"/>
      <c r="C202" s="26"/>
      <c r="D202" s="26"/>
      <c r="E202" s="27"/>
      <c r="F202" s="36" t="s">
        <v>34</v>
      </c>
      <c r="G202" s="36" t="s">
        <v>34</v>
      </c>
      <c r="H202" s="36" t="s">
        <v>34</v>
      </c>
      <c r="I202" s="36" t="s">
        <v>77</v>
      </c>
      <c r="J202" s="36" t="s">
        <v>77</v>
      </c>
      <c r="K202" s="74"/>
      <c r="L202" s="277"/>
      <c r="M202" s="655"/>
    </row>
    <row r="203" spans="1:13">
      <c r="A203" s="25" t="s">
        <v>88</v>
      </c>
      <c r="B203" s="26" t="s">
        <v>75</v>
      </c>
      <c r="C203" s="26"/>
      <c r="D203" s="26"/>
      <c r="E203" s="27"/>
      <c r="F203" s="195">
        <f>SHF!F14</f>
        <v>165.42303866482536</v>
      </c>
      <c r="G203" s="210"/>
      <c r="H203" s="34"/>
      <c r="I203" s="195">
        <f>SHF!I14</f>
        <v>0</v>
      </c>
      <c r="J203" s="195">
        <f>SHF!J14</f>
        <v>0</v>
      </c>
      <c r="K203" s="273"/>
      <c r="L203" s="274"/>
      <c r="M203" s="268">
        <v>1.35</v>
      </c>
    </row>
    <row r="204" spans="1:13">
      <c r="A204" s="25" t="s">
        <v>250</v>
      </c>
      <c r="B204" s="26" t="s">
        <v>967</v>
      </c>
      <c r="C204" s="26"/>
      <c r="D204" s="26"/>
      <c r="E204" s="27"/>
      <c r="F204" s="195">
        <f>SHF!F17</f>
        <v>230</v>
      </c>
      <c r="G204" s="210"/>
      <c r="H204" s="34"/>
      <c r="I204" s="195">
        <f>SHF!I17</f>
        <v>-115</v>
      </c>
      <c r="J204" s="195">
        <f>SHF!J17</f>
        <v>0</v>
      </c>
      <c r="K204" s="273"/>
      <c r="L204" s="274"/>
      <c r="M204" s="268">
        <v>1.35</v>
      </c>
    </row>
    <row r="205" spans="1:13">
      <c r="A205" s="25" t="s">
        <v>251</v>
      </c>
      <c r="B205" s="26" t="s">
        <v>968</v>
      </c>
      <c r="C205" s="26"/>
      <c r="D205" s="26"/>
      <c r="E205" s="27"/>
      <c r="F205" s="195">
        <f>SHF!F18</f>
        <v>20.660000000000004</v>
      </c>
      <c r="G205" s="210"/>
      <c r="H205" s="34"/>
      <c r="I205" s="195">
        <f>SHF!I18</f>
        <v>-10.330000000000002</v>
      </c>
      <c r="J205" s="195">
        <f>SHF!J18</f>
        <v>0</v>
      </c>
      <c r="K205" s="273"/>
      <c r="L205" s="274"/>
      <c r="M205" s="268">
        <v>1.35</v>
      </c>
    </row>
    <row r="206" spans="1:13">
      <c r="A206" s="25" t="s">
        <v>97</v>
      </c>
      <c r="B206" s="26" t="s">
        <v>969</v>
      </c>
      <c r="C206" s="26"/>
      <c r="D206" s="26"/>
      <c r="E206" s="27"/>
      <c r="F206" s="195">
        <f>SHF!F19</f>
        <v>42</v>
      </c>
      <c r="G206" s="210"/>
      <c r="H206" s="34"/>
      <c r="I206" s="195">
        <f>SHF!I19</f>
        <v>-14.858499999999999</v>
      </c>
      <c r="J206" s="195">
        <f>SHF!J19</f>
        <v>0</v>
      </c>
      <c r="K206" s="273"/>
      <c r="L206" s="274"/>
      <c r="M206" s="268">
        <v>1.35</v>
      </c>
    </row>
    <row r="207" spans="1:13">
      <c r="A207" s="25" t="s">
        <v>250</v>
      </c>
      <c r="B207" s="26" t="s">
        <v>970</v>
      </c>
      <c r="C207" s="26"/>
      <c r="D207" s="26"/>
      <c r="E207" s="27"/>
      <c r="F207" s="195">
        <f>SHF!F21</f>
        <v>230</v>
      </c>
      <c r="G207" s="210"/>
      <c r="H207" s="34"/>
      <c r="I207" s="195">
        <f>SHF!I21</f>
        <v>115</v>
      </c>
      <c r="J207" s="195">
        <f>SHF!J21</f>
        <v>0</v>
      </c>
      <c r="K207" s="273"/>
      <c r="L207" s="274"/>
      <c r="M207" s="376">
        <v>1.35</v>
      </c>
    </row>
    <row r="208" spans="1:13">
      <c r="A208" s="25" t="s">
        <v>251</v>
      </c>
      <c r="B208" s="26" t="s">
        <v>971</v>
      </c>
      <c r="C208" s="26"/>
      <c r="D208" s="26"/>
      <c r="E208" s="27"/>
      <c r="F208" s="195">
        <f>SHF!F22</f>
        <v>20.660000000000004</v>
      </c>
      <c r="G208" s="210"/>
      <c r="H208" s="34"/>
      <c r="I208" s="195">
        <f>SHF!I22</f>
        <v>10.330000000000002</v>
      </c>
      <c r="J208" s="195">
        <f>SHF!J22</f>
        <v>0</v>
      </c>
      <c r="K208" s="273"/>
      <c r="L208" s="274"/>
      <c r="M208" s="376">
        <v>1.35</v>
      </c>
    </row>
    <row r="209" spans="1:13">
      <c r="A209" s="25" t="s">
        <v>97</v>
      </c>
      <c r="B209" s="26" t="s">
        <v>972</v>
      </c>
      <c r="C209" s="26"/>
      <c r="D209" s="26"/>
      <c r="E209" s="27"/>
      <c r="F209" s="195">
        <f>SHF!F23</f>
        <v>42</v>
      </c>
      <c r="G209" s="210"/>
      <c r="H209" s="34"/>
      <c r="I209" s="195">
        <f>SHF!I23</f>
        <v>14.858499999999999</v>
      </c>
      <c r="J209" s="195">
        <f>SHF!J23</f>
        <v>0</v>
      </c>
      <c r="K209" s="273"/>
      <c r="L209" s="274"/>
      <c r="M209" s="376">
        <v>1.75</v>
      </c>
    </row>
    <row r="210" spans="1:13">
      <c r="A210" s="25" t="s">
        <v>986</v>
      </c>
      <c r="B210" s="163" t="s">
        <v>955</v>
      </c>
      <c r="C210" s="26"/>
      <c r="D210" s="26"/>
      <c r="E210" s="27"/>
      <c r="F210" s="34"/>
      <c r="G210" s="195">
        <f>SHF!G37</f>
        <v>5.8532000000000011</v>
      </c>
      <c r="H210" s="34"/>
      <c r="I210" s="195">
        <f>SHF!I37</f>
        <v>37.928736000000015</v>
      </c>
      <c r="J210" s="34"/>
      <c r="K210" s="273"/>
      <c r="L210" s="274"/>
      <c r="M210" s="376">
        <v>1.35</v>
      </c>
    </row>
    <row r="211" spans="1:13">
      <c r="A211" s="278" t="s">
        <v>1132</v>
      </c>
      <c r="B211" s="262"/>
      <c r="C211" s="262"/>
      <c r="D211" s="262"/>
      <c r="E211" s="263"/>
      <c r="F211" s="1052"/>
      <c r="G211" s="1053"/>
      <c r="H211" s="267"/>
      <c r="I211" s="1052"/>
      <c r="J211" s="267"/>
      <c r="K211" s="289"/>
      <c r="L211" s="274"/>
      <c r="M211" s="412">
        <v>1.5</v>
      </c>
    </row>
    <row r="212" spans="1:13">
      <c r="A212" s="25" t="s">
        <v>991</v>
      </c>
      <c r="B212" s="26" t="s">
        <v>989</v>
      </c>
      <c r="C212" s="26"/>
      <c r="D212" s="26"/>
      <c r="E212" s="27"/>
      <c r="F212" s="197"/>
      <c r="G212" s="195">
        <f>SHF!G49</f>
        <v>70.238399999999984</v>
      </c>
      <c r="H212" s="34"/>
      <c r="I212" s="195">
        <f>SHF!I49</f>
        <v>455.14483200000001</v>
      </c>
      <c r="J212" s="89"/>
      <c r="K212" s="289"/>
      <c r="L212" s="274"/>
      <c r="M212" s="268">
        <v>1.5</v>
      </c>
    </row>
    <row r="213" spans="1:13">
      <c r="A213" s="25" t="s">
        <v>217</v>
      </c>
      <c r="B213" s="26" t="s">
        <v>211</v>
      </c>
      <c r="C213" s="26"/>
      <c r="D213" s="26"/>
      <c r="E213" s="27"/>
      <c r="F213" s="197"/>
      <c r="G213" s="195">
        <f>SHF!G55</f>
        <v>19.850764639779044</v>
      </c>
      <c r="H213" s="34"/>
      <c r="I213" s="195">
        <f>SHF!I55</f>
        <v>73.367744311147007</v>
      </c>
      <c r="J213" s="89"/>
      <c r="K213" s="289"/>
      <c r="L213" s="274"/>
      <c r="M213" s="376">
        <v>1.5</v>
      </c>
    </row>
    <row r="214" spans="1:13">
      <c r="A214" s="278" t="s">
        <v>1135</v>
      </c>
      <c r="B214" s="262"/>
      <c r="C214" s="262"/>
      <c r="D214" s="262"/>
      <c r="E214" s="263"/>
      <c r="F214" s="279"/>
      <c r="G214" s="280"/>
      <c r="H214" s="264"/>
      <c r="I214" s="279"/>
      <c r="J214" s="264"/>
      <c r="K214" s="289"/>
      <c r="L214" s="274"/>
      <c r="M214" s="708">
        <v>0.44999999999999996</v>
      </c>
    </row>
    <row r="215" spans="1:13">
      <c r="A215" s="25" t="s">
        <v>997</v>
      </c>
      <c r="B215" s="26" t="s">
        <v>988</v>
      </c>
      <c r="C215" s="26"/>
      <c r="D215" s="26"/>
      <c r="E215" s="27"/>
      <c r="F215" s="197"/>
      <c r="G215" s="211"/>
      <c r="H215" s="195">
        <f>SHF!H62</f>
        <v>35.119199999999992</v>
      </c>
      <c r="I215" s="197"/>
      <c r="J215" s="195">
        <f>SHF!J62</f>
        <v>257.60072117968605</v>
      </c>
      <c r="K215" s="289"/>
      <c r="L215" s="274"/>
      <c r="M215" s="268">
        <v>0.44999999999999996</v>
      </c>
    </row>
    <row r="216" spans="1:13">
      <c r="A216" s="25" t="s">
        <v>998</v>
      </c>
      <c r="B216" s="26" t="s">
        <v>989</v>
      </c>
      <c r="C216" s="26"/>
      <c r="D216" s="26"/>
      <c r="E216" s="27"/>
      <c r="F216" s="197"/>
      <c r="G216" s="211"/>
      <c r="H216" s="195">
        <f>SHF!H63</f>
        <v>35.119199999999992</v>
      </c>
      <c r="I216" s="197"/>
      <c r="J216" s="195">
        <f>SHF!J63</f>
        <v>257.60072117968605</v>
      </c>
      <c r="K216" s="289"/>
      <c r="L216" s="274"/>
      <c r="M216" s="376">
        <v>0.44999999999999996</v>
      </c>
    </row>
    <row r="217" spans="1:13">
      <c r="A217" s="25" t="s">
        <v>1006</v>
      </c>
      <c r="B217" s="26" t="s">
        <v>211</v>
      </c>
      <c r="C217" s="26"/>
      <c r="D217" s="26"/>
      <c r="E217" s="27"/>
      <c r="F217" s="197"/>
      <c r="G217" s="211"/>
      <c r="H217" s="195">
        <f>SHF!H73</f>
        <v>19.850764639779044</v>
      </c>
      <c r="I217" s="197"/>
      <c r="J217" s="195">
        <f>SHF!J73</f>
        <v>73.367744311147007</v>
      </c>
      <c r="K217" s="289"/>
      <c r="L217" s="274"/>
      <c r="M217" s="376">
        <v>0.44999999999999996</v>
      </c>
    </row>
    <row r="218" spans="1:13">
      <c r="A218" s="290" t="s">
        <v>1137</v>
      </c>
      <c r="B218" s="11"/>
      <c r="C218" s="11"/>
      <c r="D218" s="11"/>
      <c r="E218" s="191"/>
      <c r="F218" s="197"/>
      <c r="G218" s="211"/>
      <c r="H218" s="89"/>
      <c r="I218" s="197"/>
      <c r="J218" s="89"/>
      <c r="K218" s="289"/>
      <c r="L218" s="274"/>
      <c r="M218" s="994">
        <v>0.44999999999999996</v>
      </c>
    </row>
    <row r="219" spans="1:13">
      <c r="A219" s="25" t="s">
        <v>1007</v>
      </c>
      <c r="B219" s="26" t="s">
        <v>988</v>
      </c>
      <c r="C219" s="26"/>
      <c r="D219" s="26"/>
      <c r="E219" s="27"/>
      <c r="F219" s="195">
        <f>SHF!F80</f>
        <v>23.412799999999997</v>
      </c>
      <c r="G219" s="211"/>
      <c r="H219" s="34"/>
      <c r="I219" s="195">
        <f>SHF!I80</f>
        <v>-11.21508</v>
      </c>
      <c r="J219" s="195">
        <f>SHF!J80</f>
        <v>0</v>
      </c>
      <c r="K219" s="289"/>
      <c r="L219" s="274"/>
      <c r="M219" s="376">
        <v>-0.44999999999999996</v>
      </c>
    </row>
    <row r="220" spans="1:13">
      <c r="A220" s="25" t="s">
        <v>1008</v>
      </c>
      <c r="B220" s="26" t="s">
        <v>989</v>
      </c>
      <c r="C220" s="26"/>
      <c r="D220" s="26"/>
      <c r="E220" s="27"/>
      <c r="F220" s="195">
        <f>SHF!F81</f>
        <v>23.412799999999997</v>
      </c>
      <c r="G220" s="211"/>
      <c r="H220" s="34"/>
      <c r="I220" s="195">
        <f>SHF!I81</f>
        <v>11.21508</v>
      </c>
      <c r="J220" s="195">
        <f>SHF!J81</f>
        <v>0</v>
      </c>
      <c r="K220" s="289"/>
      <c r="L220" s="274"/>
      <c r="M220" s="268">
        <v>-0.44999999999999996</v>
      </c>
    </row>
    <row r="221" spans="1:13">
      <c r="A221" s="25" t="s">
        <v>1011</v>
      </c>
      <c r="B221" s="26" t="s">
        <v>211</v>
      </c>
      <c r="C221" s="26"/>
      <c r="D221" s="26"/>
      <c r="E221" s="27"/>
      <c r="F221" s="195">
        <f>SHF!F91</f>
        <v>13.233843093186028</v>
      </c>
      <c r="G221" s="211"/>
      <c r="H221" s="197"/>
      <c r="I221" s="195">
        <f>SHF!I91</f>
        <v>0</v>
      </c>
      <c r="J221" s="195">
        <f>SHF!J91</f>
        <v>0</v>
      </c>
      <c r="K221" s="289"/>
      <c r="L221" s="274"/>
      <c r="M221" s="268">
        <v>-0.44999999999999996</v>
      </c>
    </row>
    <row r="222" spans="1:13">
      <c r="A222" s="253"/>
      <c r="B222" s="15"/>
      <c r="C222" s="15"/>
      <c r="D222" s="15"/>
      <c r="E222" s="22"/>
      <c r="F222" s="212"/>
      <c r="G222" s="213"/>
      <c r="H222" s="198"/>
      <c r="I222" s="198"/>
      <c r="J222" s="58"/>
      <c r="K222" s="74"/>
      <c r="L222" s="277"/>
      <c r="M222" s="379"/>
    </row>
    <row r="223" spans="1:13">
      <c r="A223" s="46"/>
      <c r="B223" s="46"/>
      <c r="C223" s="46"/>
      <c r="D223" s="46"/>
      <c r="E223" s="46"/>
      <c r="F223" s="46"/>
      <c r="G223" s="46"/>
      <c r="H223" s="46"/>
      <c r="I223" s="46"/>
      <c r="J223" s="46"/>
      <c r="K223" s="116"/>
      <c r="L223" s="270"/>
      <c r="M223" s="87"/>
    </row>
    <row r="224" spans="1:13">
      <c r="A224" s="220" t="s">
        <v>73</v>
      </c>
      <c r="B224" s="220" t="s">
        <v>74</v>
      </c>
      <c r="C224" s="200"/>
      <c r="D224" s="200"/>
      <c r="E224" s="217"/>
      <c r="F224" s="1636" t="s">
        <v>72</v>
      </c>
      <c r="G224" s="1637"/>
      <c r="H224" s="1637"/>
      <c r="I224" s="1637"/>
      <c r="J224" s="1638"/>
      <c r="K224" s="116"/>
      <c r="L224" s="270"/>
      <c r="M224" s="87"/>
    </row>
    <row r="225" spans="1:13" ht="18">
      <c r="A225" s="221"/>
      <c r="B225" s="221"/>
      <c r="C225" s="201"/>
      <c r="D225" s="201"/>
      <c r="E225" s="219"/>
      <c r="F225" s="223" t="s">
        <v>23</v>
      </c>
      <c r="G225" s="223" t="s">
        <v>87</v>
      </c>
      <c r="H225" s="223" t="s">
        <v>212</v>
      </c>
      <c r="I225" s="223" t="s">
        <v>80</v>
      </c>
      <c r="J225" s="223" t="s">
        <v>81</v>
      </c>
      <c r="K225" s="116"/>
      <c r="L225" s="270"/>
      <c r="M225" s="87"/>
    </row>
    <row r="226" spans="1:13">
      <c r="A226" s="222"/>
      <c r="B226" s="222"/>
      <c r="C226" s="203"/>
      <c r="D226" s="203"/>
      <c r="E226" s="218"/>
      <c r="F226" s="204" t="s">
        <v>34</v>
      </c>
      <c r="G226" s="204" t="s">
        <v>34</v>
      </c>
      <c r="H226" s="203" t="s">
        <v>34</v>
      </c>
      <c r="I226" s="204" t="s">
        <v>77</v>
      </c>
      <c r="J226" s="204" t="s">
        <v>77</v>
      </c>
      <c r="K226" s="116"/>
      <c r="L226" s="270"/>
      <c r="M226" s="87"/>
    </row>
    <row r="227" spans="1:13">
      <c r="A227" s="202"/>
      <c r="B227" s="200"/>
      <c r="C227" s="200"/>
      <c r="D227" s="200"/>
      <c r="E227" s="217"/>
      <c r="F227" s="205"/>
      <c r="G227" s="205"/>
      <c r="H227" s="201"/>
      <c r="I227" s="205"/>
      <c r="J227" s="205"/>
      <c r="K227" s="116"/>
      <c r="L227" s="270"/>
      <c r="M227" s="87"/>
    </row>
    <row r="228" spans="1:13">
      <c r="A228" s="205" t="str">
        <f>A200</f>
        <v>LC-9</v>
      </c>
      <c r="B228" s="201" t="str">
        <f>B200</f>
        <v>LC-2 + Seismic Sx=1,Sz=0.3,Sy=-0.3</v>
      </c>
      <c r="C228" s="201"/>
      <c r="D228" s="201"/>
      <c r="E228" s="219"/>
      <c r="F228" s="1054">
        <f>SUMPRODUCT(F203:F221,$M$203:$M$221)</f>
        <v>1003.2763528055807</v>
      </c>
      <c r="G228" s="1055">
        <f>SUMPRODUCT(G203:G221,$M$203:$M$221)</f>
        <v>143.03556695966853</v>
      </c>
      <c r="H228" s="1055">
        <f>SUMPRODUCT(H203:H221,$M$203:$M$221)</f>
        <v>40.540124087900558</v>
      </c>
      <c r="I228" s="1055">
        <f>SUMPRODUCT(I203:I221,$M$203:$M$221)</f>
        <v>849.91605806672055</v>
      </c>
      <c r="J228" s="1055">
        <f>SUMPRODUCT(J203:J221,$M$203:$M$221)</f>
        <v>264.85613400173355</v>
      </c>
      <c r="K228" s="116"/>
      <c r="L228" s="270"/>
      <c r="M228" s="87"/>
    </row>
    <row r="229" spans="1:13">
      <c r="A229" s="204"/>
      <c r="B229" s="203"/>
      <c r="C229" s="203"/>
      <c r="D229" s="203"/>
      <c r="E229" s="218"/>
      <c r="F229" s="204"/>
      <c r="G229" s="204"/>
      <c r="H229" s="203"/>
      <c r="I229" s="204"/>
      <c r="J229" s="204"/>
      <c r="K229" s="116"/>
      <c r="L229" s="270"/>
      <c r="M229" s="87"/>
    </row>
    <row r="230" spans="1:13">
      <c r="A230" s="1"/>
      <c r="B230" s="1"/>
      <c r="C230" s="1"/>
      <c r="D230" s="1"/>
      <c r="E230" s="1"/>
      <c r="F230" s="1"/>
      <c r="G230" s="1"/>
      <c r="H230" s="1"/>
      <c r="I230" s="1"/>
      <c r="J230" s="1"/>
      <c r="K230" s="1"/>
      <c r="L230" s="1"/>
      <c r="M230" s="1"/>
    </row>
    <row r="231" spans="1:13">
      <c r="A231" s="1"/>
      <c r="B231" s="1"/>
      <c r="C231" s="1"/>
      <c r="D231" s="1"/>
      <c r="E231" s="1"/>
      <c r="F231" s="1"/>
      <c r="G231" s="1"/>
      <c r="H231" s="1"/>
      <c r="I231" s="1"/>
      <c r="J231" s="1"/>
      <c r="K231" s="1"/>
      <c r="L231" s="1"/>
      <c r="M231" s="1"/>
    </row>
    <row r="232" spans="1:13">
      <c r="A232" s="225" t="str">
        <f>M232</f>
        <v>LC-10</v>
      </c>
      <c r="B232" s="24" t="str">
        <f>VLOOKUP(A232,LC_DEF_2!A3:B42,2,FALSE)</f>
        <v>LC-2 + Seismic Sx=0.3,Sz=1,Sy=-0.3</v>
      </c>
      <c r="C232" s="24"/>
      <c r="D232" s="24"/>
      <c r="E232" s="21"/>
      <c r="F232" s="1599" t="s">
        <v>742</v>
      </c>
      <c r="G232" s="1635"/>
      <c r="H232" s="1635"/>
      <c r="I232" s="1635"/>
      <c r="J232" s="1600"/>
      <c r="K232" s="73"/>
      <c r="L232" s="272"/>
      <c r="M232" s="384" t="s">
        <v>225</v>
      </c>
    </row>
    <row r="233" spans="1:13" ht="18">
      <c r="A233" s="25" t="s">
        <v>73</v>
      </c>
      <c r="B233" s="26" t="s">
        <v>74</v>
      </c>
      <c r="C233" s="26"/>
      <c r="D233" s="26"/>
      <c r="E233" s="27"/>
      <c r="F233" s="33" t="s">
        <v>23</v>
      </c>
      <c r="G233" s="33" t="s">
        <v>87</v>
      </c>
      <c r="H233" s="33" t="s">
        <v>212</v>
      </c>
      <c r="I233" s="33" t="s">
        <v>80</v>
      </c>
      <c r="J233" s="33" t="s">
        <v>81</v>
      </c>
      <c r="K233" s="273"/>
      <c r="L233" s="274"/>
      <c r="M233" s="376"/>
    </row>
    <row r="234" spans="1:13">
      <c r="A234" s="25"/>
      <c r="B234" s="26"/>
      <c r="C234" s="26"/>
      <c r="D234" s="26"/>
      <c r="E234" s="27"/>
      <c r="F234" s="36" t="s">
        <v>34</v>
      </c>
      <c r="G234" s="36" t="s">
        <v>34</v>
      </c>
      <c r="H234" s="36" t="s">
        <v>34</v>
      </c>
      <c r="I234" s="36" t="s">
        <v>77</v>
      </c>
      <c r="J234" s="36" t="s">
        <v>77</v>
      </c>
      <c r="K234" s="74"/>
      <c r="L234" s="277"/>
      <c r="M234" s="655"/>
    </row>
    <row r="235" spans="1:13">
      <c r="A235" s="25" t="s">
        <v>88</v>
      </c>
      <c r="B235" s="26" t="s">
        <v>75</v>
      </c>
      <c r="C235" s="26"/>
      <c r="D235" s="26"/>
      <c r="E235" s="27"/>
      <c r="F235" s="195">
        <f>SHF!F14</f>
        <v>165.42303866482536</v>
      </c>
      <c r="G235" s="210"/>
      <c r="H235" s="34"/>
      <c r="I235" s="195">
        <f>SHF!I14</f>
        <v>0</v>
      </c>
      <c r="J235" s="195">
        <f>SHF!J14</f>
        <v>0</v>
      </c>
      <c r="K235" s="273"/>
      <c r="L235" s="274"/>
      <c r="M235" s="268">
        <v>1.35</v>
      </c>
    </row>
    <row r="236" spans="1:13">
      <c r="A236" s="25" t="s">
        <v>250</v>
      </c>
      <c r="B236" s="26" t="s">
        <v>967</v>
      </c>
      <c r="C236" s="26"/>
      <c r="D236" s="26"/>
      <c r="E236" s="27"/>
      <c r="F236" s="195">
        <f>SHF!F17</f>
        <v>230</v>
      </c>
      <c r="G236" s="210"/>
      <c r="H236" s="34"/>
      <c r="I236" s="195">
        <f>SHF!I17</f>
        <v>-115</v>
      </c>
      <c r="J236" s="195">
        <f>SHF!J17</f>
        <v>0</v>
      </c>
      <c r="K236" s="273"/>
      <c r="L236" s="274"/>
      <c r="M236" s="268">
        <v>1.35</v>
      </c>
    </row>
    <row r="237" spans="1:13">
      <c r="A237" s="25" t="s">
        <v>251</v>
      </c>
      <c r="B237" s="26" t="s">
        <v>968</v>
      </c>
      <c r="C237" s="26"/>
      <c r="D237" s="26"/>
      <c r="E237" s="27"/>
      <c r="F237" s="195">
        <f>SHF!F18</f>
        <v>20.660000000000004</v>
      </c>
      <c r="G237" s="210"/>
      <c r="H237" s="34"/>
      <c r="I237" s="195">
        <f>SHF!I18</f>
        <v>-10.330000000000002</v>
      </c>
      <c r="J237" s="195">
        <f>SHF!J18</f>
        <v>0</v>
      </c>
      <c r="K237" s="273"/>
      <c r="L237" s="274"/>
      <c r="M237" s="268">
        <v>1.35</v>
      </c>
    </row>
    <row r="238" spans="1:13">
      <c r="A238" s="25" t="s">
        <v>97</v>
      </c>
      <c r="B238" s="26" t="s">
        <v>969</v>
      </c>
      <c r="C238" s="26"/>
      <c r="D238" s="26"/>
      <c r="E238" s="27"/>
      <c r="F238" s="195">
        <f>SHF!F19</f>
        <v>42</v>
      </c>
      <c r="G238" s="210"/>
      <c r="H238" s="34"/>
      <c r="I238" s="195">
        <f>SHF!I19</f>
        <v>-14.858499999999999</v>
      </c>
      <c r="J238" s="195">
        <f>SHF!J19</f>
        <v>0</v>
      </c>
      <c r="K238" s="273"/>
      <c r="L238" s="274"/>
      <c r="M238" s="268">
        <v>1.35</v>
      </c>
    </row>
    <row r="239" spans="1:13">
      <c r="A239" s="25" t="s">
        <v>250</v>
      </c>
      <c r="B239" s="26" t="s">
        <v>970</v>
      </c>
      <c r="C239" s="26"/>
      <c r="D239" s="26"/>
      <c r="E239" s="27"/>
      <c r="F239" s="195">
        <f>SHF!F21</f>
        <v>230</v>
      </c>
      <c r="G239" s="210"/>
      <c r="H239" s="34"/>
      <c r="I239" s="195">
        <f>SHF!I21</f>
        <v>115</v>
      </c>
      <c r="J239" s="195">
        <f>SHF!J21</f>
        <v>0</v>
      </c>
      <c r="K239" s="273"/>
      <c r="L239" s="274"/>
      <c r="M239" s="376">
        <v>1.35</v>
      </c>
    </row>
    <row r="240" spans="1:13">
      <c r="A240" s="25" t="s">
        <v>251</v>
      </c>
      <c r="B240" s="26" t="s">
        <v>971</v>
      </c>
      <c r="C240" s="26"/>
      <c r="D240" s="26"/>
      <c r="E240" s="27"/>
      <c r="F240" s="195">
        <f>SHF!F22</f>
        <v>20.660000000000004</v>
      </c>
      <c r="G240" s="210"/>
      <c r="H240" s="34"/>
      <c r="I240" s="195">
        <f>SHF!I22</f>
        <v>10.330000000000002</v>
      </c>
      <c r="J240" s="195">
        <f>SHF!J22</f>
        <v>0</v>
      </c>
      <c r="K240" s="273"/>
      <c r="L240" s="274"/>
      <c r="M240" s="376">
        <v>1.35</v>
      </c>
    </row>
    <row r="241" spans="1:13">
      <c r="A241" s="25" t="s">
        <v>97</v>
      </c>
      <c r="B241" s="26" t="s">
        <v>972</v>
      </c>
      <c r="C241" s="26"/>
      <c r="D241" s="26"/>
      <c r="E241" s="27"/>
      <c r="F241" s="195">
        <f>SHF!F23</f>
        <v>42</v>
      </c>
      <c r="G241" s="210"/>
      <c r="H241" s="34"/>
      <c r="I241" s="195">
        <f>SHF!I23</f>
        <v>14.858499999999999</v>
      </c>
      <c r="J241" s="195">
        <f>SHF!J23</f>
        <v>0</v>
      </c>
      <c r="K241" s="273"/>
      <c r="L241" s="274"/>
      <c r="M241" s="376">
        <v>1.75</v>
      </c>
    </row>
    <row r="242" spans="1:13">
      <c r="A242" s="25" t="s">
        <v>986</v>
      </c>
      <c r="B242" s="163" t="s">
        <v>955</v>
      </c>
      <c r="C242" s="26"/>
      <c r="D242" s="26"/>
      <c r="E242" s="27"/>
      <c r="F242" s="34"/>
      <c r="G242" s="195">
        <f>SHF!G37</f>
        <v>5.8532000000000011</v>
      </c>
      <c r="H242" s="34"/>
      <c r="I242" s="195">
        <f>SHF!I37</f>
        <v>37.928736000000015</v>
      </c>
      <c r="J242" s="34"/>
      <c r="K242" s="273"/>
      <c r="L242" s="274"/>
      <c r="M242" s="376">
        <v>1.35</v>
      </c>
    </row>
    <row r="243" spans="1:13">
      <c r="A243" s="278" t="s">
        <v>1132</v>
      </c>
      <c r="B243" s="262"/>
      <c r="C243" s="262"/>
      <c r="D243" s="262"/>
      <c r="E243" s="263"/>
      <c r="F243" s="1052"/>
      <c r="G243" s="1053"/>
      <c r="H243" s="267"/>
      <c r="I243" s="1052"/>
      <c r="J243" s="267"/>
      <c r="K243" s="289"/>
      <c r="L243" s="274"/>
      <c r="M243" s="412">
        <v>0.44999999999999996</v>
      </c>
    </row>
    <row r="244" spans="1:13">
      <c r="A244" s="25" t="s">
        <v>991</v>
      </c>
      <c r="B244" s="26" t="s">
        <v>989</v>
      </c>
      <c r="C244" s="26"/>
      <c r="D244" s="26"/>
      <c r="E244" s="27"/>
      <c r="F244" s="197"/>
      <c r="G244" s="195">
        <f>SHF!G49</f>
        <v>70.238399999999984</v>
      </c>
      <c r="H244" s="34"/>
      <c r="I244" s="195">
        <f>SHF!I49</f>
        <v>455.14483200000001</v>
      </c>
      <c r="J244" s="89"/>
      <c r="K244" s="289"/>
      <c r="L244" s="274"/>
      <c r="M244" s="268">
        <v>0.44999999999999996</v>
      </c>
    </row>
    <row r="245" spans="1:13">
      <c r="A245" s="25" t="s">
        <v>217</v>
      </c>
      <c r="B245" s="26" t="s">
        <v>211</v>
      </c>
      <c r="C245" s="26"/>
      <c r="D245" s="26"/>
      <c r="E245" s="27"/>
      <c r="F245" s="197"/>
      <c r="G245" s="195">
        <f>SHF!G55</f>
        <v>19.850764639779044</v>
      </c>
      <c r="H245" s="34"/>
      <c r="I245" s="195">
        <f>SHF!I55</f>
        <v>73.367744311147007</v>
      </c>
      <c r="J245" s="89"/>
      <c r="K245" s="289"/>
      <c r="L245" s="274"/>
      <c r="M245" s="376">
        <v>0.44999999999999996</v>
      </c>
    </row>
    <row r="246" spans="1:13">
      <c r="A246" s="278" t="s">
        <v>1135</v>
      </c>
      <c r="B246" s="262"/>
      <c r="C246" s="262"/>
      <c r="D246" s="262"/>
      <c r="E246" s="263"/>
      <c r="F246" s="279"/>
      <c r="G246" s="280"/>
      <c r="H246" s="264"/>
      <c r="I246" s="279"/>
      <c r="J246" s="264"/>
      <c r="K246" s="289"/>
      <c r="L246" s="274"/>
      <c r="M246" s="708">
        <v>1.5</v>
      </c>
    </row>
    <row r="247" spans="1:13">
      <c r="A247" s="25" t="s">
        <v>997</v>
      </c>
      <c r="B247" s="26" t="s">
        <v>988</v>
      </c>
      <c r="C247" s="26"/>
      <c r="D247" s="26"/>
      <c r="E247" s="27"/>
      <c r="F247" s="197"/>
      <c r="G247" s="211"/>
      <c r="H247" s="195">
        <f>SHF!H62</f>
        <v>35.119199999999992</v>
      </c>
      <c r="I247" s="197"/>
      <c r="J247" s="195">
        <f>SHF!J62</f>
        <v>257.60072117968605</v>
      </c>
      <c r="K247" s="289"/>
      <c r="L247" s="274"/>
      <c r="M247" s="268">
        <v>1.5</v>
      </c>
    </row>
    <row r="248" spans="1:13">
      <c r="A248" s="25" t="s">
        <v>998</v>
      </c>
      <c r="B248" s="26" t="s">
        <v>989</v>
      </c>
      <c r="C248" s="26"/>
      <c r="D248" s="26"/>
      <c r="E248" s="27"/>
      <c r="F248" s="197"/>
      <c r="G248" s="211"/>
      <c r="H248" s="195">
        <f>SHF!H63</f>
        <v>35.119199999999992</v>
      </c>
      <c r="I248" s="197"/>
      <c r="J248" s="195">
        <f>SHF!J63</f>
        <v>257.60072117968605</v>
      </c>
      <c r="K248" s="289"/>
      <c r="L248" s="274"/>
      <c r="M248" s="376">
        <v>1.5</v>
      </c>
    </row>
    <row r="249" spans="1:13">
      <c r="A249" s="25" t="s">
        <v>1006</v>
      </c>
      <c r="B249" s="26" t="s">
        <v>211</v>
      </c>
      <c r="C249" s="26"/>
      <c r="D249" s="26"/>
      <c r="E249" s="27"/>
      <c r="F249" s="197"/>
      <c r="G249" s="211"/>
      <c r="H249" s="195">
        <f>SHF!H73</f>
        <v>19.850764639779044</v>
      </c>
      <c r="I249" s="197"/>
      <c r="J249" s="195">
        <f>SHF!J73</f>
        <v>73.367744311147007</v>
      </c>
      <c r="K249" s="289"/>
      <c r="L249" s="274"/>
      <c r="M249" s="376">
        <v>1.5</v>
      </c>
    </row>
    <row r="250" spans="1:13">
      <c r="A250" s="290" t="s">
        <v>1137</v>
      </c>
      <c r="B250" s="11"/>
      <c r="C250" s="11"/>
      <c r="D250" s="11"/>
      <c r="E250" s="191"/>
      <c r="F250" s="197"/>
      <c r="G250" s="211"/>
      <c r="H250" s="89"/>
      <c r="I250" s="197"/>
      <c r="J250" s="89"/>
      <c r="K250" s="289"/>
      <c r="L250" s="274"/>
      <c r="M250" s="994">
        <v>0.44999999999999996</v>
      </c>
    </row>
    <row r="251" spans="1:13">
      <c r="A251" s="25" t="s">
        <v>1007</v>
      </c>
      <c r="B251" s="26" t="s">
        <v>988</v>
      </c>
      <c r="C251" s="26"/>
      <c r="D251" s="26"/>
      <c r="E251" s="27"/>
      <c r="F251" s="195">
        <f>SHF!F80</f>
        <v>23.412799999999997</v>
      </c>
      <c r="G251" s="211"/>
      <c r="H251" s="34"/>
      <c r="I251" s="195">
        <f>SHF!I80</f>
        <v>-11.21508</v>
      </c>
      <c r="J251" s="195">
        <f>SHF!J80</f>
        <v>0</v>
      </c>
      <c r="K251" s="289"/>
      <c r="L251" s="274"/>
      <c r="M251" s="376">
        <v>-0.44999999999999996</v>
      </c>
    </row>
    <row r="252" spans="1:13">
      <c r="A252" s="25" t="s">
        <v>1008</v>
      </c>
      <c r="B252" s="26" t="s">
        <v>989</v>
      </c>
      <c r="C252" s="26"/>
      <c r="D252" s="26"/>
      <c r="E252" s="27"/>
      <c r="F252" s="195">
        <f>SHF!F81</f>
        <v>23.412799999999997</v>
      </c>
      <c r="G252" s="211"/>
      <c r="H252" s="34"/>
      <c r="I252" s="195">
        <f>SHF!I81</f>
        <v>11.21508</v>
      </c>
      <c r="J252" s="195">
        <f>SHF!J81</f>
        <v>0</v>
      </c>
      <c r="K252" s="289"/>
      <c r="L252" s="274"/>
      <c r="M252" s="268">
        <v>-0.44999999999999996</v>
      </c>
    </row>
    <row r="253" spans="1:13">
      <c r="A253" s="25" t="s">
        <v>1011</v>
      </c>
      <c r="B253" s="26" t="s">
        <v>211</v>
      </c>
      <c r="C253" s="26"/>
      <c r="D253" s="26"/>
      <c r="E253" s="27"/>
      <c r="F253" s="195">
        <f>SHF!F91</f>
        <v>13.233843093186028</v>
      </c>
      <c r="G253" s="211"/>
      <c r="H253" s="197"/>
      <c r="I253" s="195">
        <f>SHF!I91</f>
        <v>0</v>
      </c>
      <c r="J253" s="195">
        <f>SHF!J91</f>
        <v>0</v>
      </c>
      <c r="K253" s="289"/>
      <c r="L253" s="274"/>
      <c r="M253" s="268">
        <v>-0.44999999999999996</v>
      </c>
    </row>
    <row r="254" spans="1:13">
      <c r="A254" s="253"/>
      <c r="B254" s="15"/>
      <c r="C254" s="15"/>
      <c r="D254" s="15"/>
      <c r="E254" s="22"/>
      <c r="F254" s="212"/>
      <c r="G254" s="213"/>
      <c r="H254" s="198"/>
      <c r="I254" s="198"/>
      <c r="J254" s="58"/>
      <c r="K254" s="74"/>
      <c r="L254" s="277"/>
      <c r="M254" s="379"/>
    </row>
    <row r="255" spans="1:13">
      <c r="A255" s="46"/>
      <c r="B255" s="46"/>
      <c r="C255" s="46"/>
      <c r="D255" s="46"/>
      <c r="E255" s="46"/>
      <c r="F255" s="46"/>
      <c r="G255" s="46"/>
      <c r="H255" s="46"/>
      <c r="I255" s="46"/>
      <c r="J255" s="46"/>
      <c r="K255" s="116"/>
      <c r="L255" s="270"/>
      <c r="M255" s="87"/>
    </row>
    <row r="256" spans="1:13">
      <c r="A256" s="220" t="s">
        <v>73</v>
      </c>
      <c r="B256" s="220" t="s">
        <v>74</v>
      </c>
      <c r="C256" s="200"/>
      <c r="D256" s="200"/>
      <c r="E256" s="217"/>
      <c r="F256" s="1636" t="s">
        <v>72</v>
      </c>
      <c r="G256" s="1637"/>
      <c r="H256" s="1637"/>
      <c r="I256" s="1637"/>
      <c r="J256" s="1638"/>
      <c r="K256" s="116"/>
      <c r="L256" s="270"/>
      <c r="M256" s="87"/>
    </row>
    <row r="257" spans="1:13" ht="18">
      <c r="A257" s="221"/>
      <c r="B257" s="221"/>
      <c r="C257" s="201"/>
      <c r="D257" s="201"/>
      <c r="E257" s="219"/>
      <c r="F257" s="223" t="s">
        <v>23</v>
      </c>
      <c r="G257" s="223" t="s">
        <v>87</v>
      </c>
      <c r="H257" s="223" t="s">
        <v>212</v>
      </c>
      <c r="I257" s="223" t="s">
        <v>80</v>
      </c>
      <c r="J257" s="223" t="s">
        <v>81</v>
      </c>
      <c r="K257" s="116"/>
      <c r="L257" s="270"/>
      <c r="M257" s="87"/>
    </row>
    <row r="258" spans="1:13">
      <c r="A258" s="222"/>
      <c r="B258" s="222"/>
      <c r="C258" s="203"/>
      <c r="D258" s="203"/>
      <c r="E258" s="218"/>
      <c r="F258" s="204" t="s">
        <v>34</v>
      </c>
      <c r="G258" s="204" t="s">
        <v>34</v>
      </c>
      <c r="H258" s="203" t="s">
        <v>34</v>
      </c>
      <c r="I258" s="204" t="s">
        <v>77</v>
      </c>
      <c r="J258" s="204" t="s">
        <v>77</v>
      </c>
      <c r="K258" s="116"/>
      <c r="L258" s="270"/>
      <c r="M258" s="87"/>
    </row>
    <row r="259" spans="1:13">
      <c r="A259" s="202"/>
      <c r="B259" s="200"/>
      <c r="C259" s="200"/>
      <c r="D259" s="200"/>
      <c r="E259" s="217"/>
      <c r="F259" s="205"/>
      <c r="G259" s="205"/>
      <c r="H259" s="201"/>
      <c r="I259" s="205"/>
      <c r="J259" s="205"/>
      <c r="K259" s="116"/>
      <c r="L259" s="270"/>
      <c r="M259" s="87"/>
    </row>
    <row r="260" spans="1:13">
      <c r="A260" s="205" t="str">
        <f>A232</f>
        <v>LC-10</v>
      </c>
      <c r="B260" s="201" t="str">
        <f>B232</f>
        <v>LC-2 + Seismic Sx=0.3,Sz=1,Sy=-0.3</v>
      </c>
      <c r="C260" s="201"/>
      <c r="D260" s="201"/>
      <c r="E260" s="219"/>
      <c r="F260" s="1054">
        <f>SUMPRODUCT(F235:F253,$M$235:$M$253)</f>
        <v>1003.2763528055807</v>
      </c>
      <c r="G260" s="1055">
        <f>SUMPRODUCT(G235:G253,$M$235:$M$253)</f>
        <v>48.441944087900559</v>
      </c>
      <c r="H260" s="1055">
        <f>SUMPRODUCT(H235:H253,$M$235:$M$253)</f>
        <v>135.13374695966854</v>
      </c>
      <c r="I260" s="1055">
        <f>SUMPRODUCT(I235:I253,$M$235:$M$253)</f>
        <v>294.97785294001619</v>
      </c>
      <c r="J260" s="1055">
        <f>SUMPRODUCT(J235:J253,$M$235:$M$253)</f>
        <v>882.85378000577862</v>
      </c>
      <c r="K260" s="116"/>
      <c r="L260" s="270"/>
      <c r="M260" s="87"/>
    </row>
    <row r="261" spans="1:13">
      <c r="A261" s="204"/>
      <c r="B261" s="203"/>
      <c r="C261" s="203"/>
      <c r="D261" s="203"/>
      <c r="E261" s="218"/>
      <c r="F261" s="204"/>
      <c r="G261" s="204"/>
      <c r="H261" s="203"/>
      <c r="I261" s="204"/>
      <c r="J261" s="204"/>
      <c r="K261" s="116"/>
      <c r="L261" s="270"/>
      <c r="M261" s="87"/>
    </row>
    <row r="262" spans="1:13">
      <c r="A262" s="1"/>
      <c r="B262" s="1"/>
      <c r="C262" s="1"/>
      <c r="D262" s="1"/>
      <c r="E262" s="1"/>
      <c r="F262" s="1"/>
      <c r="G262" s="1"/>
      <c r="H262" s="1"/>
      <c r="I262" s="1"/>
      <c r="J262" s="1"/>
      <c r="K262" s="1"/>
      <c r="L262" s="1"/>
      <c r="M262" s="1"/>
    </row>
    <row r="263" spans="1:13">
      <c r="A263" s="1"/>
      <c r="B263" s="1"/>
      <c r="C263" s="1"/>
      <c r="D263" s="1"/>
      <c r="E263" s="1"/>
      <c r="F263" s="1"/>
      <c r="G263" s="1"/>
      <c r="H263" s="1"/>
      <c r="I263" s="1"/>
      <c r="J263" s="1"/>
      <c r="K263" s="1"/>
      <c r="L263" s="1"/>
      <c r="M263" s="1"/>
    </row>
    <row r="264" spans="1:13">
      <c r="A264" s="225" t="str">
        <f>M264</f>
        <v>LC-11</v>
      </c>
      <c r="B264" s="24" t="str">
        <f>VLOOKUP(A264,LC_DEF_2!A3:B42,2,FALSE)</f>
        <v>LC-2 + Seismic Sx=1,Sz=0.3,Sy=0.3</v>
      </c>
      <c r="C264" s="24"/>
      <c r="D264" s="24"/>
      <c r="E264" s="21"/>
      <c r="F264" s="1599" t="s">
        <v>742</v>
      </c>
      <c r="G264" s="1635"/>
      <c r="H264" s="1635"/>
      <c r="I264" s="1635"/>
      <c r="J264" s="1600"/>
      <c r="K264" s="73"/>
      <c r="L264" s="272"/>
      <c r="M264" s="384" t="s">
        <v>230</v>
      </c>
    </row>
    <row r="265" spans="1:13" ht="18">
      <c r="A265" s="25" t="s">
        <v>73</v>
      </c>
      <c r="B265" s="26" t="s">
        <v>74</v>
      </c>
      <c r="C265" s="26"/>
      <c r="D265" s="26"/>
      <c r="E265" s="27"/>
      <c r="F265" s="33" t="s">
        <v>23</v>
      </c>
      <c r="G265" s="33" t="s">
        <v>87</v>
      </c>
      <c r="H265" s="33" t="s">
        <v>212</v>
      </c>
      <c r="I265" s="33" t="s">
        <v>80</v>
      </c>
      <c r="J265" s="33" t="s">
        <v>81</v>
      </c>
      <c r="K265" s="273"/>
      <c r="L265" s="274"/>
      <c r="M265" s="376"/>
    </row>
    <row r="266" spans="1:13">
      <c r="A266" s="25"/>
      <c r="B266" s="26"/>
      <c r="C266" s="26"/>
      <c r="D266" s="26"/>
      <c r="E266" s="27"/>
      <c r="F266" s="36" t="s">
        <v>34</v>
      </c>
      <c r="G266" s="36" t="s">
        <v>34</v>
      </c>
      <c r="H266" s="36" t="s">
        <v>34</v>
      </c>
      <c r="I266" s="36" t="s">
        <v>77</v>
      </c>
      <c r="J266" s="36" t="s">
        <v>77</v>
      </c>
      <c r="K266" s="74"/>
      <c r="L266" s="277"/>
      <c r="M266" s="655"/>
    </row>
    <row r="267" spans="1:13">
      <c r="A267" s="25" t="s">
        <v>88</v>
      </c>
      <c r="B267" s="26" t="s">
        <v>75</v>
      </c>
      <c r="C267" s="26"/>
      <c r="D267" s="26"/>
      <c r="E267" s="27"/>
      <c r="F267" s="195">
        <f>SHF!F14</f>
        <v>165.42303866482536</v>
      </c>
      <c r="G267" s="210"/>
      <c r="H267" s="34"/>
      <c r="I267" s="195">
        <f>SHF!I14</f>
        <v>0</v>
      </c>
      <c r="J267" s="195">
        <f>SHF!J14</f>
        <v>0</v>
      </c>
      <c r="K267" s="273"/>
      <c r="L267" s="274"/>
      <c r="M267" s="268">
        <v>1.35</v>
      </c>
    </row>
    <row r="268" spans="1:13">
      <c r="A268" s="25" t="s">
        <v>250</v>
      </c>
      <c r="B268" s="26" t="s">
        <v>967</v>
      </c>
      <c r="C268" s="26"/>
      <c r="D268" s="26"/>
      <c r="E268" s="27"/>
      <c r="F268" s="195">
        <f>SHF!F17</f>
        <v>230</v>
      </c>
      <c r="G268" s="210"/>
      <c r="H268" s="34"/>
      <c r="I268" s="195">
        <f>SHF!I17</f>
        <v>-115</v>
      </c>
      <c r="J268" s="195">
        <f>SHF!J17</f>
        <v>0</v>
      </c>
      <c r="K268" s="273"/>
      <c r="L268" s="274"/>
      <c r="M268" s="268">
        <v>1.35</v>
      </c>
    </row>
    <row r="269" spans="1:13">
      <c r="A269" s="25" t="s">
        <v>251</v>
      </c>
      <c r="B269" s="26" t="s">
        <v>968</v>
      </c>
      <c r="C269" s="26"/>
      <c r="D269" s="26"/>
      <c r="E269" s="27"/>
      <c r="F269" s="195">
        <f>SHF!F18</f>
        <v>20.660000000000004</v>
      </c>
      <c r="G269" s="210"/>
      <c r="H269" s="34"/>
      <c r="I269" s="195">
        <f>SHF!I18</f>
        <v>-10.330000000000002</v>
      </c>
      <c r="J269" s="195">
        <f>SHF!J18</f>
        <v>0</v>
      </c>
      <c r="K269" s="273"/>
      <c r="L269" s="274"/>
      <c r="M269" s="268">
        <v>1.35</v>
      </c>
    </row>
    <row r="270" spans="1:13">
      <c r="A270" s="25" t="s">
        <v>97</v>
      </c>
      <c r="B270" s="26" t="s">
        <v>969</v>
      </c>
      <c r="C270" s="26"/>
      <c r="D270" s="26"/>
      <c r="E270" s="27"/>
      <c r="F270" s="195">
        <f>SHF!F19</f>
        <v>42</v>
      </c>
      <c r="G270" s="210"/>
      <c r="H270" s="34"/>
      <c r="I270" s="195">
        <f>SHF!I19</f>
        <v>-14.858499999999999</v>
      </c>
      <c r="J270" s="195">
        <f>SHF!J19</f>
        <v>0</v>
      </c>
      <c r="K270" s="273"/>
      <c r="L270" s="274"/>
      <c r="M270" s="268">
        <v>1.35</v>
      </c>
    </row>
    <row r="271" spans="1:13">
      <c r="A271" s="25" t="s">
        <v>250</v>
      </c>
      <c r="B271" s="26" t="s">
        <v>970</v>
      </c>
      <c r="C271" s="26"/>
      <c r="D271" s="26"/>
      <c r="E271" s="27"/>
      <c r="F271" s="195">
        <f>SHF!F21</f>
        <v>230</v>
      </c>
      <c r="G271" s="210"/>
      <c r="H271" s="34"/>
      <c r="I271" s="195">
        <f>SHF!I21</f>
        <v>115</v>
      </c>
      <c r="J271" s="195">
        <f>SHF!J21</f>
        <v>0</v>
      </c>
      <c r="K271" s="273"/>
      <c r="L271" s="274"/>
      <c r="M271" s="376">
        <v>1.35</v>
      </c>
    </row>
    <row r="272" spans="1:13">
      <c r="A272" s="25" t="s">
        <v>251</v>
      </c>
      <c r="B272" s="26" t="s">
        <v>971</v>
      </c>
      <c r="C272" s="26"/>
      <c r="D272" s="26"/>
      <c r="E272" s="27"/>
      <c r="F272" s="195">
        <f>SHF!F22</f>
        <v>20.660000000000004</v>
      </c>
      <c r="G272" s="210"/>
      <c r="H272" s="34"/>
      <c r="I272" s="195">
        <f>SHF!I22</f>
        <v>10.330000000000002</v>
      </c>
      <c r="J272" s="195">
        <f>SHF!J22</f>
        <v>0</v>
      </c>
      <c r="K272" s="273"/>
      <c r="L272" s="274"/>
      <c r="M272" s="376">
        <v>1.35</v>
      </c>
    </row>
    <row r="273" spans="1:13">
      <c r="A273" s="25" t="s">
        <v>97</v>
      </c>
      <c r="B273" s="26" t="s">
        <v>972</v>
      </c>
      <c r="C273" s="26"/>
      <c r="D273" s="26"/>
      <c r="E273" s="27"/>
      <c r="F273" s="195">
        <f>SHF!F23</f>
        <v>42</v>
      </c>
      <c r="G273" s="210"/>
      <c r="H273" s="34"/>
      <c r="I273" s="195">
        <f>SHF!I23</f>
        <v>14.858499999999999</v>
      </c>
      <c r="J273" s="195">
        <f>SHF!J23</f>
        <v>0</v>
      </c>
      <c r="K273" s="273"/>
      <c r="L273" s="274"/>
      <c r="M273" s="376">
        <v>1.75</v>
      </c>
    </row>
    <row r="274" spans="1:13">
      <c r="A274" s="25" t="s">
        <v>986</v>
      </c>
      <c r="B274" s="163" t="s">
        <v>955</v>
      </c>
      <c r="C274" s="26"/>
      <c r="D274" s="26"/>
      <c r="E274" s="27"/>
      <c r="F274" s="34"/>
      <c r="G274" s="195">
        <f>SHF!G37</f>
        <v>5.8532000000000011</v>
      </c>
      <c r="H274" s="34"/>
      <c r="I274" s="195">
        <f>SHF!I37</f>
        <v>37.928736000000015</v>
      </c>
      <c r="J274" s="34"/>
      <c r="K274" s="273"/>
      <c r="L274" s="274"/>
      <c r="M274" s="376">
        <v>1.35</v>
      </c>
    </row>
    <row r="275" spans="1:13">
      <c r="A275" s="278" t="s">
        <v>1132</v>
      </c>
      <c r="B275" s="262"/>
      <c r="C275" s="262"/>
      <c r="D275" s="262"/>
      <c r="E275" s="263"/>
      <c r="F275" s="1052"/>
      <c r="G275" s="1053"/>
      <c r="H275" s="267"/>
      <c r="I275" s="1052"/>
      <c r="J275" s="267"/>
      <c r="K275" s="289"/>
      <c r="L275" s="274"/>
      <c r="M275" s="412">
        <v>1.5</v>
      </c>
    </row>
    <row r="276" spans="1:13">
      <c r="A276" s="25" t="s">
        <v>991</v>
      </c>
      <c r="B276" s="26" t="s">
        <v>989</v>
      </c>
      <c r="C276" s="26"/>
      <c r="D276" s="26"/>
      <c r="E276" s="27"/>
      <c r="F276" s="197"/>
      <c r="G276" s="195">
        <f>SHF!G49</f>
        <v>70.238399999999984</v>
      </c>
      <c r="H276" s="34"/>
      <c r="I276" s="195">
        <f>SHF!I49</f>
        <v>455.14483200000001</v>
      </c>
      <c r="J276" s="89"/>
      <c r="K276" s="289"/>
      <c r="L276" s="274"/>
      <c r="M276" s="268">
        <v>1.5</v>
      </c>
    </row>
    <row r="277" spans="1:13">
      <c r="A277" s="25" t="s">
        <v>217</v>
      </c>
      <c r="B277" s="26" t="s">
        <v>211</v>
      </c>
      <c r="C277" s="26"/>
      <c r="D277" s="26"/>
      <c r="E277" s="27"/>
      <c r="F277" s="197"/>
      <c r="G277" s="195">
        <f>SHF!G55</f>
        <v>19.850764639779044</v>
      </c>
      <c r="H277" s="34"/>
      <c r="I277" s="195">
        <f>SHF!I55</f>
        <v>73.367744311147007</v>
      </c>
      <c r="J277" s="89"/>
      <c r="K277" s="289"/>
      <c r="L277" s="274"/>
      <c r="M277" s="376">
        <v>1.5</v>
      </c>
    </row>
    <row r="278" spans="1:13">
      <c r="A278" s="278" t="s">
        <v>1135</v>
      </c>
      <c r="B278" s="262"/>
      <c r="C278" s="262"/>
      <c r="D278" s="262"/>
      <c r="E278" s="263"/>
      <c r="F278" s="279"/>
      <c r="G278" s="280"/>
      <c r="H278" s="264"/>
      <c r="I278" s="279"/>
      <c r="J278" s="264"/>
      <c r="K278" s="289"/>
      <c r="L278" s="274"/>
      <c r="M278" s="708">
        <v>0.44999999999999996</v>
      </c>
    </row>
    <row r="279" spans="1:13">
      <c r="A279" s="25" t="s">
        <v>997</v>
      </c>
      <c r="B279" s="26" t="s">
        <v>988</v>
      </c>
      <c r="C279" s="26"/>
      <c r="D279" s="26"/>
      <c r="E279" s="27"/>
      <c r="F279" s="197"/>
      <c r="G279" s="211"/>
      <c r="H279" s="195">
        <f>SHF!H62</f>
        <v>35.119199999999992</v>
      </c>
      <c r="I279" s="197"/>
      <c r="J279" s="195">
        <f>SHF!J62</f>
        <v>257.60072117968605</v>
      </c>
      <c r="K279" s="289"/>
      <c r="L279" s="274"/>
      <c r="M279" s="268">
        <v>0.44999999999999996</v>
      </c>
    </row>
    <row r="280" spans="1:13">
      <c r="A280" s="25" t="s">
        <v>998</v>
      </c>
      <c r="B280" s="26" t="s">
        <v>989</v>
      </c>
      <c r="C280" s="26"/>
      <c r="D280" s="26"/>
      <c r="E280" s="27"/>
      <c r="F280" s="197"/>
      <c r="G280" s="211"/>
      <c r="H280" s="195">
        <f>SHF!H63</f>
        <v>35.119199999999992</v>
      </c>
      <c r="I280" s="197"/>
      <c r="J280" s="195">
        <f>SHF!J63</f>
        <v>257.60072117968605</v>
      </c>
      <c r="K280" s="289"/>
      <c r="L280" s="274"/>
      <c r="M280" s="376">
        <v>0.44999999999999996</v>
      </c>
    </row>
    <row r="281" spans="1:13">
      <c r="A281" s="25" t="s">
        <v>1006</v>
      </c>
      <c r="B281" s="26" t="s">
        <v>211</v>
      </c>
      <c r="C281" s="26"/>
      <c r="D281" s="26"/>
      <c r="E281" s="27"/>
      <c r="F281" s="197"/>
      <c r="G281" s="211"/>
      <c r="H281" s="195">
        <f>SHF!H73</f>
        <v>19.850764639779044</v>
      </c>
      <c r="I281" s="197"/>
      <c r="J281" s="195">
        <f>SHF!J73</f>
        <v>73.367744311147007</v>
      </c>
      <c r="K281" s="289"/>
      <c r="L281" s="274"/>
      <c r="M281" s="376">
        <v>0.44999999999999996</v>
      </c>
    </row>
    <row r="282" spans="1:13">
      <c r="A282" s="290" t="s">
        <v>1137</v>
      </c>
      <c r="B282" s="11"/>
      <c r="C282" s="11"/>
      <c r="D282" s="11"/>
      <c r="E282" s="191"/>
      <c r="F282" s="197"/>
      <c r="G282" s="211"/>
      <c r="H282" s="89"/>
      <c r="I282" s="197"/>
      <c r="J282" s="89"/>
      <c r="K282" s="289"/>
      <c r="L282" s="274"/>
      <c r="M282" s="994">
        <v>0.44999999999999996</v>
      </c>
    </row>
    <row r="283" spans="1:13">
      <c r="A283" s="25" t="s">
        <v>1007</v>
      </c>
      <c r="B283" s="26" t="s">
        <v>988</v>
      </c>
      <c r="C283" s="26"/>
      <c r="D283" s="26"/>
      <c r="E283" s="27"/>
      <c r="F283" s="195">
        <f>SHF!F80</f>
        <v>23.412799999999997</v>
      </c>
      <c r="G283" s="211"/>
      <c r="H283" s="34"/>
      <c r="I283" s="195">
        <f>SHF!I80</f>
        <v>-11.21508</v>
      </c>
      <c r="J283" s="195">
        <f>SHF!J80</f>
        <v>0</v>
      </c>
      <c r="K283" s="289"/>
      <c r="L283" s="274"/>
      <c r="M283" s="376">
        <v>0.44999999999999996</v>
      </c>
    </row>
    <row r="284" spans="1:13">
      <c r="A284" s="25" t="s">
        <v>1008</v>
      </c>
      <c r="B284" s="26" t="s">
        <v>989</v>
      </c>
      <c r="C284" s="26"/>
      <c r="D284" s="26"/>
      <c r="E284" s="27"/>
      <c r="F284" s="195">
        <f>SHF!F81</f>
        <v>23.412799999999997</v>
      </c>
      <c r="G284" s="211"/>
      <c r="H284" s="34"/>
      <c r="I284" s="195">
        <f>SHF!I81</f>
        <v>11.21508</v>
      </c>
      <c r="J284" s="195">
        <f>SHF!J81</f>
        <v>0</v>
      </c>
      <c r="K284" s="289"/>
      <c r="L284" s="274"/>
      <c r="M284" s="268">
        <v>0.44999999999999996</v>
      </c>
    </row>
    <row r="285" spans="1:13">
      <c r="A285" s="25" t="s">
        <v>1011</v>
      </c>
      <c r="B285" s="26" t="s">
        <v>211</v>
      </c>
      <c r="C285" s="26"/>
      <c r="D285" s="26"/>
      <c r="E285" s="27"/>
      <c r="F285" s="195">
        <f>SHF!F91</f>
        <v>13.233843093186028</v>
      </c>
      <c r="G285" s="211"/>
      <c r="H285" s="197"/>
      <c r="I285" s="195">
        <f>SHF!I91</f>
        <v>0</v>
      </c>
      <c r="J285" s="195">
        <f>SHF!J91</f>
        <v>0</v>
      </c>
      <c r="K285" s="289"/>
      <c r="L285" s="274"/>
      <c r="M285" s="268">
        <v>0.44999999999999996</v>
      </c>
    </row>
    <row r="286" spans="1:13">
      <c r="A286" s="253"/>
      <c r="B286" s="15"/>
      <c r="C286" s="15"/>
      <c r="D286" s="15"/>
      <c r="E286" s="22"/>
      <c r="F286" s="212"/>
      <c r="G286" s="213"/>
      <c r="H286" s="198"/>
      <c r="I286" s="198"/>
      <c r="J286" s="58"/>
      <c r="K286" s="74"/>
      <c r="L286" s="277"/>
      <c r="M286" s="379"/>
    </row>
    <row r="287" spans="1:13">
      <c r="A287" s="46"/>
      <c r="B287" s="46"/>
      <c r="C287" s="46"/>
      <c r="D287" s="46"/>
      <c r="E287" s="46"/>
      <c r="F287" s="46"/>
      <c r="G287" s="46"/>
      <c r="H287" s="46"/>
      <c r="I287" s="46"/>
      <c r="J287" s="46"/>
      <c r="K287" s="116"/>
      <c r="L287" s="270"/>
      <c r="M287" s="87"/>
    </row>
    <row r="288" spans="1:13">
      <c r="A288" s="220" t="s">
        <v>73</v>
      </c>
      <c r="B288" s="220" t="s">
        <v>74</v>
      </c>
      <c r="C288" s="200"/>
      <c r="D288" s="200"/>
      <c r="E288" s="217"/>
      <c r="F288" s="1636" t="s">
        <v>72</v>
      </c>
      <c r="G288" s="1637"/>
      <c r="H288" s="1637"/>
      <c r="I288" s="1637"/>
      <c r="J288" s="1638"/>
      <c r="K288" s="116"/>
      <c r="L288" s="270"/>
      <c r="M288" s="87"/>
    </row>
    <row r="289" spans="1:13" ht="18">
      <c r="A289" s="221"/>
      <c r="B289" s="221"/>
      <c r="C289" s="201"/>
      <c r="D289" s="201"/>
      <c r="E289" s="219"/>
      <c r="F289" s="223" t="s">
        <v>23</v>
      </c>
      <c r="G289" s="223" t="s">
        <v>87</v>
      </c>
      <c r="H289" s="223" t="s">
        <v>212</v>
      </c>
      <c r="I289" s="223" t="s">
        <v>80</v>
      </c>
      <c r="J289" s="223" t="s">
        <v>81</v>
      </c>
      <c r="K289" s="116"/>
      <c r="L289" s="270"/>
      <c r="M289" s="87"/>
    </row>
    <row r="290" spans="1:13">
      <c r="A290" s="222"/>
      <c r="B290" s="222"/>
      <c r="C290" s="203"/>
      <c r="D290" s="203"/>
      <c r="E290" s="218"/>
      <c r="F290" s="204" t="s">
        <v>34</v>
      </c>
      <c r="G290" s="204" t="s">
        <v>34</v>
      </c>
      <c r="H290" s="203" t="s">
        <v>34</v>
      </c>
      <c r="I290" s="204" t="s">
        <v>77</v>
      </c>
      <c r="J290" s="204" t="s">
        <v>77</v>
      </c>
      <c r="K290" s="116"/>
      <c r="L290" s="270"/>
      <c r="M290" s="87"/>
    </row>
    <row r="291" spans="1:13">
      <c r="A291" s="202"/>
      <c r="B291" s="200"/>
      <c r="C291" s="200"/>
      <c r="D291" s="200"/>
      <c r="E291" s="217"/>
      <c r="F291" s="205"/>
      <c r="G291" s="205"/>
      <c r="H291" s="201"/>
      <c r="I291" s="205"/>
      <c r="J291" s="205"/>
      <c r="K291" s="116"/>
      <c r="L291" s="270"/>
      <c r="M291" s="87"/>
    </row>
    <row r="292" spans="1:13">
      <c r="A292" s="205" t="str">
        <f>A264</f>
        <v>LC-11</v>
      </c>
      <c r="B292" s="201" t="str">
        <f>B264</f>
        <v>LC-2 + Seismic Sx=1,Sz=0.3,Sy=0.3</v>
      </c>
      <c r="C292" s="201"/>
      <c r="D292" s="201"/>
      <c r="E292" s="219"/>
      <c r="F292" s="1054">
        <f>SUMPRODUCT(F267:F285,$M$267:$M$285)</f>
        <v>1057.329851589448</v>
      </c>
      <c r="G292" s="1055">
        <f>SUMPRODUCT(G267:G285,$M$267:$M$285)</f>
        <v>143.03556695966853</v>
      </c>
      <c r="H292" s="1055">
        <f>SUMPRODUCT(H267:H285,$M$267:$M$285)</f>
        <v>40.540124087900558</v>
      </c>
      <c r="I292" s="1055">
        <f>SUMPRODUCT(I267:I285,$M$267:$M$285)</f>
        <v>849.91605806672055</v>
      </c>
      <c r="J292" s="1055">
        <f>SUMPRODUCT(J267:J285,$M$267:$M$285)</f>
        <v>264.85613400173355</v>
      </c>
      <c r="K292" s="116"/>
      <c r="L292" s="270"/>
      <c r="M292" s="87"/>
    </row>
    <row r="293" spans="1:13">
      <c r="A293" s="204"/>
      <c r="B293" s="203"/>
      <c r="C293" s="203"/>
      <c r="D293" s="203"/>
      <c r="E293" s="218"/>
      <c r="F293" s="204"/>
      <c r="G293" s="204"/>
      <c r="H293" s="203"/>
      <c r="I293" s="204"/>
      <c r="J293" s="204"/>
      <c r="K293" s="116"/>
      <c r="L293" s="270"/>
      <c r="M293" s="87"/>
    </row>
    <row r="294" spans="1:13">
      <c r="A294" s="1"/>
      <c r="B294" s="1"/>
      <c r="C294" s="1"/>
      <c r="D294" s="1"/>
      <c r="E294" s="1"/>
      <c r="F294" s="1"/>
      <c r="G294" s="1"/>
      <c r="H294" s="1"/>
      <c r="I294" s="1"/>
      <c r="J294" s="1"/>
      <c r="K294" s="1"/>
      <c r="L294" s="1"/>
      <c r="M294" s="1"/>
    </row>
    <row r="295" spans="1:13">
      <c r="A295" s="1"/>
      <c r="B295" s="1"/>
      <c r="C295" s="1"/>
      <c r="D295" s="1"/>
      <c r="E295" s="1"/>
      <c r="F295" s="1"/>
      <c r="G295" s="1"/>
      <c r="H295" s="1"/>
      <c r="I295" s="1"/>
      <c r="J295" s="1"/>
      <c r="K295" s="1"/>
      <c r="L295" s="1"/>
      <c r="M295" s="1"/>
    </row>
    <row r="296" spans="1:13">
      <c r="A296" s="225" t="str">
        <f>M296</f>
        <v>LC-12</v>
      </c>
      <c r="B296" s="24" t="str">
        <f>VLOOKUP(A296,LC_DEF_2!A3:B42,2,FALSE)</f>
        <v>LC-2 + Seismic Sx=0.3,Sz=1,Sy=0.3</v>
      </c>
      <c r="C296" s="24"/>
      <c r="D296" s="24"/>
      <c r="E296" s="21"/>
      <c r="F296" s="1599" t="s">
        <v>742</v>
      </c>
      <c r="G296" s="1635"/>
      <c r="H296" s="1635"/>
      <c r="I296" s="1635"/>
      <c r="J296" s="1600"/>
      <c r="K296" s="73"/>
      <c r="L296" s="272"/>
      <c r="M296" s="384" t="s">
        <v>238</v>
      </c>
    </row>
    <row r="297" spans="1:13" ht="18">
      <c r="A297" s="25" t="s">
        <v>73</v>
      </c>
      <c r="B297" s="26" t="s">
        <v>74</v>
      </c>
      <c r="C297" s="26"/>
      <c r="D297" s="26"/>
      <c r="E297" s="27"/>
      <c r="F297" s="33" t="s">
        <v>23</v>
      </c>
      <c r="G297" s="33" t="s">
        <v>87</v>
      </c>
      <c r="H297" s="33" t="s">
        <v>212</v>
      </c>
      <c r="I297" s="33" t="s">
        <v>80</v>
      </c>
      <c r="J297" s="33" t="s">
        <v>81</v>
      </c>
      <c r="K297" s="273"/>
      <c r="L297" s="274"/>
      <c r="M297" s="376"/>
    </row>
    <row r="298" spans="1:13">
      <c r="A298" s="25"/>
      <c r="B298" s="26"/>
      <c r="C298" s="26"/>
      <c r="D298" s="26"/>
      <c r="E298" s="27"/>
      <c r="F298" s="36" t="s">
        <v>34</v>
      </c>
      <c r="G298" s="36" t="s">
        <v>34</v>
      </c>
      <c r="H298" s="36" t="s">
        <v>34</v>
      </c>
      <c r="I298" s="36" t="s">
        <v>77</v>
      </c>
      <c r="J298" s="36" t="s">
        <v>77</v>
      </c>
      <c r="K298" s="74"/>
      <c r="L298" s="277"/>
      <c r="M298" s="655"/>
    </row>
    <row r="299" spans="1:13">
      <c r="A299" s="25" t="s">
        <v>88</v>
      </c>
      <c r="B299" s="26" t="s">
        <v>75</v>
      </c>
      <c r="C299" s="26"/>
      <c r="D299" s="26"/>
      <c r="E299" s="27"/>
      <c r="F299" s="195">
        <f>SHF!F14</f>
        <v>165.42303866482536</v>
      </c>
      <c r="G299" s="210"/>
      <c r="H299" s="34"/>
      <c r="I299" s="195">
        <f>SHF!I14</f>
        <v>0</v>
      </c>
      <c r="J299" s="195">
        <f>SHF!J14</f>
        <v>0</v>
      </c>
      <c r="K299" s="273"/>
      <c r="L299" s="274"/>
      <c r="M299" s="268">
        <v>1.35</v>
      </c>
    </row>
    <row r="300" spans="1:13">
      <c r="A300" s="25" t="s">
        <v>250</v>
      </c>
      <c r="B300" s="26" t="s">
        <v>967</v>
      </c>
      <c r="C300" s="26"/>
      <c r="D300" s="26"/>
      <c r="E300" s="27"/>
      <c r="F300" s="195">
        <f>SHF!F17</f>
        <v>230</v>
      </c>
      <c r="G300" s="210"/>
      <c r="H300" s="34"/>
      <c r="I300" s="195">
        <f>SHF!I17</f>
        <v>-115</v>
      </c>
      <c r="J300" s="195">
        <f>SHF!J17</f>
        <v>0</v>
      </c>
      <c r="K300" s="273"/>
      <c r="L300" s="274"/>
      <c r="M300" s="268">
        <v>1.35</v>
      </c>
    </row>
    <row r="301" spans="1:13">
      <c r="A301" s="25" t="s">
        <v>251</v>
      </c>
      <c r="B301" s="26" t="s">
        <v>968</v>
      </c>
      <c r="C301" s="26"/>
      <c r="D301" s="26"/>
      <c r="E301" s="27"/>
      <c r="F301" s="195">
        <f>SHF!F18</f>
        <v>20.660000000000004</v>
      </c>
      <c r="G301" s="210"/>
      <c r="H301" s="34"/>
      <c r="I301" s="195">
        <f>SHF!I18</f>
        <v>-10.330000000000002</v>
      </c>
      <c r="J301" s="195">
        <f>SHF!J18</f>
        <v>0</v>
      </c>
      <c r="K301" s="273"/>
      <c r="L301" s="274"/>
      <c r="M301" s="268">
        <v>1.35</v>
      </c>
    </row>
    <row r="302" spans="1:13">
      <c r="A302" s="25" t="s">
        <v>97</v>
      </c>
      <c r="B302" s="26" t="s">
        <v>969</v>
      </c>
      <c r="C302" s="26"/>
      <c r="D302" s="26"/>
      <c r="E302" s="27"/>
      <c r="F302" s="195">
        <f>SHF!F19</f>
        <v>42</v>
      </c>
      <c r="G302" s="210"/>
      <c r="H302" s="34"/>
      <c r="I302" s="195">
        <f>SHF!I19</f>
        <v>-14.858499999999999</v>
      </c>
      <c r="J302" s="195">
        <f>SHF!J19</f>
        <v>0</v>
      </c>
      <c r="K302" s="273"/>
      <c r="L302" s="274"/>
      <c r="M302" s="268">
        <v>1.35</v>
      </c>
    </row>
    <row r="303" spans="1:13">
      <c r="A303" s="25" t="s">
        <v>250</v>
      </c>
      <c r="B303" s="26" t="s">
        <v>970</v>
      </c>
      <c r="C303" s="26"/>
      <c r="D303" s="26"/>
      <c r="E303" s="27"/>
      <c r="F303" s="195">
        <f>SHF!F21</f>
        <v>230</v>
      </c>
      <c r="G303" s="210"/>
      <c r="H303" s="34"/>
      <c r="I303" s="195">
        <f>SHF!I21</f>
        <v>115</v>
      </c>
      <c r="J303" s="195">
        <f>SHF!J21</f>
        <v>0</v>
      </c>
      <c r="K303" s="273"/>
      <c r="L303" s="274"/>
      <c r="M303" s="376">
        <v>1.35</v>
      </c>
    </row>
    <row r="304" spans="1:13">
      <c r="A304" s="25" t="s">
        <v>251</v>
      </c>
      <c r="B304" s="26" t="s">
        <v>971</v>
      </c>
      <c r="C304" s="26"/>
      <c r="D304" s="26"/>
      <c r="E304" s="27"/>
      <c r="F304" s="195">
        <f>SHF!F22</f>
        <v>20.660000000000004</v>
      </c>
      <c r="G304" s="210"/>
      <c r="H304" s="34"/>
      <c r="I304" s="195">
        <f>SHF!I22</f>
        <v>10.330000000000002</v>
      </c>
      <c r="J304" s="195">
        <f>SHF!J22</f>
        <v>0</v>
      </c>
      <c r="K304" s="273"/>
      <c r="L304" s="274"/>
      <c r="M304" s="376">
        <v>1.35</v>
      </c>
    </row>
    <row r="305" spans="1:13">
      <c r="A305" s="25" t="s">
        <v>97</v>
      </c>
      <c r="B305" s="26" t="s">
        <v>972</v>
      </c>
      <c r="C305" s="26"/>
      <c r="D305" s="26"/>
      <c r="E305" s="27"/>
      <c r="F305" s="195">
        <f>SHF!F23</f>
        <v>42</v>
      </c>
      <c r="G305" s="210"/>
      <c r="H305" s="34"/>
      <c r="I305" s="195">
        <f>SHF!I23</f>
        <v>14.858499999999999</v>
      </c>
      <c r="J305" s="195">
        <f>SHF!J23</f>
        <v>0</v>
      </c>
      <c r="K305" s="273"/>
      <c r="L305" s="274"/>
      <c r="M305" s="376">
        <v>1.75</v>
      </c>
    </row>
    <row r="306" spans="1:13">
      <c r="A306" s="25" t="s">
        <v>986</v>
      </c>
      <c r="B306" s="163" t="s">
        <v>955</v>
      </c>
      <c r="C306" s="26"/>
      <c r="D306" s="26"/>
      <c r="E306" s="27"/>
      <c r="F306" s="34"/>
      <c r="G306" s="195">
        <f>SHF!G37</f>
        <v>5.8532000000000011</v>
      </c>
      <c r="H306" s="34"/>
      <c r="I306" s="195">
        <f>SHF!I37</f>
        <v>37.928736000000015</v>
      </c>
      <c r="J306" s="34"/>
      <c r="K306" s="273"/>
      <c r="L306" s="274"/>
      <c r="M306" s="376">
        <v>1.35</v>
      </c>
    </row>
    <row r="307" spans="1:13">
      <c r="A307" s="278" t="s">
        <v>1132</v>
      </c>
      <c r="B307" s="262"/>
      <c r="C307" s="262"/>
      <c r="D307" s="262"/>
      <c r="E307" s="263"/>
      <c r="F307" s="1052"/>
      <c r="G307" s="1053"/>
      <c r="H307" s="267"/>
      <c r="I307" s="1052"/>
      <c r="J307" s="267"/>
      <c r="K307" s="289"/>
      <c r="L307" s="274"/>
      <c r="M307" s="412">
        <v>0.44999999999999996</v>
      </c>
    </row>
    <row r="308" spans="1:13">
      <c r="A308" s="25" t="s">
        <v>991</v>
      </c>
      <c r="B308" s="26" t="s">
        <v>989</v>
      </c>
      <c r="C308" s="26"/>
      <c r="D308" s="26"/>
      <c r="E308" s="27"/>
      <c r="F308" s="197"/>
      <c r="G308" s="195">
        <f>SHF!G49</f>
        <v>70.238399999999984</v>
      </c>
      <c r="H308" s="34"/>
      <c r="I308" s="195">
        <f>SHF!I49</f>
        <v>455.14483200000001</v>
      </c>
      <c r="J308" s="89"/>
      <c r="K308" s="289"/>
      <c r="L308" s="274"/>
      <c r="M308" s="268">
        <v>0.44999999999999996</v>
      </c>
    </row>
    <row r="309" spans="1:13">
      <c r="A309" s="25" t="s">
        <v>217</v>
      </c>
      <c r="B309" s="26" t="s">
        <v>211</v>
      </c>
      <c r="C309" s="26"/>
      <c r="D309" s="26"/>
      <c r="E309" s="27"/>
      <c r="F309" s="197"/>
      <c r="G309" s="195">
        <f>SHF!G55</f>
        <v>19.850764639779044</v>
      </c>
      <c r="H309" s="34"/>
      <c r="I309" s="195">
        <f>SHF!I55</f>
        <v>73.367744311147007</v>
      </c>
      <c r="J309" s="89"/>
      <c r="K309" s="289"/>
      <c r="L309" s="274"/>
      <c r="M309" s="376">
        <v>0.44999999999999996</v>
      </c>
    </row>
    <row r="310" spans="1:13">
      <c r="A310" s="278" t="s">
        <v>1135</v>
      </c>
      <c r="B310" s="262"/>
      <c r="C310" s="262"/>
      <c r="D310" s="262"/>
      <c r="E310" s="263"/>
      <c r="F310" s="279"/>
      <c r="G310" s="280"/>
      <c r="H310" s="264"/>
      <c r="I310" s="279"/>
      <c r="J310" s="264"/>
      <c r="K310" s="289"/>
      <c r="L310" s="274"/>
      <c r="M310" s="708">
        <v>1.5</v>
      </c>
    </row>
    <row r="311" spans="1:13">
      <c r="A311" s="25" t="s">
        <v>997</v>
      </c>
      <c r="B311" s="26" t="s">
        <v>988</v>
      </c>
      <c r="C311" s="26"/>
      <c r="D311" s="26"/>
      <c r="E311" s="27"/>
      <c r="F311" s="197"/>
      <c r="G311" s="211"/>
      <c r="H311" s="195">
        <f>SHF!H62</f>
        <v>35.119199999999992</v>
      </c>
      <c r="I311" s="197"/>
      <c r="J311" s="195">
        <f>SHF!J62</f>
        <v>257.60072117968605</v>
      </c>
      <c r="K311" s="289"/>
      <c r="L311" s="274"/>
      <c r="M311" s="268">
        <v>1.5</v>
      </c>
    </row>
    <row r="312" spans="1:13">
      <c r="A312" s="25" t="s">
        <v>998</v>
      </c>
      <c r="B312" s="26" t="s">
        <v>989</v>
      </c>
      <c r="C312" s="26"/>
      <c r="D312" s="26"/>
      <c r="E312" s="27"/>
      <c r="F312" s="197"/>
      <c r="G312" s="211"/>
      <c r="H312" s="195">
        <f>SHF!H63</f>
        <v>35.119199999999992</v>
      </c>
      <c r="I312" s="197"/>
      <c r="J312" s="195">
        <f>SHF!J63</f>
        <v>257.60072117968605</v>
      </c>
      <c r="K312" s="289"/>
      <c r="L312" s="274"/>
      <c r="M312" s="376">
        <v>1.5</v>
      </c>
    </row>
    <row r="313" spans="1:13">
      <c r="A313" s="25" t="s">
        <v>1006</v>
      </c>
      <c r="B313" s="26" t="s">
        <v>211</v>
      </c>
      <c r="C313" s="26"/>
      <c r="D313" s="26"/>
      <c r="E313" s="27"/>
      <c r="F313" s="197"/>
      <c r="G313" s="211"/>
      <c r="H313" s="195">
        <f>SHF!H73</f>
        <v>19.850764639779044</v>
      </c>
      <c r="I313" s="197"/>
      <c r="J313" s="195">
        <f>SHF!J73</f>
        <v>73.367744311147007</v>
      </c>
      <c r="K313" s="289"/>
      <c r="L313" s="274"/>
      <c r="M313" s="376">
        <v>1.5</v>
      </c>
    </row>
    <row r="314" spans="1:13">
      <c r="A314" s="290" t="s">
        <v>1137</v>
      </c>
      <c r="B314" s="11"/>
      <c r="C314" s="11"/>
      <c r="D314" s="11"/>
      <c r="E314" s="191"/>
      <c r="F314" s="197"/>
      <c r="G314" s="211"/>
      <c r="H314" s="89"/>
      <c r="I314" s="197"/>
      <c r="J314" s="89"/>
      <c r="K314" s="289"/>
      <c r="L314" s="274"/>
      <c r="M314" s="994">
        <v>0.44999999999999996</v>
      </c>
    </row>
    <row r="315" spans="1:13">
      <c r="A315" s="25" t="s">
        <v>1007</v>
      </c>
      <c r="B315" s="26" t="s">
        <v>988</v>
      </c>
      <c r="C315" s="26"/>
      <c r="D315" s="26"/>
      <c r="E315" s="27"/>
      <c r="F315" s="195">
        <f>SHF!F80</f>
        <v>23.412799999999997</v>
      </c>
      <c r="G315" s="211"/>
      <c r="H315" s="34"/>
      <c r="I315" s="195">
        <f>SHF!I80</f>
        <v>-11.21508</v>
      </c>
      <c r="J315" s="195">
        <f>SHF!J80</f>
        <v>0</v>
      </c>
      <c r="K315" s="289"/>
      <c r="L315" s="274"/>
      <c r="M315" s="376">
        <v>0.44999999999999996</v>
      </c>
    </row>
    <row r="316" spans="1:13">
      <c r="A316" s="25" t="s">
        <v>1008</v>
      </c>
      <c r="B316" s="26" t="s">
        <v>989</v>
      </c>
      <c r="C316" s="26"/>
      <c r="D316" s="26"/>
      <c r="E316" s="27"/>
      <c r="F316" s="195">
        <f>SHF!F81</f>
        <v>23.412799999999997</v>
      </c>
      <c r="G316" s="211"/>
      <c r="H316" s="34"/>
      <c r="I316" s="195">
        <f>SHF!I81</f>
        <v>11.21508</v>
      </c>
      <c r="J316" s="195">
        <f>SHF!J81</f>
        <v>0</v>
      </c>
      <c r="K316" s="289"/>
      <c r="L316" s="274"/>
      <c r="M316" s="268">
        <v>0.44999999999999996</v>
      </c>
    </row>
    <row r="317" spans="1:13">
      <c r="A317" s="25" t="s">
        <v>1011</v>
      </c>
      <c r="B317" s="26" t="s">
        <v>211</v>
      </c>
      <c r="C317" s="26"/>
      <c r="D317" s="26"/>
      <c r="E317" s="27"/>
      <c r="F317" s="195">
        <f>SHF!F91</f>
        <v>13.233843093186028</v>
      </c>
      <c r="G317" s="211"/>
      <c r="H317" s="197"/>
      <c r="I317" s="195">
        <f>SHF!I91</f>
        <v>0</v>
      </c>
      <c r="J317" s="195">
        <f>SHF!J91</f>
        <v>0</v>
      </c>
      <c r="K317" s="289"/>
      <c r="L317" s="274"/>
      <c r="M317" s="268">
        <v>0.44999999999999996</v>
      </c>
    </row>
    <row r="318" spans="1:13">
      <c r="A318" s="253"/>
      <c r="B318" s="15"/>
      <c r="C318" s="15"/>
      <c r="D318" s="15"/>
      <c r="E318" s="22"/>
      <c r="F318" s="212"/>
      <c r="G318" s="213"/>
      <c r="H318" s="198"/>
      <c r="I318" s="198"/>
      <c r="J318" s="58"/>
      <c r="K318" s="74"/>
      <c r="L318" s="277"/>
      <c r="M318" s="379"/>
    </row>
    <row r="319" spans="1:13">
      <c r="A319" s="46"/>
      <c r="B319" s="46"/>
      <c r="C319" s="46"/>
      <c r="D319" s="46"/>
      <c r="E319" s="46"/>
      <c r="F319" s="46"/>
      <c r="G319" s="46"/>
      <c r="H319" s="46"/>
      <c r="I319" s="46"/>
      <c r="J319" s="46"/>
      <c r="K319" s="116"/>
      <c r="L319" s="270"/>
      <c r="M319" s="87"/>
    </row>
    <row r="320" spans="1:13">
      <c r="A320" s="220" t="s">
        <v>73</v>
      </c>
      <c r="B320" s="220" t="s">
        <v>74</v>
      </c>
      <c r="C320" s="200"/>
      <c r="D320" s="200"/>
      <c r="E320" s="217"/>
      <c r="F320" s="1636" t="s">
        <v>72</v>
      </c>
      <c r="G320" s="1637"/>
      <c r="H320" s="1637"/>
      <c r="I320" s="1637"/>
      <c r="J320" s="1638"/>
      <c r="K320" s="116"/>
      <c r="L320" s="270"/>
      <c r="M320" s="87"/>
    </row>
    <row r="321" spans="1:13" ht="18">
      <c r="A321" s="221"/>
      <c r="B321" s="221"/>
      <c r="C321" s="201"/>
      <c r="D321" s="201"/>
      <c r="E321" s="219"/>
      <c r="F321" s="223" t="s">
        <v>23</v>
      </c>
      <c r="G321" s="223" t="s">
        <v>87</v>
      </c>
      <c r="H321" s="223" t="s">
        <v>212</v>
      </c>
      <c r="I321" s="223" t="s">
        <v>80</v>
      </c>
      <c r="J321" s="223" t="s">
        <v>81</v>
      </c>
      <c r="K321" s="116"/>
      <c r="L321" s="270"/>
      <c r="M321" s="87"/>
    </row>
    <row r="322" spans="1:13">
      <c r="A322" s="222"/>
      <c r="B322" s="222"/>
      <c r="C322" s="203"/>
      <c r="D322" s="203"/>
      <c r="E322" s="218"/>
      <c r="F322" s="204" t="s">
        <v>34</v>
      </c>
      <c r="G322" s="204" t="s">
        <v>34</v>
      </c>
      <c r="H322" s="203" t="s">
        <v>34</v>
      </c>
      <c r="I322" s="204" t="s">
        <v>77</v>
      </c>
      <c r="J322" s="204" t="s">
        <v>77</v>
      </c>
      <c r="K322" s="116"/>
      <c r="L322" s="270"/>
      <c r="M322" s="87"/>
    </row>
    <row r="323" spans="1:13">
      <c r="A323" s="202"/>
      <c r="B323" s="200"/>
      <c r="C323" s="200"/>
      <c r="D323" s="200"/>
      <c r="E323" s="217"/>
      <c r="F323" s="205"/>
      <c r="G323" s="205"/>
      <c r="H323" s="201"/>
      <c r="I323" s="205"/>
      <c r="J323" s="205"/>
      <c r="K323" s="116"/>
      <c r="L323" s="270"/>
      <c r="M323" s="87"/>
    </row>
    <row r="324" spans="1:13">
      <c r="A324" s="205" t="str">
        <f>A296</f>
        <v>LC-12</v>
      </c>
      <c r="B324" s="201" t="str">
        <f>B296</f>
        <v>LC-2 + Seismic Sx=0.3,Sz=1,Sy=0.3</v>
      </c>
      <c r="C324" s="201"/>
      <c r="D324" s="201"/>
      <c r="E324" s="219"/>
      <c r="F324" s="1054">
        <f>SUMPRODUCT(F299:F317,$M$299:$M$317)</f>
        <v>1057.329851589448</v>
      </c>
      <c r="G324" s="1055">
        <f>SUMPRODUCT(G299:G317,$M$299:$M$317)</f>
        <v>48.441944087900559</v>
      </c>
      <c r="H324" s="1055">
        <f>SUMPRODUCT(H299:H317,$M$299:$M$317)</f>
        <v>135.13374695966854</v>
      </c>
      <c r="I324" s="1055">
        <f>SUMPRODUCT(I299:I317,$M$299:$M$317)</f>
        <v>294.97785294001619</v>
      </c>
      <c r="J324" s="1055">
        <f>SUMPRODUCT(J299:J317,$M$299:$M$317)</f>
        <v>882.85378000577862</v>
      </c>
      <c r="K324" s="116"/>
      <c r="L324" s="270"/>
      <c r="M324" s="87"/>
    </row>
    <row r="325" spans="1:13">
      <c r="A325" s="204"/>
      <c r="B325" s="203"/>
      <c r="C325" s="203"/>
      <c r="D325" s="203"/>
      <c r="E325" s="218"/>
      <c r="F325" s="204"/>
      <c r="G325" s="204"/>
      <c r="H325" s="203"/>
      <c r="I325" s="204"/>
      <c r="J325" s="204"/>
      <c r="K325" s="116"/>
      <c r="L325" s="270"/>
      <c r="M325" s="87"/>
    </row>
    <row r="326" spans="1:13">
      <c r="A326" s="1"/>
      <c r="B326" s="1"/>
      <c r="C326" s="1"/>
      <c r="D326" s="1"/>
      <c r="E326" s="1"/>
      <c r="F326" s="1"/>
      <c r="G326" s="1"/>
      <c r="H326" s="1"/>
      <c r="I326" s="1"/>
      <c r="J326" s="1"/>
      <c r="K326" s="1"/>
      <c r="L326" s="1"/>
      <c r="M326" s="1"/>
    </row>
    <row r="327" spans="1:13">
      <c r="A327" s="1"/>
      <c r="B327" s="1"/>
      <c r="C327" s="1"/>
      <c r="D327" s="1"/>
      <c r="E327" s="1"/>
      <c r="F327" s="1"/>
      <c r="G327" s="1"/>
      <c r="H327" s="1"/>
      <c r="I327" s="1"/>
      <c r="J327" s="1"/>
      <c r="K327" s="1"/>
      <c r="L327" s="1"/>
      <c r="M327" s="1"/>
    </row>
    <row r="328" spans="1:13">
      <c r="A328" s="225" t="str">
        <f>M328</f>
        <v>LC-13</v>
      </c>
      <c r="B328" s="24" t="str">
        <f>VLOOKUP(A328,LC_DEF_2!A3:B42,2,FALSE)</f>
        <v>LC-3 + Seismic Sx=1,Sz=0.3,Sy=-0.3</v>
      </c>
      <c r="C328" s="24"/>
      <c r="D328" s="24"/>
      <c r="E328" s="21"/>
      <c r="F328" s="1599" t="s">
        <v>742</v>
      </c>
      <c r="G328" s="1635"/>
      <c r="H328" s="1635"/>
      <c r="I328" s="1635"/>
      <c r="J328" s="1600"/>
      <c r="K328" s="73"/>
      <c r="L328" s="272"/>
      <c r="M328" s="384" t="s">
        <v>239</v>
      </c>
    </row>
    <row r="329" spans="1:13" ht="18">
      <c r="A329" s="25" t="s">
        <v>73</v>
      </c>
      <c r="B329" s="26" t="s">
        <v>74</v>
      </c>
      <c r="C329" s="26"/>
      <c r="D329" s="26"/>
      <c r="E329" s="27"/>
      <c r="F329" s="33" t="s">
        <v>23</v>
      </c>
      <c r="G329" s="33" t="s">
        <v>87</v>
      </c>
      <c r="H329" s="33" t="s">
        <v>212</v>
      </c>
      <c r="I329" s="33" t="s">
        <v>80</v>
      </c>
      <c r="J329" s="33" t="s">
        <v>81</v>
      </c>
      <c r="K329" s="273"/>
      <c r="L329" s="274"/>
      <c r="M329" s="376"/>
    </row>
    <row r="330" spans="1:13">
      <c r="A330" s="25"/>
      <c r="B330" s="26"/>
      <c r="C330" s="26"/>
      <c r="D330" s="26"/>
      <c r="E330" s="27"/>
      <c r="F330" s="36" t="s">
        <v>34</v>
      </c>
      <c r="G330" s="36" t="s">
        <v>34</v>
      </c>
      <c r="H330" s="36" t="s">
        <v>34</v>
      </c>
      <c r="I330" s="36" t="s">
        <v>77</v>
      </c>
      <c r="J330" s="36" t="s">
        <v>77</v>
      </c>
      <c r="K330" s="74"/>
      <c r="L330" s="277"/>
      <c r="M330" s="655"/>
    </row>
    <row r="331" spans="1:13">
      <c r="A331" s="25" t="s">
        <v>88</v>
      </c>
      <c r="B331" s="26" t="s">
        <v>75</v>
      </c>
      <c r="C331" s="26"/>
      <c r="D331" s="26"/>
      <c r="E331" s="27"/>
      <c r="F331" s="195">
        <f>SHF!F14</f>
        <v>165.42303866482536</v>
      </c>
      <c r="G331" s="210"/>
      <c r="H331" s="34"/>
      <c r="I331" s="195">
        <f>SHF!I14</f>
        <v>0</v>
      </c>
      <c r="J331" s="195">
        <f>SHF!J14</f>
        <v>0</v>
      </c>
      <c r="K331" s="273"/>
      <c r="L331" s="274"/>
      <c r="M331" s="268">
        <v>1.35</v>
      </c>
    </row>
    <row r="332" spans="1:13">
      <c r="A332" s="25" t="s">
        <v>250</v>
      </c>
      <c r="B332" s="26" t="s">
        <v>967</v>
      </c>
      <c r="C332" s="26"/>
      <c r="D332" s="26"/>
      <c r="E332" s="27"/>
      <c r="F332" s="195">
        <f>SHF!F17</f>
        <v>230</v>
      </c>
      <c r="G332" s="210"/>
      <c r="H332" s="34"/>
      <c r="I332" s="195">
        <f>SHF!I17</f>
        <v>-115</v>
      </c>
      <c r="J332" s="195">
        <f>SHF!J17</f>
        <v>0</v>
      </c>
      <c r="K332" s="273"/>
      <c r="L332" s="274"/>
      <c r="M332" s="268">
        <v>1.35</v>
      </c>
    </row>
    <row r="333" spans="1:13">
      <c r="A333" s="25" t="s">
        <v>251</v>
      </c>
      <c r="B333" s="26" t="s">
        <v>968</v>
      </c>
      <c r="C333" s="26"/>
      <c r="D333" s="26"/>
      <c r="E333" s="27"/>
      <c r="F333" s="195">
        <f>SHF!F18</f>
        <v>20.660000000000004</v>
      </c>
      <c r="G333" s="210"/>
      <c r="H333" s="34"/>
      <c r="I333" s="195">
        <f>SHF!I18</f>
        <v>-10.330000000000002</v>
      </c>
      <c r="J333" s="195">
        <f>SHF!J18</f>
        <v>0</v>
      </c>
      <c r="K333" s="273"/>
      <c r="L333" s="274"/>
      <c r="M333" s="268">
        <v>1.35</v>
      </c>
    </row>
    <row r="334" spans="1:13">
      <c r="A334" s="25" t="s">
        <v>97</v>
      </c>
      <c r="B334" s="26" t="s">
        <v>969</v>
      </c>
      <c r="C334" s="26"/>
      <c r="D334" s="26"/>
      <c r="E334" s="27"/>
      <c r="F334" s="195">
        <f>SHF!F19</f>
        <v>42</v>
      </c>
      <c r="G334" s="210"/>
      <c r="H334" s="34"/>
      <c r="I334" s="195">
        <f>SHF!I19</f>
        <v>-14.858499999999999</v>
      </c>
      <c r="J334" s="195">
        <f>SHF!J19</f>
        <v>0</v>
      </c>
      <c r="K334" s="273"/>
      <c r="L334" s="274"/>
      <c r="M334" s="268">
        <v>1.35</v>
      </c>
    </row>
    <row r="335" spans="1:13">
      <c r="A335" s="25" t="s">
        <v>250</v>
      </c>
      <c r="B335" s="26" t="s">
        <v>970</v>
      </c>
      <c r="C335" s="26"/>
      <c r="D335" s="26"/>
      <c r="E335" s="27"/>
      <c r="F335" s="195">
        <f>SHF!F21</f>
        <v>230</v>
      </c>
      <c r="G335" s="210"/>
      <c r="H335" s="34"/>
      <c r="I335" s="195">
        <f>SHF!I21</f>
        <v>115</v>
      </c>
      <c r="J335" s="195">
        <f>SHF!J21</f>
        <v>0</v>
      </c>
      <c r="K335" s="273"/>
      <c r="L335" s="274"/>
      <c r="M335" s="376">
        <v>1.35</v>
      </c>
    </row>
    <row r="336" spans="1:13">
      <c r="A336" s="25" t="s">
        <v>251</v>
      </c>
      <c r="B336" s="26" t="s">
        <v>971</v>
      </c>
      <c r="C336" s="26"/>
      <c r="D336" s="26"/>
      <c r="E336" s="27"/>
      <c r="F336" s="195">
        <f>SHF!F22</f>
        <v>20.660000000000004</v>
      </c>
      <c r="G336" s="210"/>
      <c r="H336" s="34"/>
      <c r="I336" s="195">
        <f>SHF!I22</f>
        <v>10.330000000000002</v>
      </c>
      <c r="J336" s="195">
        <f>SHF!J22</f>
        <v>0</v>
      </c>
      <c r="K336" s="273"/>
      <c r="L336" s="274"/>
      <c r="M336" s="376">
        <v>1.35</v>
      </c>
    </row>
    <row r="337" spans="1:13">
      <c r="A337" s="25" t="s">
        <v>97</v>
      </c>
      <c r="B337" s="26" t="s">
        <v>972</v>
      </c>
      <c r="C337" s="26"/>
      <c r="D337" s="26"/>
      <c r="E337" s="27"/>
      <c r="F337" s="195">
        <f>SHF!F23</f>
        <v>42</v>
      </c>
      <c r="G337" s="210"/>
      <c r="H337" s="34"/>
      <c r="I337" s="195">
        <f>SHF!I23</f>
        <v>14.858499999999999</v>
      </c>
      <c r="J337" s="195">
        <f>SHF!J23</f>
        <v>0</v>
      </c>
      <c r="K337" s="273"/>
      <c r="L337" s="274"/>
      <c r="M337" s="376">
        <v>1.75</v>
      </c>
    </row>
    <row r="338" spans="1:13">
      <c r="A338" s="25" t="s">
        <v>976</v>
      </c>
      <c r="B338" s="26" t="s">
        <v>978</v>
      </c>
      <c r="C338" s="26"/>
      <c r="D338" s="26"/>
      <c r="E338" s="27"/>
      <c r="F338" s="195">
        <f>SHF!F27</f>
        <v>65.160399999999996</v>
      </c>
      <c r="G338" s="210"/>
      <c r="H338" s="34"/>
      <c r="I338" s="195">
        <f>SHF!I27</f>
        <v>-32.580199999999998</v>
      </c>
      <c r="J338" s="195">
        <f>SHF!J27</f>
        <v>-10.105732306306301</v>
      </c>
      <c r="K338" s="273"/>
      <c r="L338" s="274"/>
      <c r="M338" s="268">
        <v>0.2</v>
      </c>
    </row>
    <row r="339" spans="1:13">
      <c r="A339" s="25" t="s">
        <v>977</v>
      </c>
      <c r="B339" s="26" t="s">
        <v>979</v>
      </c>
      <c r="C339" s="26"/>
      <c r="D339" s="26"/>
      <c r="E339" s="27"/>
      <c r="F339" s="195">
        <f>SHF!F28</f>
        <v>75.185314285714313</v>
      </c>
      <c r="G339" s="210"/>
      <c r="H339" s="34"/>
      <c r="I339" s="195">
        <f>SHF!I28</f>
        <v>37.592657142857156</v>
      </c>
      <c r="J339" s="195">
        <f>SHF!J28</f>
        <v>-11.660497166023164</v>
      </c>
      <c r="K339" s="273"/>
      <c r="L339" s="274"/>
      <c r="M339" s="268">
        <v>0.2</v>
      </c>
    </row>
    <row r="340" spans="1:13">
      <c r="A340" s="278" t="s">
        <v>1132</v>
      </c>
      <c r="B340" s="262"/>
      <c r="C340" s="262"/>
      <c r="D340" s="262"/>
      <c r="E340" s="263"/>
      <c r="F340" s="1052"/>
      <c r="G340" s="1053"/>
      <c r="H340" s="267"/>
      <c r="I340" s="1052"/>
      <c r="J340" s="267"/>
      <c r="K340" s="289"/>
      <c r="L340" s="274"/>
      <c r="M340" s="412">
        <v>1.5</v>
      </c>
    </row>
    <row r="341" spans="1:13">
      <c r="A341" s="25" t="s">
        <v>991</v>
      </c>
      <c r="B341" s="26" t="s">
        <v>989</v>
      </c>
      <c r="C341" s="26"/>
      <c r="D341" s="26"/>
      <c r="E341" s="27"/>
      <c r="F341" s="197"/>
      <c r="G341" s="195">
        <f>SHF!G49</f>
        <v>70.238399999999984</v>
      </c>
      <c r="H341" s="34"/>
      <c r="I341" s="195">
        <f>SHF!I49</f>
        <v>455.14483200000001</v>
      </c>
      <c r="J341" s="89"/>
      <c r="K341" s="289"/>
      <c r="L341" s="274"/>
      <c r="M341" s="268">
        <v>1.5</v>
      </c>
    </row>
    <row r="342" spans="1:13">
      <c r="A342" s="25" t="s">
        <v>994</v>
      </c>
      <c r="B342" s="26" t="s">
        <v>996</v>
      </c>
      <c r="C342" s="26"/>
      <c r="D342" s="26"/>
      <c r="E342" s="27"/>
      <c r="F342" s="197"/>
      <c r="G342" s="195">
        <f>SHF!G53</f>
        <v>4.5540000000000003</v>
      </c>
      <c r="H342" s="34"/>
      <c r="I342" s="195">
        <f>SHF!I53</f>
        <v>29.509920000000008</v>
      </c>
      <c r="J342" s="89"/>
      <c r="K342" s="289"/>
      <c r="L342" s="274"/>
      <c r="M342" s="376">
        <v>1.5</v>
      </c>
    </row>
    <row r="343" spans="1:13">
      <c r="A343" s="25" t="s">
        <v>217</v>
      </c>
      <c r="B343" s="26" t="s">
        <v>211</v>
      </c>
      <c r="C343" s="26"/>
      <c r="D343" s="26"/>
      <c r="E343" s="27"/>
      <c r="F343" s="197"/>
      <c r="G343" s="195">
        <f>SHF!G55</f>
        <v>19.850764639779044</v>
      </c>
      <c r="H343" s="34"/>
      <c r="I343" s="195">
        <f>SHF!I55</f>
        <v>73.367744311147007</v>
      </c>
      <c r="J343" s="89"/>
      <c r="K343" s="289"/>
      <c r="L343" s="274"/>
      <c r="M343" s="376">
        <v>1.5</v>
      </c>
    </row>
    <row r="344" spans="1:13">
      <c r="A344" s="278" t="s">
        <v>1135</v>
      </c>
      <c r="B344" s="262"/>
      <c r="C344" s="262"/>
      <c r="D344" s="262"/>
      <c r="E344" s="263"/>
      <c r="F344" s="279"/>
      <c r="G344" s="280"/>
      <c r="H344" s="264"/>
      <c r="I344" s="279"/>
      <c r="J344" s="264"/>
      <c r="K344" s="289"/>
      <c r="L344" s="274"/>
      <c r="M344" s="708">
        <v>0.44999999999999996</v>
      </c>
    </row>
    <row r="345" spans="1:13">
      <c r="A345" s="25" t="s">
        <v>997</v>
      </c>
      <c r="B345" s="26" t="s">
        <v>988</v>
      </c>
      <c r="C345" s="26"/>
      <c r="D345" s="26"/>
      <c r="E345" s="27"/>
      <c r="F345" s="197"/>
      <c r="G345" s="211"/>
      <c r="H345" s="195">
        <f>SHF!H62</f>
        <v>35.119199999999992</v>
      </c>
      <c r="I345" s="197"/>
      <c r="J345" s="195">
        <f>SHF!J62</f>
        <v>257.60072117968605</v>
      </c>
      <c r="K345" s="289"/>
      <c r="L345" s="274"/>
      <c r="M345" s="268">
        <v>0.44999999999999996</v>
      </c>
    </row>
    <row r="346" spans="1:13">
      <c r="A346" s="25" t="s">
        <v>998</v>
      </c>
      <c r="B346" s="26" t="s">
        <v>989</v>
      </c>
      <c r="C346" s="26"/>
      <c r="D346" s="26"/>
      <c r="E346" s="27"/>
      <c r="F346" s="197"/>
      <c r="G346" s="211"/>
      <c r="H346" s="195">
        <f>SHF!H63</f>
        <v>35.119199999999992</v>
      </c>
      <c r="I346" s="197"/>
      <c r="J346" s="195">
        <f>SHF!J63</f>
        <v>257.60072117968605</v>
      </c>
      <c r="K346" s="289"/>
      <c r="L346" s="274"/>
      <c r="M346" s="376">
        <v>0.44999999999999996</v>
      </c>
    </row>
    <row r="347" spans="1:13">
      <c r="A347" s="25" t="s">
        <v>1004</v>
      </c>
      <c r="B347" s="26" t="s">
        <v>1000</v>
      </c>
      <c r="C347" s="26"/>
      <c r="D347" s="26"/>
      <c r="E347" s="27"/>
      <c r="F347" s="197"/>
      <c r="G347" s="211"/>
      <c r="H347" s="195">
        <f>SHF!H67</f>
        <v>7.8192479999999991</v>
      </c>
      <c r="I347" s="197"/>
      <c r="J347" s="195">
        <f>SHF!J67</f>
        <v>71.663407919999983</v>
      </c>
      <c r="K347" s="289"/>
      <c r="L347" s="274"/>
      <c r="M347" s="376">
        <v>0.09</v>
      </c>
    </row>
    <row r="348" spans="1:13">
      <c r="A348" s="25" t="s">
        <v>1005</v>
      </c>
      <c r="B348" s="26" t="s">
        <v>1001</v>
      </c>
      <c r="C348" s="26"/>
      <c r="D348" s="26"/>
      <c r="E348" s="27"/>
      <c r="F348" s="197"/>
      <c r="G348" s="211"/>
      <c r="H348" s="195">
        <f>SHF!H68</f>
        <v>9.0222377142857191</v>
      </c>
      <c r="I348" s="197"/>
      <c r="J348" s="195">
        <f>SHF!J68</f>
        <v>82.688808651428602</v>
      </c>
      <c r="K348" s="289"/>
      <c r="L348" s="274"/>
      <c r="M348" s="376">
        <v>0.09</v>
      </c>
    </row>
    <row r="349" spans="1:13">
      <c r="A349" s="25" t="s">
        <v>1006</v>
      </c>
      <c r="B349" s="26" t="s">
        <v>211</v>
      </c>
      <c r="C349" s="26"/>
      <c r="D349" s="26"/>
      <c r="E349" s="27"/>
      <c r="F349" s="197"/>
      <c r="G349" s="211"/>
      <c r="H349" s="195">
        <f>SHF!H73</f>
        <v>19.850764639779044</v>
      </c>
      <c r="I349" s="197"/>
      <c r="J349" s="195">
        <f>SHF!J73</f>
        <v>73.367744311147007</v>
      </c>
      <c r="K349" s="289"/>
      <c r="L349" s="274"/>
      <c r="M349" s="376">
        <v>0.44999999999999996</v>
      </c>
    </row>
    <row r="350" spans="1:13">
      <c r="A350" s="290" t="s">
        <v>1137</v>
      </c>
      <c r="B350" s="11"/>
      <c r="C350" s="11"/>
      <c r="D350" s="11"/>
      <c r="E350" s="191"/>
      <c r="F350" s="197"/>
      <c r="G350" s="211"/>
      <c r="H350" s="89"/>
      <c r="I350" s="197"/>
      <c r="J350" s="89"/>
      <c r="K350" s="289"/>
      <c r="L350" s="274"/>
      <c r="M350" s="994">
        <v>0.44999999999999996</v>
      </c>
    </row>
    <row r="351" spans="1:13">
      <c r="A351" s="25" t="s">
        <v>1007</v>
      </c>
      <c r="B351" s="26" t="s">
        <v>988</v>
      </c>
      <c r="C351" s="26"/>
      <c r="D351" s="26"/>
      <c r="E351" s="27"/>
      <c r="F351" s="195">
        <f>SHF!F80</f>
        <v>23.412799999999997</v>
      </c>
      <c r="G351" s="211"/>
      <c r="H351" s="34"/>
      <c r="I351" s="195">
        <f>SHF!I80</f>
        <v>-11.21508</v>
      </c>
      <c r="J351" s="195">
        <f>SHF!J80</f>
        <v>0</v>
      </c>
      <c r="K351" s="289"/>
      <c r="L351" s="274"/>
      <c r="M351" s="376">
        <v>-0.44999999999999996</v>
      </c>
    </row>
    <row r="352" spans="1:13">
      <c r="A352" s="25" t="s">
        <v>1008</v>
      </c>
      <c r="B352" s="26" t="s">
        <v>989</v>
      </c>
      <c r="C352" s="26"/>
      <c r="D352" s="26"/>
      <c r="E352" s="27"/>
      <c r="F352" s="195">
        <f>SHF!F81</f>
        <v>23.412799999999997</v>
      </c>
      <c r="G352" s="211"/>
      <c r="H352" s="34"/>
      <c r="I352" s="195">
        <f>SHF!I81</f>
        <v>11.21508</v>
      </c>
      <c r="J352" s="195">
        <f>SHF!J81</f>
        <v>0</v>
      </c>
      <c r="K352" s="289"/>
      <c r="L352" s="274"/>
      <c r="M352" s="268">
        <v>-0.44999999999999996</v>
      </c>
    </row>
    <row r="353" spans="1:13">
      <c r="A353" s="25" t="s">
        <v>1009</v>
      </c>
      <c r="B353" s="26" t="s">
        <v>1000</v>
      </c>
      <c r="C353" s="26"/>
      <c r="D353" s="26"/>
      <c r="E353" s="27"/>
      <c r="F353" s="195">
        <f>SHF!F85</f>
        <v>5.2128319999999997</v>
      </c>
      <c r="G353" s="211"/>
      <c r="H353" s="34"/>
      <c r="I353" s="195">
        <f>SHF!I85</f>
        <v>-2.6064159999999998</v>
      </c>
      <c r="J353" s="195">
        <f>SHF!J85</f>
        <v>-0.80845858450450414</v>
      </c>
      <c r="K353" s="289"/>
      <c r="L353" s="274"/>
      <c r="M353" s="268">
        <v>-0.09</v>
      </c>
    </row>
    <row r="354" spans="1:13">
      <c r="A354" s="25" t="s">
        <v>1010</v>
      </c>
      <c r="B354" s="26" t="s">
        <v>1001</v>
      </c>
      <c r="C354" s="26"/>
      <c r="D354" s="26"/>
      <c r="E354" s="27"/>
      <c r="F354" s="195">
        <f>SHF!F86</f>
        <v>6.0148251428571458</v>
      </c>
      <c r="G354" s="211"/>
      <c r="H354" s="34"/>
      <c r="I354" s="195">
        <f>SHF!I86</f>
        <v>3.0074125714285729</v>
      </c>
      <c r="J354" s="195">
        <f>SHF!J86</f>
        <v>-0.93283977328185319</v>
      </c>
      <c r="K354" s="289"/>
      <c r="L354" s="274"/>
      <c r="M354" s="268">
        <v>-0.09</v>
      </c>
    </row>
    <row r="355" spans="1:13">
      <c r="A355" s="25" t="s">
        <v>1011</v>
      </c>
      <c r="B355" s="26" t="s">
        <v>211</v>
      </c>
      <c r="C355" s="26"/>
      <c r="D355" s="26"/>
      <c r="E355" s="27"/>
      <c r="F355" s="195">
        <f>SHF!F91</f>
        <v>13.233843093186028</v>
      </c>
      <c r="G355" s="211"/>
      <c r="H355" s="197"/>
      <c r="I355" s="195">
        <f>SHF!I91</f>
        <v>0</v>
      </c>
      <c r="J355" s="195">
        <f>SHF!J91</f>
        <v>0</v>
      </c>
      <c r="K355" s="289"/>
      <c r="L355" s="274"/>
      <c r="M355" s="268">
        <v>-0.44999999999999996</v>
      </c>
    </row>
    <row r="356" spans="1:13">
      <c r="A356" s="253"/>
      <c r="B356" s="15"/>
      <c r="C356" s="15"/>
      <c r="D356" s="15"/>
      <c r="E356" s="22"/>
      <c r="F356" s="212"/>
      <c r="G356" s="213"/>
      <c r="H356" s="198"/>
      <c r="I356" s="198"/>
      <c r="J356" s="58"/>
      <c r="K356" s="74"/>
      <c r="L356" s="277"/>
      <c r="M356" s="379"/>
    </row>
    <row r="357" spans="1:13">
      <c r="A357" s="46"/>
      <c r="B357" s="46"/>
      <c r="C357" s="46"/>
      <c r="D357" s="46"/>
      <c r="E357" s="46"/>
      <c r="F357" s="46"/>
      <c r="G357" s="46"/>
      <c r="H357" s="46"/>
      <c r="I357" s="46"/>
      <c r="J357" s="46"/>
      <c r="K357" s="116"/>
      <c r="L357" s="270"/>
      <c r="M357" s="87"/>
    </row>
    <row r="358" spans="1:13">
      <c r="A358" s="220" t="s">
        <v>73</v>
      </c>
      <c r="B358" s="220" t="s">
        <v>74</v>
      </c>
      <c r="C358" s="200"/>
      <c r="D358" s="200"/>
      <c r="E358" s="217"/>
      <c r="F358" s="1636" t="s">
        <v>72</v>
      </c>
      <c r="G358" s="1637"/>
      <c r="H358" s="1637"/>
      <c r="I358" s="1637"/>
      <c r="J358" s="1638"/>
      <c r="K358" s="116"/>
      <c r="L358" s="270"/>
      <c r="M358" s="87"/>
    </row>
    <row r="359" spans="1:13" ht="18">
      <c r="A359" s="221"/>
      <c r="B359" s="221"/>
      <c r="C359" s="201"/>
      <c r="D359" s="201"/>
      <c r="E359" s="219"/>
      <c r="F359" s="223" t="s">
        <v>23</v>
      </c>
      <c r="G359" s="223" t="s">
        <v>87</v>
      </c>
      <c r="H359" s="223" t="s">
        <v>212</v>
      </c>
      <c r="I359" s="223" t="s">
        <v>80</v>
      </c>
      <c r="J359" s="223" t="s">
        <v>81</v>
      </c>
      <c r="K359" s="116"/>
      <c r="L359" s="270"/>
      <c r="M359" s="87"/>
    </row>
    <row r="360" spans="1:13">
      <c r="A360" s="222"/>
      <c r="B360" s="222"/>
      <c r="C360" s="203"/>
      <c r="D360" s="203"/>
      <c r="E360" s="218"/>
      <c r="F360" s="204" t="s">
        <v>34</v>
      </c>
      <c r="G360" s="204" t="s">
        <v>34</v>
      </c>
      <c r="H360" s="203" t="s">
        <v>34</v>
      </c>
      <c r="I360" s="204" t="s">
        <v>77</v>
      </c>
      <c r="J360" s="204" t="s">
        <v>77</v>
      </c>
      <c r="K360" s="116"/>
      <c r="L360" s="270"/>
      <c r="M360" s="87"/>
    </row>
    <row r="361" spans="1:13">
      <c r="A361" s="202"/>
      <c r="B361" s="200"/>
      <c r="C361" s="200"/>
      <c r="D361" s="200"/>
      <c r="E361" s="217"/>
      <c r="F361" s="205"/>
      <c r="G361" s="205"/>
      <c r="H361" s="201"/>
      <c r="I361" s="205"/>
      <c r="J361" s="205"/>
      <c r="K361" s="116"/>
      <c r="L361" s="270"/>
      <c r="M361" s="87"/>
    </row>
    <row r="362" spans="1:13">
      <c r="A362" s="205" t="str">
        <f>A328</f>
        <v>LC-13</v>
      </c>
      <c r="B362" s="201" t="str">
        <f>B328</f>
        <v>LC-3 + Seismic Sx=1,Sz=0.3,Sy=-0.3</v>
      </c>
      <c r="C362" s="201"/>
      <c r="D362" s="201"/>
      <c r="E362" s="219"/>
      <c r="F362" s="1054">
        <f>SUMPRODUCT(F331:F355,$M$331:$M$355)</f>
        <v>1030.3350065198665</v>
      </c>
      <c r="G362" s="1055">
        <f>SUMPRODUCT(G331:G355,$M$331:$M$355)</f>
        <v>141.96474695966856</v>
      </c>
      <c r="H362" s="1055">
        <f>SUMPRODUCT(H331:H355,$M$331:$M$355)</f>
        <v>42.055857802186274</v>
      </c>
      <c r="I362" s="1055">
        <f>SUMPRODUCT(I331:I355,$M$331:$M$355)</f>
        <v>843.94354620386332</v>
      </c>
      <c r="J362" s="1055">
        <f>SUMPRODUCT(J331:J355,$M$331:$M$355)</f>
        <v>274.55130445089702</v>
      </c>
      <c r="K362" s="116"/>
      <c r="L362" s="270"/>
      <c r="M362" s="87"/>
    </row>
    <row r="363" spans="1:13">
      <c r="A363" s="204"/>
      <c r="B363" s="203"/>
      <c r="C363" s="203"/>
      <c r="D363" s="203"/>
      <c r="E363" s="218"/>
      <c r="F363" s="204"/>
      <c r="G363" s="204"/>
      <c r="H363" s="203"/>
      <c r="I363" s="204"/>
      <c r="J363" s="204"/>
      <c r="K363" s="116"/>
      <c r="L363" s="270"/>
      <c r="M363" s="87"/>
    </row>
    <row r="364" spans="1:13">
      <c r="A364" s="1"/>
      <c r="B364" s="1"/>
      <c r="C364" s="1"/>
      <c r="D364" s="1"/>
      <c r="E364" s="1"/>
      <c r="F364" s="1"/>
      <c r="G364" s="1"/>
      <c r="H364" s="1"/>
      <c r="I364" s="1"/>
      <c r="J364" s="1"/>
      <c r="K364" s="1"/>
      <c r="L364" s="1"/>
      <c r="M364" s="1"/>
    </row>
    <row r="365" spans="1:13">
      <c r="A365" s="1"/>
      <c r="B365" s="1"/>
      <c r="C365" s="1"/>
      <c r="D365" s="1"/>
      <c r="E365" s="1"/>
      <c r="F365" s="1"/>
      <c r="G365" s="1"/>
      <c r="H365" s="1"/>
      <c r="I365" s="1"/>
      <c r="J365" s="1"/>
      <c r="K365" s="1"/>
      <c r="L365" s="1"/>
      <c r="M365" s="1"/>
    </row>
    <row r="366" spans="1:13">
      <c r="A366" s="225" t="str">
        <f>M366</f>
        <v>LC-14</v>
      </c>
      <c r="B366" s="24" t="str">
        <f>VLOOKUP(A366,LC_DEF_2!A3:B42,2,FALSE)</f>
        <v>LC-3 + Seismic Sx=0.3,Sz=1,Sy=-0.3</v>
      </c>
      <c r="C366" s="24"/>
      <c r="D366" s="24"/>
      <c r="E366" s="21"/>
      <c r="F366" s="1599" t="s">
        <v>742</v>
      </c>
      <c r="G366" s="1635"/>
      <c r="H366" s="1635"/>
      <c r="I366" s="1635"/>
      <c r="J366" s="1600"/>
      <c r="K366" s="73"/>
      <c r="L366" s="272"/>
      <c r="M366" s="384" t="s">
        <v>240</v>
      </c>
    </row>
    <row r="367" spans="1:13" ht="18">
      <c r="A367" s="25" t="s">
        <v>73</v>
      </c>
      <c r="B367" s="26" t="s">
        <v>74</v>
      </c>
      <c r="C367" s="26"/>
      <c r="D367" s="26"/>
      <c r="E367" s="27"/>
      <c r="F367" s="33" t="s">
        <v>23</v>
      </c>
      <c r="G367" s="33" t="s">
        <v>87</v>
      </c>
      <c r="H367" s="33" t="s">
        <v>212</v>
      </c>
      <c r="I367" s="33" t="s">
        <v>80</v>
      </c>
      <c r="J367" s="33" t="s">
        <v>81</v>
      </c>
      <c r="K367" s="273"/>
      <c r="L367" s="274"/>
      <c r="M367" s="376"/>
    </row>
    <row r="368" spans="1:13">
      <c r="A368" s="25"/>
      <c r="B368" s="26"/>
      <c r="C368" s="26"/>
      <c r="D368" s="26"/>
      <c r="E368" s="27"/>
      <c r="F368" s="36" t="s">
        <v>34</v>
      </c>
      <c r="G368" s="36" t="s">
        <v>34</v>
      </c>
      <c r="H368" s="36" t="s">
        <v>34</v>
      </c>
      <c r="I368" s="36" t="s">
        <v>77</v>
      </c>
      <c r="J368" s="36" t="s">
        <v>77</v>
      </c>
      <c r="K368" s="74"/>
      <c r="L368" s="277"/>
      <c r="M368" s="655"/>
    </row>
    <row r="369" spans="1:13">
      <c r="A369" s="25" t="s">
        <v>88</v>
      </c>
      <c r="B369" s="26" t="s">
        <v>75</v>
      </c>
      <c r="C369" s="26"/>
      <c r="D369" s="26"/>
      <c r="E369" s="27"/>
      <c r="F369" s="195">
        <f>SHF!F14</f>
        <v>165.42303866482536</v>
      </c>
      <c r="G369" s="210"/>
      <c r="H369" s="34"/>
      <c r="I369" s="195">
        <f>SHF!I14</f>
        <v>0</v>
      </c>
      <c r="J369" s="195">
        <f>SHF!J14</f>
        <v>0</v>
      </c>
      <c r="K369" s="273"/>
      <c r="L369" s="274"/>
      <c r="M369" s="268">
        <v>1.35</v>
      </c>
    </row>
    <row r="370" spans="1:13">
      <c r="A370" s="25" t="s">
        <v>250</v>
      </c>
      <c r="B370" s="26" t="s">
        <v>967</v>
      </c>
      <c r="C370" s="26"/>
      <c r="D370" s="26"/>
      <c r="E370" s="27"/>
      <c r="F370" s="195">
        <f>SHF!F17</f>
        <v>230</v>
      </c>
      <c r="G370" s="210"/>
      <c r="H370" s="34"/>
      <c r="I370" s="195">
        <f>SHF!I17</f>
        <v>-115</v>
      </c>
      <c r="J370" s="195">
        <f>SHF!J17</f>
        <v>0</v>
      </c>
      <c r="K370" s="273"/>
      <c r="L370" s="274"/>
      <c r="M370" s="268">
        <v>1.35</v>
      </c>
    </row>
    <row r="371" spans="1:13">
      <c r="A371" s="25" t="s">
        <v>251</v>
      </c>
      <c r="B371" s="26" t="s">
        <v>968</v>
      </c>
      <c r="C371" s="26"/>
      <c r="D371" s="26"/>
      <c r="E371" s="27"/>
      <c r="F371" s="195">
        <f>SHF!F18</f>
        <v>20.660000000000004</v>
      </c>
      <c r="G371" s="210"/>
      <c r="H371" s="34"/>
      <c r="I371" s="195">
        <f>SHF!I18</f>
        <v>-10.330000000000002</v>
      </c>
      <c r="J371" s="195">
        <f>SHF!J18</f>
        <v>0</v>
      </c>
      <c r="K371" s="273"/>
      <c r="L371" s="274"/>
      <c r="M371" s="268">
        <v>1.35</v>
      </c>
    </row>
    <row r="372" spans="1:13">
      <c r="A372" s="25" t="s">
        <v>97</v>
      </c>
      <c r="B372" s="26" t="s">
        <v>969</v>
      </c>
      <c r="C372" s="26"/>
      <c r="D372" s="26"/>
      <c r="E372" s="27"/>
      <c r="F372" s="195">
        <f>SHF!F19</f>
        <v>42</v>
      </c>
      <c r="G372" s="210"/>
      <c r="H372" s="34"/>
      <c r="I372" s="195">
        <f>SHF!I19</f>
        <v>-14.858499999999999</v>
      </c>
      <c r="J372" s="195">
        <f>SHF!J19</f>
        <v>0</v>
      </c>
      <c r="K372" s="273"/>
      <c r="L372" s="274"/>
      <c r="M372" s="268">
        <v>1.35</v>
      </c>
    </row>
    <row r="373" spans="1:13">
      <c r="A373" s="25" t="s">
        <v>250</v>
      </c>
      <c r="B373" s="26" t="s">
        <v>970</v>
      </c>
      <c r="C373" s="26"/>
      <c r="D373" s="26"/>
      <c r="E373" s="27"/>
      <c r="F373" s="195">
        <f>SHF!F21</f>
        <v>230</v>
      </c>
      <c r="G373" s="210"/>
      <c r="H373" s="34"/>
      <c r="I373" s="195">
        <f>SHF!I21</f>
        <v>115</v>
      </c>
      <c r="J373" s="195">
        <f>SHF!J21</f>
        <v>0</v>
      </c>
      <c r="K373" s="273"/>
      <c r="L373" s="274"/>
      <c r="M373" s="376">
        <v>1.35</v>
      </c>
    </row>
    <row r="374" spans="1:13">
      <c r="A374" s="25" t="s">
        <v>251</v>
      </c>
      <c r="B374" s="26" t="s">
        <v>971</v>
      </c>
      <c r="C374" s="26"/>
      <c r="D374" s="26"/>
      <c r="E374" s="27"/>
      <c r="F374" s="195">
        <f>SHF!F22</f>
        <v>20.660000000000004</v>
      </c>
      <c r="G374" s="210"/>
      <c r="H374" s="34"/>
      <c r="I374" s="195">
        <f>SHF!I22</f>
        <v>10.330000000000002</v>
      </c>
      <c r="J374" s="195">
        <f>SHF!J22</f>
        <v>0</v>
      </c>
      <c r="K374" s="273"/>
      <c r="L374" s="274"/>
      <c r="M374" s="376">
        <v>1.35</v>
      </c>
    </row>
    <row r="375" spans="1:13">
      <c r="A375" s="25" t="s">
        <v>97</v>
      </c>
      <c r="B375" s="26" t="s">
        <v>972</v>
      </c>
      <c r="C375" s="26"/>
      <c r="D375" s="26"/>
      <c r="E375" s="27"/>
      <c r="F375" s="195">
        <f>SHF!F23</f>
        <v>42</v>
      </c>
      <c r="G375" s="210"/>
      <c r="H375" s="34"/>
      <c r="I375" s="195">
        <f>SHF!I23</f>
        <v>14.858499999999999</v>
      </c>
      <c r="J375" s="195">
        <f>SHF!J23</f>
        <v>0</v>
      </c>
      <c r="K375" s="273"/>
      <c r="L375" s="274"/>
      <c r="M375" s="376">
        <v>1.75</v>
      </c>
    </row>
    <row r="376" spans="1:13">
      <c r="A376" s="25" t="s">
        <v>976</v>
      </c>
      <c r="B376" s="26" t="s">
        <v>978</v>
      </c>
      <c r="C376" s="26"/>
      <c r="D376" s="26"/>
      <c r="E376" s="27"/>
      <c r="F376" s="195">
        <f>SHF!F27</f>
        <v>65.160399999999996</v>
      </c>
      <c r="G376" s="210"/>
      <c r="H376" s="34"/>
      <c r="I376" s="195">
        <f>SHF!I27</f>
        <v>-32.580199999999998</v>
      </c>
      <c r="J376" s="195">
        <f>SHF!J27</f>
        <v>-10.105732306306301</v>
      </c>
      <c r="K376" s="273"/>
      <c r="L376" s="274"/>
      <c r="M376" s="268">
        <v>0.2</v>
      </c>
    </row>
    <row r="377" spans="1:13">
      <c r="A377" s="25" t="s">
        <v>977</v>
      </c>
      <c r="B377" s="26" t="s">
        <v>979</v>
      </c>
      <c r="C377" s="26"/>
      <c r="D377" s="26"/>
      <c r="E377" s="27"/>
      <c r="F377" s="195">
        <f>SHF!F28</f>
        <v>75.185314285714313</v>
      </c>
      <c r="G377" s="210"/>
      <c r="H377" s="34"/>
      <c r="I377" s="195">
        <f>SHF!I28</f>
        <v>37.592657142857156</v>
      </c>
      <c r="J377" s="195">
        <f>SHF!J28</f>
        <v>-11.660497166023164</v>
      </c>
      <c r="K377" s="273"/>
      <c r="L377" s="274"/>
      <c r="M377" s="268">
        <v>0.2</v>
      </c>
    </row>
    <row r="378" spans="1:13">
      <c r="A378" s="278" t="s">
        <v>1132</v>
      </c>
      <c r="B378" s="262"/>
      <c r="C378" s="262"/>
      <c r="D378" s="262"/>
      <c r="E378" s="263"/>
      <c r="F378" s="1052"/>
      <c r="G378" s="1053"/>
      <c r="H378" s="267"/>
      <c r="I378" s="1052"/>
      <c r="J378" s="267"/>
      <c r="K378" s="289"/>
      <c r="L378" s="274"/>
      <c r="M378" s="412">
        <v>1.5</v>
      </c>
    </row>
    <row r="379" spans="1:13">
      <c r="A379" s="25" t="s">
        <v>991</v>
      </c>
      <c r="B379" s="26" t="s">
        <v>989</v>
      </c>
      <c r="C379" s="26"/>
      <c r="D379" s="26"/>
      <c r="E379" s="27"/>
      <c r="F379" s="197"/>
      <c r="G379" s="195">
        <f>SHF!G49</f>
        <v>70.238399999999984</v>
      </c>
      <c r="H379" s="34"/>
      <c r="I379" s="195">
        <f>SHF!I49</f>
        <v>455.14483200000001</v>
      </c>
      <c r="J379" s="89"/>
      <c r="K379" s="289"/>
      <c r="L379" s="274"/>
      <c r="M379" s="268">
        <v>0.44999999999999996</v>
      </c>
    </row>
    <row r="380" spans="1:13">
      <c r="A380" s="25" t="s">
        <v>994</v>
      </c>
      <c r="B380" s="26" t="s">
        <v>996</v>
      </c>
      <c r="C380" s="26"/>
      <c r="D380" s="26"/>
      <c r="E380" s="27"/>
      <c r="F380" s="197"/>
      <c r="G380" s="195">
        <f>SHF!G53</f>
        <v>4.5540000000000003</v>
      </c>
      <c r="H380" s="34"/>
      <c r="I380" s="195">
        <f>SHF!I53</f>
        <v>29.509920000000008</v>
      </c>
      <c r="J380" s="89"/>
      <c r="K380" s="289"/>
      <c r="L380" s="274"/>
      <c r="M380" s="376">
        <v>1.5</v>
      </c>
    </row>
    <row r="381" spans="1:13">
      <c r="A381" s="25" t="s">
        <v>217</v>
      </c>
      <c r="B381" s="26" t="s">
        <v>211</v>
      </c>
      <c r="C381" s="26"/>
      <c r="D381" s="26"/>
      <c r="E381" s="27"/>
      <c r="F381" s="197"/>
      <c r="G381" s="195">
        <f>SHF!G55</f>
        <v>19.850764639779044</v>
      </c>
      <c r="H381" s="34"/>
      <c r="I381" s="195">
        <f>SHF!I55</f>
        <v>73.367744311147007</v>
      </c>
      <c r="J381" s="89"/>
      <c r="K381" s="289"/>
      <c r="L381" s="274"/>
      <c r="M381" s="376">
        <v>0.44999999999999996</v>
      </c>
    </row>
    <row r="382" spans="1:13">
      <c r="A382" s="278" t="s">
        <v>1135</v>
      </c>
      <c r="B382" s="262"/>
      <c r="C382" s="262"/>
      <c r="D382" s="262"/>
      <c r="E382" s="263"/>
      <c r="F382" s="279"/>
      <c r="G382" s="280"/>
      <c r="H382" s="264"/>
      <c r="I382" s="279"/>
      <c r="J382" s="264"/>
      <c r="K382" s="289"/>
      <c r="L382" s="274"/>
      <c r="M382" s="708">
        <v>1.5</v>
      </c>
    </row>
    <row r="383" spans="1:13">
      <c r="A383" s="25" t="s">
        <v>997</v>
      </c>
      <c r="B383" s="26" t="s">
        <v>988</v>
      </c>
      <c r="C383" s="26"/>
      <c r="D383" s="26"/>
      <c r="E383" s="27"/>
      <c r="F383" s="197"/>
      <c r="G383" s="211"/>
      <c r="H383" s="195">
        <f>SHF!H62</f>
        <v>35.119199999999992</v>
      </c>
      <c r="I383" s="197"/>
      <c r="J383" s="195">
        <f>SHF!J62</f>
        <v>257.60072117968605</v>
      </c>
      <c r="K383" s="289"/>
      <c r="L383" s="274"/>
      <c r="M383" s="268">
        <v>1.5</v>
      </c>
    </row>
    <row r="384" spans="1:13">
      <c r="A384" s="25" t="s">
        <v>998</v>
      </c>
      <c r="B384" s="26" t="s">
        <v>989</v>
      </c>
      <c r="C384" s="26"/>
      <c r="D384" s="26"/>
      <c r="E384" s="27"/>
      <c r="F384" s="197"/>
      <c r="G384" s="211"/>
      <c r="H384" s="195">
        <f>SHF!H63</f>
        <v>35.119199999999992</v>
      </c>
      <c r="I384" s="197"/>
      <c r="J384" s="195">
        <f>SHF!J63</f>
        <v>257.60072117968605</v>
      </c>
      <c r="K384" s="289"/>
      <c r="L384" s="274"/>
      <c r="M384" s="376">
        <v>1.5</v>
      </c>
    </row>
    <row r="385" spans="1:13">
      <c r="A385" s="25" t="s">
        <v>1004</v>
      </c>
      <c r="B385" s="26" t="s">
        <v>1000</v>
      </c>
      <c r="C385" s="26"/>
      <c r="D385" s="26"/>
      <c r="E385" s="27"/>
      <c r="F385" s="197"/>
      <c r="G385" s="211"/>
      <c r="H385" s="195">
        <f>SHF!H67</f>
        <v>7.8192479999999991</v>
      </c>
      <c r="I385" s="197"/>
      <c r="J385" s="195">
        <f>SHF!J67</f>
        <v>71.663407919999983</v>
      </c>
      <c r="K385" s="289"/>
      <c r="L385" s="274"/>
      <c r="M385" s="376">
        <v>0.30000000000000004</v>
      </c>
    </row>
    <row r="386" spans="1:13">
      <c r="A386" s="25" t="s">
        <v>1005</v>
      </c>
      <c r="B386" s="26" t="s">
        <v>1001</v>
      </c>
      <c r="C386" s="26"/>
      <c r="D386" s="26"/>
      <c r="E386" s="27"/>
      <c r="F386" s="197"/>
      <c r="G386" s="211"/>
      <c r="H386" s="195">
        <f>SHF!H68</f>
        <v>9.0222377142857191</v>
      </c>
      <c r="I386" s="197"/>
      <c r="J386" s="195">
        <f>SHF!J68</f>
        <v>82.688808651428602</v>
      </c>
      <c r="K386" s="289"/>
      <c r="L386" s="274"/>
      <c r="M386" s="376">
        <v>0.30000000000000004</v>
      </c>
    </row>
    <row r="387" spans="1:13">
      <c r="A387" s="25" t="s">
        <v>1006</v>
      </c>
      <c r="B387" s="26" t="s">
        <v>211</v>
      </c>
      <c r="C387" s="26"/>
      <c r="D387" s="26"/>
      <c r="E387" s="27"/>
      <c r="F387" s="197"/>
      <c r="G387" s="211"/>
      <c r="H387" s="195">
        <f>SHF!H73</f>
        <v>19.850764639779044</v>
      </c>
      <c r="I387" s="197"/>
      <c r="J387" s="195">
        <f>SHF!J73</f>
        <v>73.367744311147007</v>
      </c>
      <c r="K387" s="289"/>
      <c r="L387" s="274"/>
      <c r="M387" s="376">
        <v>1.5</v>
      </c>
    </row>
    <row r="388" spans="1:13">
      <c r="A388" s="290" t="s">
        <v>1137</v>
      </c>
      <c r="B388" s="11"/>
      <c r="C388" s="11"/>
      <c r="D388" s="11"/>
      <c r="E388" s="191"/>
      <c r="F388" s="197"/>
      <c r="G388" s="211"/>
      <c r="H388" s="89"/>
      <c r="I388" s="197"/>
      <c r="J388" s="89"/>
      <c r="K388" s="289"/>
      <c r="L388" s="274"/>
      <c r="M388" s="994">
        <v>0.44999999999999996</v>
      </c>
    </row>
    <row r="389" spans="1:13">
      <c r="A389" s="25" t="s">
        <v>1007</v>
      </c>
      <c r="B389" s="26" t="s">
        <v>988</v>
      </c>
      <c r="C389" s="26"/>
      <c r="D389" s="26"/>
      <c r="E389" s="27"/>
      <c r="F389" s="195">
        <f>SHF!F80</f>
        <v>23.412799999999997</v>
      </c>
      <c r="G389" s="211"/>
      <c r="H389" s="34"/>
      <c r="I389" s="195">
        <f>SHF!I80</f>
        <v>-11.21508</v>
      </c>
      <c r="J389" s="195">
        <f>SHF!J80</f>
        <v>0</v>
      </c>
      <c r="K389" s="289"/>
      <c r="L389" s="274"/>
      <c r="M389" s="376">
        <v>-0.44999999999999996</v>
      </c>
    </row>
    <row r="390" spans="1:13">
      <c r="A390" s="25" t="s">
        <v>1008</v>
      </c>
      <c r="B390" s="26" t="s">
        <v>989</v>
      </c>
      <c r="C390" s="26"/>
      <c r="D390" s="26"/>
      <c r="E390" s="27"/>
      <c r="F390" s="195">
        <f>SHF!F81</f>
        <v>23.412799999999997</v>
      </c>
      <c r="G390" s="211"/>
      <c r="H390" s="34"/>
      <c r="I390" s="195">
        <f>SHF!I81</f>
        <v>11.21508</v>
      </c>
      <c r="J390" s="195">
        <f>SHF!J81</f>
        <v>0</v>
      </c>
      <c r="K390" s="289"/>
      <c r="L390" s="274"/>
      <c r="M390" s="268">
        <v>-0.44999999999999996</v>
      </c>
    </row>
    <row r="391" spans="1:13">
      <c r="A391" s="25" t="s">
        <v>1009</v>
      </c>
      <c r="B391" s="26" t="s">
        <v>1000</v>
      </c>
      <c r="C391" s="26"/>
      <c r="D391" s="26"/>
      <c r="E391" s="27"/>
      <c r="F391" s="195">
        <f>SHF!F85</f>
        <v>5.2128319999999997</v>
      </c>
      <c r="G391" s="211"/>
      <c r="H391" s="34"/>
      <c r="I391" s="195">
        <f>SHF!I85</f>
        <v>-2.6064159999999998</v>
      </c>
      <c r="J391" s="195">
        <f>SHF!J85</f>
        <v>-0.80845858450450414</v>
      </c>
      <c r="K391" s="289"/>
      <c r="L391" s="274"/>
      <c r="M391" s="268">
        <v>-0.09</v>
      </c>
    </row>
    <row r="392" spans="1:13">
      <c r="A392" s="25" t="s">
        <v>1010</v>
      </c>
      <c r="B392" s="26" t="s">
        <v>1001</v>
      </c>
      <c r="C392" s="26"/>
      <c r="D392" s="26"/>
      <c r="E392" s="27"/>
      <c r="F392" s="195">
        <f>SHF!F86</f>
        <v>6.0148251428571458</v>
      </c>
      <c r="G392" s="211"/>
      <c r="H392" s="34"/>
      <c r="I392" s="195">
        <f>SHF!I86</f>
        <v>3.0074125714285729</v>
      </c>
      <c r="J392" s="195">
        <f>SHF!J86</f>
        <v>-0.93283977328185319</v>
      </c>
      <c r="K392" s="289"/>
      <c r="L392" s="274"/>
      <c r="M392" s="268">
        <v>-0.09</v>
      </c>
    </row>
    <row r="393" spans="1:13">
      <c r="A393" s="25" t="s">
        <v>1011</v>
      </c>
      <c r="B393" s="26" t="s">
        <v>211</v>
      </c>
      <c r="C393" s="26"/>
      <c r="D393" s="26"/>
      <c r="E393" s="27"/>
      <c r="F393" s="195">
        <f>SHF!F91</f>
        <v>13.233843093186028</v>
      </c>
      <c r="G393" s="211"/>
      <c r="H393" s="197"/>
      <c r="I393" s="195">
        <f>SHF!I91</f>
        <v>0</v>
      </c>
      <c r="J393" s="195">
        <f>SHF!J91</f>
        <v>0</v>
      </c>
      <c r="K393" s="289"/>
      <c r="L393" s="274"/>
      <c r="M393" s="268">
        <v>-0.44999999999999996</v>
      </c>
    </row>
    <row r="394" spans="1:13">
      <c r="A394" s="253"/>
      <c r="B394" s="15"/>
      <c r="C394" s="15"/>
      <c r="D394" s="15"/>
      <c r="E394" s="22"/>
      <c r="F394" s="212"/>
      <c r="G394" s="213"/>
      <c r="H394" s="198"/>
      <c r="I394" s="198"/>
      <c r="J394" s="58"/>
      <c r="K394" s="74"/>
      <c r="L394" s="277"/>
      <c r="M394" s="379"/>
    </row>
    <row r="395" spans="1:13">
      <c r="A395" s="46"/>
      <c r="B395" s="46"/>
      <c r="C395" s="46"/>
      <c r="D395" s="46"/>
      <c r="E395" s="46"/>
      <c r="F395" s="46"/>
      <c r="G395" s="46"/>
      <c r="H395" s="46"/>
      <c r="I395" s="46"/>
      <c r="J395" s="46"/>
      <c r="K395" s="116"/>
      <c r="L395" s="270"/>
      <c r="M395" s="87"/>
    </row>
    <row r="396" spans="1:13">
      <c r="A396" s="220" t="s">
        <v>73</v>
      </c>
      <c r="B396" s="220" t="s">
        <v>74</v>
      </c>
      <c r="C396" s="200"/>
      <c r="D396" s="200"/>
      <c r="E396" s="217"/>
      <c r="F396" s="1636" t="s">
        <v>72</v>
      </c>
      <c r="G396" s="1637"/>
      <c r="H396" s="1637"/>
      <c r="I396" s="1637"/>
      <c r="J396" s="1638"/>
      <c r="K396" s="116"/>
      <c r="L396" s="270"/>
      <c r="M396" s="87"/>
    </row>
    <row r="397" spans="1:13" ht="18">
      <c r="A397" s="221"/>
      <c r="B397" s="221"/>
      <c r="C397" s="201"/>
      <c r="D397" s="201"/>
      <c r="E397" s="219"/>
      <c r="F397" s="223" t="s">
        <v>23</v>
      </c>
      <c r="G397" s="223" t="s">
        <v>87</v>
      </c>
      <c r="H397" s="223" t="s">
        <v>212</v>
      </c>
      <c r="I397" s="223" t="s">
        <v>80</v>
      </c>
      <c r="J397" s="223" t="s">
        <v>81</v>
      </c>
      <c r="K397" s="116"/>
      <c r="L397" s="270"/>
      <c r="M397" s="87"/>
    </row>
    <row r="398" spans="1:13">
      <c r="A398" s="222"/>
      <c r="B398" s="222"/>
      <c r="C398" s="203"/>
      <c r="D398" s="203"/>
      <c r="E398" s="218"/>
      <c r="F398" s="204" t="s">
        <v>34</v>
      </c>
      <c r="G398" s="204" t="s">
        <v>34</v>
      </c>
      <c r="H398" s="203" t="s">
        <v>34</v>
      </c>
      <c r="I398" s="204" t="s">
        <v>77</v>
      </c>
      <c r="J398" s="204" t="s">
        <v>77</v>
      </c>
      <c r="K398" s="116"/>
      <c r="L398" s="270"/>
      <c r="M398" s="87"/>
    </row>
    <row r="399" spans="1:13">
      <c r="A399" s="202"/>
      <c r="B399" s="200"/>
      <c r="C399" s="200"/>
      <c r="D399" s="200"/>
      <c r="E399" s="217"/>
      <c r="F399" s="205"/>
      <c r="G399" s="205"/>
      <c r="H399" s="201"/>
      <c r="I399" s="205"/>
      <c r="J399" s="205"/>
      <c r="K399" s="116"/>
      <c r="L399" s="270"/>
      <c r="M399" s="87"/>
    </row>
    <row r="400" spans="1:13">
      <c r="A400" s="205" t="str">
        <f>A366</f>
        <v>LC-14</v>
      </c>
      <c r="B400" s="201" t="str">
        <f>B366</f>
        <v>LC-3 + Seismic Sx=0.3,Sz=1,Sy=-0.3</v>
      </c>
      <c r="C400" s="201"/>
      <c r="D400" s="201"/>
      <c r="E400" s="219"/>
      <c r="F400" s="1054">
        <f>SUMPRODUCT(F369:F393,$M$369:$M$393)</f>
        <v>1030.3350065198665</v>
      </c>
      <c r="G400" s="1055">
        <f>SUMPRODUCT(G369:G393,$M$369:$M$393)</f>
        <v>47.371124087900562</v>
      </c>
      <c r="H400" s="1055">
        <f>SUMPRODUCT(H369:H393,$M$369:$M$393)</f>
        <v>140.18619267395425</v>
      </c>
      <c r="I400" s="1055">
        <f>SUMPRODUCT(I369:I393,$M$369:$M$393)</f>
        <v>289.00534107715902</v>
      </c>
      <c r="J400" s="1055">
        <f>SUMPRODUCT(J369:J393,$M$369:$M$393)</f>
        <v>924.96291593494198</v>
      </c>
      <c r="K400" s="116"/>
      <c r="L400" s="270"/>
      <c r="M400" s="87"/>
    </row>
    <row r="401" spans="1:13">
      <c r="A401" s="204"/>
      <c r="B401" s="203"/>
      <c r="C401" s="203"/>
      <c r="D401" s="203"/>
      <c r="E401" s="218"/>
      <c r="F401" s="204"/>
      <c r="G401" s="204"/>
      <c r="H401" s="203"/>
      <c r="I401" s="204"/>
      <c r="J401" s="204"/>
      <c r="K401" s="116"/>
      <c r="L401" s="270"/>
      <c r="M401" s="87"/>
    </row>
    <row r="402" spans="1:13">
      <c r="A402" s="1"/>
      <c r="B402" s="1"/>
      <c r="C402" s="1"/>
      <c r="D402" s="1"/>
      <c r="E402" s="1"/>
      <c r="F402" s="1"/>
      <c r="G402" s="1"/>
      <c r="H402" s="1"/>
      <c r="I402" s="1"/>
      <c r="J402" s="1"/>
      <c r="K402" s="1"/>
      <c r="L402" s="1"/>
      <c r="M402" s="1"/>
    </row>
    <row r="403" spans="1:13">
      <c r="A403" s="1"/>
      <c r="B403" s="1"/>
      <c r="C403" s="1"/>
      <c r="D403" s="1"/>
      <c r="E403" s="1"/>
      <c r="F403" s="1"/>
      <c r="G403" s="1"/>
      <c r="H403" s="1"/>
      <c r="I403" s="1"/>
      <c r="J403" s="1"/>
      <c r="K403" s="1"/>
      <c r="L403" s="1"/>
      <c r="M403" s="1"/>
    </row>
    <row r="404" spans="1:13">
      <c r="A404" s="225" t="str">
        <f>M404</f>
        <v>LC-15</v>
      </c>
      <c r="B404" s="24" t="str">
        <f>VLOOKUP(A404,LC_DEF_2!A3:B42,2,FALSE)</f>
        <v>LC-3 + Seismic Sx=1,Sz=0.3,Sy=0.3</v>
      </c>
      <c r="C404" s="24"/>
      <c r="D404" s="24"/>
      <c r="E404" s="21"/>
      <c r="F404" s="1599" t="s">
        <v>742</v>
      </c>
      <c r="G404" s="1635"/>
      <c r="H404" s="1635"/>
      <c r="I404" s="1635"/>
      <c r="J404" s="1600"/>
      <c r="K404" s="73"/>
      <c r="L404" s="272"/>
      <c r="M404" s="384" t="s">
        <v>241</v>
      </c>
    </row>
    <row r="405" spans="1:13" ht="18">
      <c r="A405" s="25" t="s">
        <v>73</v>
      </c>
      <c r="B405" s="26" t="s">
        <v>74</v>
      </c>
      <c r="C405" s="26"/>
      <c r="D405" s="26"/>
      <c r="E405" s="27"/>
      <c r="F405" s="33" t="s">
        <v>23</v>
      </c>
      <c r="G405" s="33" t="s">
        <v>87</v>
      </c>
      <c r="H405" s="33" t="s">
        <v>212</v>
      </c>
      <c r="I405" s="33" t="s">
        <v>80</v>
      </c>
      <c r="J405" s="33" t="s">
        <v>81</v>
      </c>
      <c r="K405" s="273"/>
      <c r="L405" s="274"/>
      <c r="M405" s="376"/>
    </row>
    <row r="406" spans="1:13">
      <c r="A406" s="25"/>
      <c r="B406" s="26"/>
      <c r="C406" s="26"/>
      <c r="D406" s="26"/>
      <c r="E406" s="27"/>
      <c r="F406" s="36" t="s">
        <v>34</v>
      </c>
      <c r="G406" s="36" t="s">
        <v>34</v>
      </c>
      <c r="H406" s="36" t="s">
        <v>34</v>
      </c>
      <c r="I406" s="36" t="s">
        <v>77</v>
      </c>
      <c r="J406" s="36" t="s">
        <v>77</v>
      </c>
      <c r="K406" s="74"/>
      <c r="L406" s="277"/>
      <c r="M406" s="655"/>
    </row>
    <row r="407" spans="1:13">
      <c r="A407" s="25" t="s">
        <v>88</v>
      </c>
      <c r="B407" s="26" t="s">
        <v>75</v>
      </c>
      <c r="C407" s="26"/>
      <c r="D407" s="26"/>
      <c r="E407" s="27"/>
      <c r="F407" s="195">
        <f>SHF!F14</f>
        <v>165.42303866482536</v>
      </c>
      <c r="G407" s="210"/>
      <c r="H407" s="34"/>
      <c r="I407" s="195">
        <f>SHF!I14</f>
        <v>0</v>
      </c>
      <c r="J407" s="195">
        <f>SHF!J14</f>
        <v>0</v>
      </c>
      <c r="K407" s="273"/>
      <c r="L407" s="274"/>
      <c r="M407" s="268">
        <v>1.35</v>
      </c>
    </row>
    <row r="408" spans="1:13">
      <c r="A408" s="25" t="s">
        <v>250</v>
      </c>
      <c r="B408" s="26" t="s">
        <v>967</v>
      </c>
      <c r="C408" s="26"/>
      <c r="D408" s="26"/>
      <c r="E408" s="27"/>
      <c r="F408" s="195">
        <f>SHF!F17</f>
        <v>230</v>
      </c>
      <c r="G408" s="210"/>
      <c r="H408" s="34"/>
      <c r="I408" s="195">
        <f>SHF!I17</f>
        <v>-115</v>
      </c>
      <c r="J408" s="195">
        <f>SHF!J17</f>
        <v>0</v>
      </c>
      <c r="K408" s="273"/>
      <c r="L408" s="274"/>
      <c r="M408" s="268">
        <v>1.35</v>
      </c>
    </row>
    <row r="409" spans="1:13">
      <c r="A409" s="25" t="s">
        <v>251</v>
      </c>
      <c r="B409" s="26" t="s">
        <v>968</v>
      </c>
      <c r="C409" s="26"/>
      <c r="D409" s="26"/>
      <c r="E409" s="27"/>
      <c r="F409" s="195">
        <f>SHF!F18</f>
        <v>20.660000000000004</v>
      </c>
      <c r="G409" s="210"/>
      <c r="H409" s="34"/>
      <c r="I409" s="195">
        <f>SHF!I18</f>
        <v>-10.330000000000002</v>
      </c>
      <c r="J409" s="195">
        <f>SHF!J18</f>
        <v>0</v>
      </c>
      <c r="K409" s="273"/>
      <c r="L409" s="274"/>
      <c r="M409" s="268">
        <v>1.35</v>
      </c>
    </row>
    <row r="410" spans="1:13">
      <c r="A410" s="25" t="s">
        <v>97</v>
      </c>
      <c r="B410" s="26" t="s">
        <v>969</v>
      </c>
      <c r="C410" s="26"/>
      <c r="D410" s="26"/>
      <c r="E410" s="27"/>
      <c r="F410" s="195">
        <f>SHF!F19</f>
        <v>42</v>
      </c>
      <c r="G410" s="210"/>
      <c r="H410" s="34"/>
      <c r="I410" s="195">
        <f>SHF!I19</f>
        <v>-14.858499999999999</v>
      </c>
      <c r="J410" s="195">
        <f>SHF!J19</f>
        <v>0</v>
      </c>
      <c r="K410" s="273"/>
      <c r="L410" s="274"/>
      <c r="M410" s="268">
        <v>1.35</v>
      </c>
    </row>
    <row r="411" spans="1:13">
      <c r="A411" s="25" t="s">
        <v>250</v>
      </c>
      <c r="B411" s="26" t="s">
        <v>970</v>
      </c>
      <c r="C411" s="26"/>
      <c r="D411" s="26"/>
      <c r="E411" s="27"/>
      <c r="F411" s="195">
        <f>SHF!F21</f>
        <v>230</v>
      </c>
      <c r="G411" s="210"/>
      <c r="H411" s="34"/>
      <c r="I411" s="195">
        <f>SHF!I21</f>
        <v>115</v>
      </c>
      <c r="J411" s="195">
        <f>SHF!J21</f>
        <v>0</v>
      </c>
      <c r="K411" s="273"/>
      <c r="L411" s="274"/>
      <c r="M411" s="376">
        <v>1.35</v>
      </c>
    </row>
    <row r="412" spans="1:13">
      <c r="A412" s="25" t="s">
        <v>251</v>
      </c>
      <c r="B412" s="26" t="s">
        <v>971</v>
      </c>
      <c r="C412" s="26"/>
      <c r="D412" s="26"/>
      <c r="E412" s="27"/>
      <c r="F412" s="195">
        <f>SHF!F22</f>
        <v>20.660000000000004</v>
      </c>
      <c r="G412" s="210"/>
      <c r="H412" s="34"/>
      <c r="I412" s="195">
        <f>SHF!I22</f>
        <v>10.330000000000002</v>
      </c>
      <c r="J412" s="195">
        <f>SHF!J22</f>
        <v>0</v>
      </c>
      <c r="K412" s="273"/>
      <c r="L412" s="274"/>
      <c r="M412" s="376">
        <v>1.35</v>
      </c>
    </row>
    <row r="413" spans="1:13">
      <c r="A413" s="25" t="s">
        <v>97</v>
      </c>
      <c r="B413" s="26" t="s">
        <v>972</v>
      </c>
      <c r="C413" s="26"/>
      <c r="D413" s="26"/>
      <c r="E413" s="27"/>
      <c r="F413" s="195">
        <f>SHF!F23</f>
        <v>42</v>
      </c>
      <c r="G413" s="210"/>
      <c r="H413" s="34"/>
      <c r="I413" s="195">
        <f>SHF!I23</f>
        <v>14.858499999999999</v>
      </c>
      <c r="J413" s="195">
        <f>SHF!J23</f>
        <v>0</v>
      </c>
      <c r="K413" s="273"/>
      <c r="L413" s="274"/>
      <c r="M413" s="376">
        <v>1.75</v>
      </c>
    </row>
    <row r="414" spans="1:13">
      <c r="A414" s="25" t="s">
        <v>976</v>
      </c>
      <c r="B414" s="26" t="s">
        <v>978</v>
      </c>
      <c r="C414" s="26"/>
      <c r="D414" s="26"/>
      <c r="E414" s="27"/>
      <c r="F414" s="195">
        <f>SHF!F27</f>
        <v>65.160399999999996</v>
      </c>
      <c r="G414" s="210"/>
      <c r="H414" s="34"/>
      <c r="I414" s="195">
        <f>SHF!I27</f>
        <v>-32.580199999999998</v>
      </c>
      <c r="J414" s="195">
        <f>SHF!J27</f>
        <v>-10.105732306306301</v>
      </c>
      <c r="K414" s="273"/>
      <c r="L414" s="274"/>
      <c r="M414" s="268">
        <v>0.2</v>
      </c>
    </row>
    <row r="415" spans="1:13">
      <c r="A415" s="25" t="s">
        <v>977</v>
      </c>
      <c r="B415" s="26" t="s">
        <v>979</v>
      </c>
      <c r="C415" s="26"/>
      <c r="D415" s="26"/>
      <c r="E415" s="27"/>
      <c r="F415" s="195">
        <f>SHF!F28</f>
        <v>75.185314285714313</v>
      </c>
      <c r="G415" s="210"/>
      <c r="H415" s="34"/>
      <c r="I415" s="195">
        <f>SHF!I28</f>
        <v>37.592657142857156</v>
      </c>
      <c r="J415" s="195">
        <f>SHF!J28</f>
        <v>-11.660497166023164</v>
      </c>
      <c r="K415" s="273"/>
      <c r="L415" s="274"/>
      <c r="M415" s="268">
        <v>0.2</v>
      </c>
    </row>
    <row r="416" spans="1:13">
      <c r="A416" s="278" t="s">
        <v>1132</v>
      </c>
      <c r="B416" s="262"/>
      <c r="C416" s="262"/>
      <c r="D416" s="262"/>
      <c r="E416" s="263"/>
      <c r="F416" s="1052"/>
      <c r="G416" s="1053"/>
      <c r="H416" s="267"/>
      <c r="I416" s="1052"/>
      <c r="J416" s="267"/>
      <c r="K416" s="289"/>
      <c r="L416" s="274"/>
      <c r="M416" s="412">
        <v>1.5</v>
      </c>
    </row>
    <row r="417" spans="1:13">
      <c r="A417" s="25" t="s">
        <v>991</v>
      </c>
      <c r="B417" s="26" t="s">
        <v>989</v>
      </c>
      <c r="C417" s="26"/>
      <c r="D417" s="26"/>
      <c r="E417" s="27"/>
      <c r="F417" s="197"/>
      <c r="G417" s="195">
        <f>SHF!G49</f>
        <v>70.238399999999984</v>
      </c>
      <c r="H417" s="34"/>
      <c r="I417" s="195">
        <f>SHF!I49</f>
        <v>455.14483200000001</v>
      </c>
      <c r="J417" s="89"/>
      <c r="K417" s="289"/>
      <c r="L417" s="274"/>
      <c r="M417" s="268">
        <v>1.5</v>
      </c>
    </row>
    <row r="418" spans="1:13">
      <c r="A418" s="25" t="s">
        <v>994</v>
      </c>
      <c r="B418" s="26" t="s">
        <v>996</v>
      </c>
      <c r="C418" s="26"/>
      <c r="D418" s="26"/>
      <c r="E418" s="27"/>
      <c r="F418" s="197"/>
      <c r="G418" s="195">
        <f>SHF!G53</f>
        <v>4.5540000000000003</v>
      </c>
      <c r="H418" s="34"/>
      <c r="I418" s="195">
        <f>SHF!I53</f>
        <v>29.509920000000008</v>
      </c>
      <c r="J418" s="89"/>
      <c r="K418" s="289"/>
      <c r="L418" s="274"/>
      <c r="M418" s="376">
        <v>1.5</v>
      </c>
    </row>
    <row r="419" spans="1:13">
      <c r="A419" s="25" t="s">
        <v>217</v>
      </c>
      <c r="B419" s="26" t="s">
        <v>211</v>
      </c>
      <c r="C419" s="26"/>
      <c r="D419" s="26"/>
      <c r="E419" s="27"/>
      <c r="F419" s="197"/>
      <c r="G419" s="195">
        <f>SHF!G55</f>
        <v>19.850764639779044</v>
      </c>
      <c r="H419" s="34"/>
      <c r="I419" s="195">
        <f>SHF!I55</f>
        <v>73.367744311147007</v>
      </c>
      <c r="J419" s="89"/>
      <c r="K419" s="289"/>
      <c r="L419" s="274"/>
      <c r="M419" s="376">
        <v>1.5</v>
      </c>
    </row>
    <row r="420" spans="1:13">
      <c r="A420" s="278" t="s">
        <v>1135</v>
      </c>
      <c r="B420" s="262"/>
      <c r="C420" s="262"/>
      <c r="D420" s="262"/>
      <c r="E420" s="263"/>
      <c r="F420" s="279"/>
      <c r="G420" s="280"/>
      <c r="H420" s="264"/>
      <c r="I420" s="279"/>
      <c r="J420" s="264"/>
      <c r="K420" s="289"/>
      <c r="L420" s="274"/>
      <c r="M420" s="708">
        <v>0.44999999999999996</v>
      </c>
    </row>
    <row r="421" spans="1:13">
      <c r="A421" s="25" t="s">
        <v>997</v>
      </c>
      <c r="B421" s="26" t="s">
        <v>988</v>
      </c>
      <c r="C421" s="26"/>
      <c r="D421" s="26"/>
      <c r="E421" s="27"/>
      <c r="F421" s="197"/>
      <c r="G421" s="211"/>
      <c r="H421" s="195">
        <f>SHF!H62</f>
        <v>35.119199999999992</v>
      </c>
      <c r="I421" s="197"/>
      <c r="J421" s="195">
        <f>SHF!J62</f>
        <v>257.60072117968605</v>
      </c>
      <c r="K421" s="289"/>
      <c r="L421" s="274"/>
      <c r="M421" s="268">
        <v>0.44999999999999996</v>
      </c>
    </row>
    <row r="422" spans="1:13">
      <c r="A422" s="25" t="s">
        <v>998</v>
      </c>
      <c r="B422" s="26" t="s">
        <v>989</v>
      </c>
      <c r="C422" s="26"/>
      <c r="D422" s="26"/>
      <c r="E422" s="27"/>
      <c r="F422" s="197"/>
      <c r="G422" s="211"/>
      <c r="H422" s="195">
        <f>SHF!H63</f>
        <v>35.119199999999992</v>
      </c>
      <c r="I422" s="197"/>
      <c r="J422" s="195">
        <f>SHF!J63</f>
        <v>257.60072117968605</v>
      </c>
      <c r="K422" s="289"/>
      <c r="L422" s="274"/>
      <c r="M422" s="376">
        <v>0.44999999999999996</v>
      </c>
    </row>
    <row r="423" spans="1:13">
      <c r="A423" s="25" t="s">
        <v>1004</v>
      </c>
      <c r="B423" s="26" t="s">
        <v>1000</v>
      </c>
      <c r="C423" s="26"/>
      <c r="D423" s="26"/>
      <c r="E423" s="27"/>
      <c r="F423" s="197"/>
      <c r="G423" s="211"/>
      <c r="H423" s="195">
        <f>SHF!H67</f>
        <v>7.8192479999999991</v>
      </c>
      <c r="I423" s="197"/>
      <c r="J423" s="195">
        <f>SHF!J67</f>
        <v>71.663407919999983</v>
      </c>
      <c r="K423" s="289"/>
      <c r="L423" s="274"/>
      <c r="M423" s="376">
        <v>0.09</v>
      </c>
    </row>
    <row r="424" spans="1:13">
      <c r="A424" s="25" t="s">
        <v>1005</v>
      </c>
      <c r="B424" s="26" t="s">
        <v>1001</v>
      </c>
      <c r="C424" s="26"/>
      <c r="D424" s="26"/>
      <c r="E424" s="27"/>
      <c r="F424" s="197"/>
      <c r="G424" s="211"/>
      <c r="H424" s="195">
        <f>SHF!H68</f>
        <v>9.0222377142857191</v>
      </c>
      <c r="I424" s="197"/>
      <c r="J424" s="195">
        <f>SHF!J68</f>
        <v>82.688808651428602</v>
      </c>
      <c r="K424" s="289"/>
      <c r="L424" s="274"/>
      <c r="M424" s="376">
        <v>0.09</v>
      </c>
    </row>
    <row r="425" spans="1:13">
      <c r="A425" s="25" t="s">
        <v>1006</v>
      </c>
      <c r="B425" s="26" t="s">
        <v>211</v>
      </c>
      <c r="C425" s="26"/>
      <c r="D425" s="26"/>
      <c r="E425" s="27"/>
      <c r="F425" s="197"/>
      <c r="G425" s="211"/>
      <c r="H425" s="195">
        <f>SHF!H73</f>
        <v>19.850764639779044</v>
      </c>
      <c r="I425" s="197"/>
      <c r="J425" s="195">
        <f>SHF!J73</f>
        <v>73.367744311147007</v>
      </c>
      <c r="K425" s="289"/>
      <c r="L425" s="274"/>
      <c r="M425" s="376">
        <v>0.44999999999999996</v>
      </c>
    </row>
    <row r="426" spans="1:13">
      <c r="A426" s="290" t="s">
        <v>1137</v>
      </c>
      <c r="B426" s="11"/>
      <c r="C426" s="11"/>
      <c r="D426" s="11"/>
      <c r="E426" s="191"/>
      <c r="F426" s="197"/>
      <c r="G426" s="211"/>
      <c r="H426" s="89"/>
      <c r="I426" s="197"/>
      <c r="J426" s="89"/>
      <c r="K426" s="289"/>
      <c r="L426" s="274"/>
      <c r="M426" s="994">
        <v>0.44999999999999996</v>
      </c>
    </row>
    <row r="427" spans="1:13">
      <c r="A427" s="25" t="s">
        <v>1007</v>
      </c>
      <c r="B427" s="26" t="s">
        <v>988</v>
      </c>
      <c r="C427" s="26"/>
      <c r="D427" s="26"/>
      <c r="E427" s="27"/>
      <c r="F427" s="195">
        <f>SHF!F80</f>
        <v>23.412799999999997</v>
      </c>
      <c r="G427" s="211"/>
      <c r="H427" s="34"/>
      <c r="I427" s="195">
        <f>SHF!I80</f>
        <v>-11.21508</v>
      </c>
      <c r="J427" s="195">
        <f>SHF!J80</f>
        <v>0</v>
      </c>
      <c r="K427" s="289"/>
      <c r="L427" s="274"/>
      <c r="M427" s="376">
        <v>0.44999999999999996</v>
      </c>
    </row>
    <row r="428" spans="1:13">
      <c r="A428" s="25" t="s">
        <v>1008</v>
      </c>
      <c r="B428" s="26" t="s">
        <v>989</v>
      </c>
      <c r="C428" s="26"/>
      <c r="D428" s="26"/>
      <c r="E428" s="27"/>
      <c r="F428" s="195">
        <f>SHF!F81</f>
        <v>23.412799999999997</v>
      </c>
      <c r="G428" s="211"/>
      <c r="H428" s="34"/>
      <c r="I428" s="195">
        <f>SHF!I81</f>
        <v>11.21508</v>
      </c>
      <c r="J428" s="195">
        <f>SHF!J81</f>
        <v>0</v>
      </c>
      <c r="K428" s="289"/>
      <c r="L428" s="274"/>
      <c r="M428" s="268">
        <v>0.44999999999999996</v>
      </c>
    </row>
    <row r="429" spans="1:13">
      <c r="A429" s="25" t="s">
        <v>1009</v>
      </c>
      <c r="B429" s="26" t="s">
        <v>1000</v>
      </c>
      <c r="C429" s="26"/>
      <c r="D429" s="26"/>
      <c r="E429" s="27"/>
      <c r="F429" s="195">
        <f>SHF!F85</f>
        <v>5.2128319999999997</v>
      </c>
      <c r="G429" s="211"/>
      <c r="H429" s="34"/>
      <c r="I429" s="195">
        <f>SHF!I85</f>
        <v>-2.6064159999999998</v>
      </c>
      <c r="J429" s="195">
        <f>SHF!J85</f>
        <v>-0.80845858450450414</v>
      </c>
      <c r="K429" s="289"/>
      <c r="L429" s="274"/>
      <c r="M429" s="268">
        <v>0.09</v>
      </c>
    </row>
    <row r="430" spans="1:13">
      <c r="A430" s="25" t="s">
        <v>1010</v>
      </c>
      <c r="B430" s="26" t="s">
        <v>1001</v>
      </c>
      <c r="C430" s="26"/>
      <c r="D430" s="26"/>
      <c r="E430" s="27"/>
      <c r="F430" s="195">
        <f>SHF!F86</f>
        <v>6.0148251428571458</v>
      </c>
      <c r="G430" s="211"/>
      <c r="H430" s="34"/>
      <c r="I430" s="195">
        <f>SHF!I86</f>
        <v>3.0074125714285729</v>
      </c>
      <c r="J430" s="195">
        <f>SHF!J86</f>
        <v>-0.93283977328185319</v>
      </c>
      <c r="K430" s="289"/>
      <c r="L430" s="274"/>
      <c r="M430" s="268">
        <v>0.09</v>
      </c>
    </row>
    <row r="431" spans="1:13">
      <c r="A431" s="25" t="s">
        <v>1011</v>
      </c>
      <c r="B431" s="26" t="s">
        <v>211</v>
      </c>
      <c r="C431" s="26"/>
      <c r="D431" s="26"/>
      <c r="E431" s="27"/>
      <c r="F431" s="195">
        <f>SHF!F91</f>
        <v>13.233843093186028</v>
      </c>
      <c r="G431" s="211"/>
      <c r="H431" s="197"/>
      <c r="I431" s="195">
        <f>SHF!I91</f>
        <v>0</v>
      </c>
      <c r="J431" s="195">
        <f>SHF!J91</f>
        <v>0</v>
      </c>
      <c r="K431" s="289"/>
      <c r="L431" s="274"/>
      <c r="M431" s="268">
        <v>0.44999999999999996</v>
      </c>
    </row>
    <row r="432" spans="1:13">
      <c r="A432" s="253"/>
      <c r="B432" s="15"/>
      <c r="C432" s="15"/>
      <c r="D432" s="15"/>
      <c r="E432" s="22"/>
      <c r="F432" s="212"/>
      <c r="G432" s="213"/>
      <c r="H432" s="198"/>
      <c r="I432" s="198"/>
      <c r="J432" s="58"/>
      <c r="K432" s="74"/>
      <c r="L432" s="277"/>
      <c r="M432" s="379"/>
    </row>
    <row r="433" spans="1:13">
      <c r="A433" s="46"/>
      <c r="B433" s="46"/>
      <c r="C433" s="46"/>
      <c r="D433" s="46"/>
      <c r="E433" s="46"/>
      <c r="F433" s="46"/>
      <c r="G433" s="46"/>
      <c r="H433" s="46"/>
      <c r="I433" s="46"/>
      <c r="J433" s="46"/>
      <c r="K433" s="116"/>
      <c r="L433" s="270"/>
      <c r="M433" s="87"/>
    </row>
    <row r="434" spans="1:13">
      <c r="A434" s="220" t="s">
        <v>73</v>
      </c>
      <c r="B434" s="220" t="s">
        <v>74</v>
      </c>
      <c r="C434" s="200"/>
      <c r="D434" s="200"/>
      <c r="E434" s="217"/>
      <c r="F434" s="1636" t="s">
        <v>72</v>
      </c>
      <c r="G434" s="1637"/>
      <c r="H434" s="1637"/>
      <c r="I434" s="1637"/>
      <c r="J434" s="1638"/>
      <c r="K434" s="116"/>
      <c r="L434" s="270"/>
      <c r="M434" s="87"/>
    </row>
    <row r="435" spans="1:13" ht="18">
      <c r="A435" s="221"/>
      <c r="B435" s="221"/>
      <c r="C435" s="201"/>
      <c r="D435" s="201"/>
      <c r="E435" s="219"/>
      <c r="F435" s="223" t="s">
        <v>23</v>
      </c>
      <c r="G435" s="223" t="s">
        <v>87</v>
      </c>
      <c r="H435" s="223" t="s">
        <v>212</v>
      </c>
      <c r="I435" s="223" t="s">
        <v>80</v>
      </c>
      <c r="J435" s="223" t="s">
        <v>81</v>
      </c>
      <c r="K435" s="116"/>
      <c r="L435" s="270"/>
      <c r="M435" s="87"/>
    </row>
    <row r="436" spans="1:13">
      <c r="A436" s="222"/>
      <c r="B436" s="222"/>
      <c r="C436" s="203"/>
      <c r="D436" s="203"/>
      <c r="E436" s="218"/>
      <c r="F436" s="204" t="s">
        <v>34</v>
      </c>
      <c r="G436" s="204" t="s">
        <v>34</v>
      </c>
      <c r="H436" s="203" t="s">
        <v>34</v>
      </c>
      <c r="I436" s="204" t="s">
        <v>77</v>
      </c>
      <c r="J436" s="204" t="s">
        <v>77</v>
      </c>
      <c r="K436" s="116"/>
      <c r="L436" s="270"/>
      <c r="M436" s="87"/>
    </row>
    <row r="437" spans="1:13">
      <c r="A437" s="202"/>
      <c r="B437" s="200"/>
      <c r="C437" s="200"/>
      <c r="D437" s="200"/>
      <c r="E437" s="217"/>
      <c r="F437" s="205"/>
      <c r="G437" s="205"/>
      <c r="H437" s="201"/>
      <c r="I437" s="205"/>
      <c r="J437" s="205"/>
      <c r="K437" s="116"/>
      <c r="L437" s="270"/>
      <c r="M437" s="87"/>
    </row>
    <row r="438" spans="1:13">
      <c r="A438" s="205" t="str">
        <f>A404</f>
        <v>LC-15</v>
      </c>
      <c r="B438" s="201" t="str">
        <f>B404</f>
        <v>LC-3 + Seismic Sx=1,Sz=0.3,Sy=0.3</v>
      </c>
      <c r="C438" s="201"/>
      <c r="D438" s="201"/>
      <c r="E438" s="219"/>
      <c r="F438" s="1054">
        <f>SUMPRODUCT(F407:F431,$M$407:$M$431)</f>
        <v>1086.409483589448</v>
      </c>
      <c r="G438" s="1055">
        <f>SUMPRODUCT(G407:G431,$M$407:$M$431)</f>
        <v>141.96474695966856</v>
      </c>
      <c r="H438" s="1055">
        <f>SUMPRODUCT(H407:H431,$M$407:$M$431)</f>
        <v>42.055857802186274</v>
      </c>
      <c r="I438" s="1055">
        <f>SUMPRODUCT(I407:I431,$M$407:$M$431)</f>
        <v>844.01572558672058</v>
      </c>
      <c r="J438" s="1055">
        <f>SUMPRODUCT(J407:J431,$M$407:$M$431)</f>
        <v>274.2378707464955</v>
      </c>
      <c r="K438" s="116"/>
      <c r="L438" s="270"/>
      <c r="M438" s="87"/>
    </row>
    <row r="439" spans="1:13">
      <c r="A439" s="204"/>
      <c r="B439" s="203"/>
      <c r="C439" s="203"/>
      <c r="D439" s="203"/>
      <c r="E439" s="218"/>
      <c r="F439" s="204"/>
      <c r="G439" s="204"/>
      <c r="H439" s="203"/>
      <c r="I439" s="204"/>
      <c r="J439" s="204"/>
      <c r="K439" s="116"/>
      <c r="L439" s="270"/>
      <c r="M439" s="87"/>
    </row>
    <row r="440" spans="1:13">
      <c r="A440" s="1"/>
      <c r="B440" s="1"/>
      <c r="C440" s="1"/>
      <c r="D440" s="1"/>
      <c r="E440" s="1"/>
      <c r="F440" s="1"/>
      <c r="G440" s="1"/>
      <c r="H440" s="1"/>
      <c r="I440" s="1"/>
      <c r="J440" s="1"/>
      <c r="K440" s="1"/>
      <c r="L440" s="1"/>
      <c r="M440" s="1"/>
    </row>
    <row r="441" spans="1:13">
      <c r="A441" s="1"/>
      <c r="B441" s="1"/>
      <c r="C441" s="1"/>
      <c r="D441" s="1"/>
      <c r="E441" s="1"/>
      <c r="F441" s="1"/>
      <c r="G441" s="1"/>
      <c r="H441" s="1"/>
      <c r="I441" s="1"/>
      <c r="J441" s="1"/>
      <c r="K441" s="1"/>
      <c r="L441" s="1"/>
      <c r="M441" s="1"/>
    </row>
    <row r="442" spans="1:13">
      <c r="A442" s="225" t="str">
        <f>M442</f>
        <v>LC-16</v>
      </c>
      <c r="B442" s="24" t="str">
        <f>VLOOKUP(A442,LC_DEF_2!A3:B42,2,FALSE)</f>
        <v>LC-3 + Seismic Sx=0.3,Sz=1,Sy=0.3</v>
      </c>
      <c r="C442" s="24"/>
      <c r="D442" s="24"/>
      <c r="E442" s="21"/>
      <c r="F442" s="1599" t="s">
        <v>742</v>
      </c>
      <c r="G442" s="1635"/>
      <c r="H442" s="1635"/>
      <c r="I442" s="1635"/>
      <c r="J442" s="1600"/>
      <c r="K442" s="73"/>
      <c r="L442" s="272"/>
      <c r="M442" s="384" t="s">
        <v>242</v>
      </c>
    </row>
    <row r="443" spans="1:13" ht="18">
      <c r="A443" s="25" t="s">
        <v>73</v>
      </c>
      <c r="B443" s="26" t="s">
        <v>74</v>
      </c>
      <c r="C443" s="26"/>
      <c r="D443" s="26"/>
      <c r="E443" s="27"/>
      <c r="F443" s="33" t="s">
        <v>23</v>
      </c>
      <c r="G443" s="33" t="s">
        <v>87</v>
      </c>
      <c r="H443" s="33" t="s">
        <v>212</v>
      </c>
      <c r="I443" s="33" t="s">
        <v>80</v>
      </c>
      <c r="J443" s="33" t="s">
        <v>81</v>
      </c>
      <c r="K443" s="273"/>
      <c r="L443" s="274"/>
      <c r="M443" s="376"/>
    </row>
    <row r="444" spans="1:13">
      <c r="A444" s="25"/>
      <c r="B444" s="26"/>
      <c r="C444" s="26"/>
      <c r="D444" s="26"/>
      <c r="E444" s="27"/>
      <c r="F444" s="36" t="s">
        <v>34</v>
      </c>
      <c r="G444" s="36" t="s">
        <v>34</v>
      </c>
      <c r="H444" s="36" t="s">
        <v>34</v>
      </c>
      <c r="I444" s="36" t="s">
        <v>77</v>
      </c>
      <c r="J444" s="36" t="s">
        <v>77</v>
      </c>
      <c r="K444" s="74"/>
      <c r="L444" s="277"/>
      <c r="M444" s="655"/>
    </row>
    <row r="445" spans="1:13">
      <c r="A445" s="25" t="s">
        <v>88</v>
      </c>
      <c r="B445" s="26" t="s">
        <v>75</v>
      </c>
      <c r="C445" s="26"/>
      <c r="D445" s="26"/>
      <c r="E445" s="27"/>
      <c r="F445" s="195">
        <f>SHF!F14</f>
        <v>165.42303866482536</v>
      </c>
      <c r="G445" s="210"/>
      <c r="H445" s="34"/>
      <c r="I445" s="195">
        <f>SHF!I14</f>
        <v>0</v>
      </c>
      <c r="J445" s="195">
        <f>SHF!J14</f>
        <v>0</v>
      </c>
      <c r="K445" s="273"/>
      <c r="L445" s="274"/>
      <c r="M445" s="268">
        <v>1.35</v>
      </c>
    </row>
    <row r="446" spans="1:13">
      <c r="A446" s="25" t="s">
        <v>250</v>
      </c>
      <c r="B446" s="26" t="s">
        <v>967</v>
      </c>
      <c r="C446" s="26"/>
      <c r="D446" s="26"/>
      <c r="E446" s="27"/>
      <c r="F446" s="195">
        <f>SHF!F17</f>
        <v>230</v>
      </c>
      <c r="G446" s="210"/>
      <c r="H446" s="34"/>
      <c r="I446" s="195">
        <f>SHF!I17</f>
        <v>-115</v>
      </c>
      <c r="J446" s="195">
        <f>SHF!J17</f>
        <v>0</v>
      </c>
      <c r="K446" s="273"/>
      <c r="L446" s="274"/>
      <c r="M446" s="268">
        <v>1.35</v>
      </c>
    </row>
    <row r="447" spans="1:13">
      <c r="A447" s="25" t="s">
        <v>251</v>
      </c>
      <c r="B447" s="26" t="s">
        <v>968</v>
      </c>
      <c r="C447" s="26"/>
      <c r="D447" s="26"/>
      <c r="E447" s="27"/>
      <c r="F447" s="195">
        <f>SHF!F18</f>
        <v>20.660000000000004</v>
      </c>
      <c r="G447" s="210"/>
      <c r="H447" s="34"/>
      <c r="I447" s="195">
        <f>SHF!I18</f>
        <v>-10.330000000000002</v>
      </c>
      <c r="J447" s="195">
        <f>SHF!J18</f>
        <v>0</v>
      </c>
      <c r="K447" s="273"/>
      <c r="L447" s="274"/>
      <c r="M447" s="268">
        <v>1.35</v>
      </c>
    </row>
    <row r="448" spans="1:13">
      <c r="A448" s="25" t="s">
        <v>97</v>
      </c>
      <c r="B448" s="26" t="s">
        <v>969</v>
      </c>
      <c r="C448" s="26"/>
      <c r="D448" s="26"/>
      <c r="E448" s="27"/>
      <c r="F448" s="195">
        <f>SHF!F19</f>
        <v>42</v>
      </c>
      <c r="G448" s="210"/>
      <c r="H448" s="34"/>
      <c r="I448" s="195">
        <f>SHF!I19</f>
        <v>-14.858499999999999</v>
      </c>
      <c r="J448" s="195">
        <f>SHF!J19</f>
        <v>0</v>
      </c>
      <c r="K448" s="273"/>
      <c r="L448" s="274"/>
      <c r="M448" s="268">
        <v>1.35</v>
      </c>
    </row>
    <row r="449" spans="1:13">
      <c r="A449" s="25" t="s">
        <v>250</v>
      </c>
      <c r="B449" s="26" t="s">
        <v>970</v>
      </c>
      <c r="C449" s="26"/>
      <c r="D449" s="26"/>
      <c r="E449" s="27"/>
      <c r="F449" s="195">
        <f>SHF!F21</f>
        <v>230</v>
      </c>
      <c r="G449" s="210"/>
      <c r="H449" s="34"/>
      <c r="I449" s="195">
        <f>SHF!I21</f>
        <v>115</v>
      </c>
      <c r="J449" s="195">
        <f>SHF!J21</f>
        <v>0</v>
      </c>
      <c r="K449" s="273"/>
      <c r="L449" s="274"/>
      <c r="M449" s="376">
        <v>1.35</v>
      </c>
    </row>
    <row r="450" spans="1:13">
      <c r="A450" s="25" t="s">
        <v>251</v>
      </c>
      <c r="B450" s="26" t="s">
        <v>971</v>
      </c>
      <c r="C450" s="26"/>
      <c r="D450" s="26"/>
      <c r="E450" s="27"/>
      <c r="F450" s="195">
        <f>SHF!F22</f>
        <v>20.660000000000004</v>
      </c>
      <c r="G450" s="210"/>
      <c r="H450" s="34"/>
      <c r="I450" s="195">
        <f>SHF!I22</f>
        <v>10.330000000000002</v>
      </c>
      <c r="J450" s="195">
        <f>SHF!J22</f>
        <v>0</v>
      </c>
      <c r="K450" s="273"/>
      <c r="L450" s="274"/>
      <c r="M450" s="376">
        <v>1.35</v>
      </c>
    </row>
    <row r="451" spans="1:13">
      <c r="A451" s="25" t="s">
        <v>97</v>
      </c>
      <c r="B451" s="26" t="s">
        <v>972</v>
      </c>
      <c r="C451" s="26"/>
      <c r="D451" s="26"/>
      <c r="E451" s="27"/>
      <c r="F451" s="195">
        <f>SHF!F23</f>
        <v>42</v>
      </c>
      <c r="G451" s="210"/>
      <c r="H451" s="34"/>
      <c r="I451" s="195">
        <f>SHF!I23</f>
        <v>14.858499999999999</v>
      </c>
      <c r="J451" s="195">
        <f>SHF!J23</f>
        <v>0</v>
      </c>
      <c r="K451" s="273"/>
      <c r="L451" s="274"/>
      <c r="M451" s="376">
        <v>1.75</v>
      </c>
    </row>
    <row r="452" spans="1:13">
      <c r="A452" s="25" t="s">
        <v>976</v>
      </c>
      <c r="B452" s="26" t="s">
        <v>978</v>
      </c>
      <c r="C452" s="26"/>
      <c r="D452" s="26"/>
      <c r="E452" s="27"/>
      <c r="F452" s="195">
        <f>SHF!F27</f>
        <v>65.160399999999996</v>
      </c>
      <c r="G452" s="210"/>
      <c r="H452" s="34"/>
      <c r="I452" s="195">
        <f>SHF!I27</f>
        <v>-32.580199999999998</v>
      </c>
      <c r="J452" s="195">
        <f>SHF!J27</f>
        <v>-10.105732306306301</v>
      </c>
      <c r="K452" s="273"/>
      <c r="L452" s="274"/>
      <c r="M452" s="268">
        <v>0.2</v>
      </c>
    </row>
    <row r="453" spans="1:13">
      <c r="A453" s="25" t="s">
        <v>977</v>
      </c>
      <c r="B453" s="26" t="s">
        <v>979</v>
      </c>
      <c r="C453" s="26"/>
      <c r="D453" s="26"/>
      <c r="E453" s="27"/>
      <c r="F453" s="195">
        <f>SHF!F28</f>
        <v>75.185314285714313</v>
      </c>
      <c r="G453" s="210"/>
      <c r="H453" s="34"/>
      <c r="I453" s="195">
        <f>SHF!I28</f>
        <v>37.592657142857156</v>
      </c>
      <c r="J453" s="195">
        <f>SHF!J28</f>
        <v>-11.660497166023164</v>
      </c>
      <c r="K453" s="273"/>
      <c r="L453" s="274"/>
      <c r="M453" s="268">
        <v>0.2</v>
      </c>
    </row>
    <row r="454" spans="1:13">
      <c r="A454" s="278" t="s">
        <v>1132</v>
      </c>
      <c r="B454" s="262"/>
      <c r="C454" s="262"/>
      <c r="D454" s="262"/>
      <c r="E454" s="263"/>
      <c r="F454" s="1052"/>
      <c r="G454" s="1053"/>
      <c r="H454" s="267"/>
      <c r="I454" s="1052"/>
      <c r="J454" s="267"/>
      <c r="K454" s="289"/>
      <c r="L454" s="274"/>
      <c r="M454" s="412">
        <v>1.5</v>
      </c>
    </row>
    <row r="455" spans="1:13">
      <c r="A455" s="25" t="s">
        <v>991</v>
      </c>
      <c r="B455" s="26" t="s">
        <v>989</v>
      </c>
      <c r="C455" s="26"/>
      <c r="D455" s="26"/>
      <c r="E455" s="27"/>
      <c r="F455" s="197"/>
      <c r="G455" s="195">
        <f>SHF!G49</f>
        <v>70.238399999999984</v>
      </c>
      <c r="H455" s="34"/>
      <c r="I455" s="195">
        <f>SHF!I49</f>
        <v>455.14483200000001</v>
      </c>
      <c r="J455" s="89"/>
      <c r="K455" s="289"/>
      <c r="L455" s="274"/>
      <c r="M455" s="268">
        <v>0.44999999999999996</v>
      </c>
    </row>
    <row r="456" spans="1:13">
      <c r="A456" s="25" t="s">
        <v>994</v>
      </c>
      <c r="B456" s="26" t="s">
        <v>996</v>
      </c>
      <c r="C456" s="26"/>
      <c r="D456" s="26"/>
      <c r="E456" s="27"/>
      <c r="F456" s="197"/>
      <c r="G456" s="195">
        <f>SHF!G53</f>
        <v>4.5540000000000003</v>
      </c>
      <c r="H456" s="34"/>
      <c r="I456" s="195">
        <f>SHF!I53</f>
        <v>29.509920000000008</v>
      </c>
      <c r="J456" s="89"/>
      <c r="K456" s="289"/>
      <c r="L456" s="274"/>
      <c r="M456" s="376">
        <v>1.5</v>
      </c>
    </row>
    <row r="457" spans="1:13">
      <c r="A457" s="25" t="s">
        <v>217</v>
      </c>
      <c r="B457" s="26" t="s">
        <v>211</v>
      </c>
      <c r="C457" s="26"/>
      <c r="D457" s="26"/>
      <c r="E457" s="27"/>
      <c r="F457" s="197"/>
      <c r="G457" s="195">
        <f>SHF!G55</f>
        <v>19.850764639779044</v>
      </c>
      <c r="H457" s="34"/>
      <c r="I457" s="195">
        <f>SHF!I55</f>
        <v>73.367744311147007</v>
      </c>
      <c r="J457" s="89"/>
      <c r="K457" s="289"/>
      <c r="L457" s="274"/>
      <c r="M457" s="376">
        <v>0.44999999999999996</v>
      </c>
    </row>
    <row r="458" spans="1:13">
      <c r="A458" s="278" t="s">
        <v>1135</v>
      </c>
      <c r="B458" s="262"/>
      <c r="C458" s="262"/>
      <c r="D458" s="262"/>
      <c r="E458" s="263"/>
      <c r="F458" s="279"/>
      <c r="G458" s="280"/>
      <c r="H458" s="264"/>
      <c r="I458" s="279"/>
      <c r="J458" s="264"/>
      <c r="K458" s="289"/>
      <c r="L458" s="274"/>
      <c r="M458" s="708">
        <v>1.5</v>
      </c>
    </row>
    <row r="459" spans="1:13">
      <c r="A459" s="25" t="s">
        <v>997</v>
      </c>
      <c r="B459" s="26" t="s">
        <v>988</v>
      </c>
      <c r="C459" s="26"/>
      <c r="D459" s="26"/>
      <c r="E459" s="27"/>
      <c r="F459" s="197"/>
      <c r="G459" s="211"/>
      <c r="H459" s="195">
        <f>SHF!H62</f>
        <v>35.119199999999992</v>
      </c>
      <c r="I459" s="197"/>
      <c r="J459" s="195">
        <f>SHF!J62</f>
        <v>257.60072117968605</v>
      </c>
      <c r="K459" s="289"/>
      <c r="L459" s="274"/>
      <c r="M459" s="268">
        <v>1.5</v>
      </c>
    </row>
    <row r="460" spans="1:13">
      <c r="A460" s="25" t="s">
        <v>998</v>
      </c>
      <c r="B460" s="26" t="s">
        <v>989</v>
      </c>
      <c r="C460" s="26"/>
      <c r="D460" s="26"/>
      <c r="E460" s="27"/>
      <c r="F460" s="197"/>
      <c r="G460" s="211"/>
      <c r="H460" s="195">
        <f>SHF!H63</f>
        <v>35.119199999999992</v>
      </c>
      <c r="I460" s="197"/>
      <c r="J460" s="195">
        <f>SHF!J63</f>
        <v>257.60072117968605</v>
      </c>
      <c r="K460" s="289"/>
      <c r="L460" s="274"/>
      <c r="M460" s="376">
        <v>1.5</v>
      </c>
    </row>
    <row r="461" spans="1:13">
      <c r="A461" s="25" t="s">
        <v>1004</v>
      </c>
      <c r="B461" s="26" t="s">
        <v>1000</v>
      </c>
      <c r="C461" s="26"/>
      <c r="D461" s="26"/>
      <c r="E461" s="27"/>
      <c r="F461" s="197"/>
      <c r="G461" s="211"/>
      <c r="H461" s="195">
        <f>SHF!H67</f>
        <v>7.8192479999999991</v>
      </c>
      <c r="I461" s="197"/>
      <c r="J461" s="195">
        <f>SHF!J67</f>
        <v>71.663407919999983</v>
      </c>
      <c r="K461" s="289"/>
      <c r="L461" s="274"/>
      <c r="M461" s="376">
        <v>0.30000000000000004</v>
      </c>
    </row>
    <row r="462" spans="1:13">
      <c r="A462" s="25" t="s">
        <v>1005</v>
      </c>
      <c r="B462" s="26" t="s">
        <v>1001</v>
      </c>
      <c r="C462" s="26"/>
      <c r="D462" s="26"/>
      <c r="E462" s="27"/>
      <c r="F462" s="197"/>
      <c r="G462" s="211"/>
      <c r="H462" s="195">
        <f>SHF!H68</f>
        <v>9.0222377142857191</v>
      </c>
      <c r="I462" s="197"/>
      <c r="J462" s="195">
        <f>SHF!J68</f>
        <v>82.688808651428602</v>
      </c>
      <c r="K462" s="289"/>
      <c r="L462" s="274"/>
      <c r="M462" s="376">
        <v>0.30000000000000004</v>
      </c>
    </row>
    <row r="463" spans="1:13">
      <c r="A463" s="25" t="s">
        <v>1006</v>
      </c>
      <c r="B463" s="26" t="s">
        <v>211</v>
      </c>
      <c r="C463" s="26"/>
      <c r="D463" s="26"/>
      <c r="E463" s="27"/>
      <c r="F463" s="197"/>
      <c r="G463" s="211"/>
      <c r="H463" s="195">
        <f>SHF!H73</f>
        <v>19.850764639779044</v>
      </c>
      <c r="I463" s="197"/>
      <c r="J463" s="195">
        <f>SHF!J73</f>
        <v>73.367744311147007</v>
      </c>
      <c r="K463" s="289"/>
      <c r="L463" s="274"/>
      <c r="M463" s="376">
        <v>1.5</v>
      </c>
    </row>
    <row r="464" spans="1:13">
      <c r="A464" s="290" t="s">
        <v>1137</v>
      </c>
      <c r="B464" s="11"/>
      <c r="C464" s="11"/>
      <c r="D464" s="11"/>
      <c r="E464" s="191"/>
      <c r="F464" s="197"/>
      <c r="G464" s="211"/>
      <c r="H464" s="89"/>
      <c r="I464" s="197"/>
      <c r="J464" s="89"/>
      <c r="K464" s="289"/>
      <c r="L464" s="274"/>
      <c r="M464" s="994">
        <v>0.44999999999999996</v>
      </c>
    </row>
    <row r="465" spans="1:13">
      <c r="A465" s="25" t="s">
        <v>1007</v>
      </c>
      <c r="B465" s="26" t="s">
        <v>988</v>
      </c>
      <c r="C465" s="26"/>
      <c r="D465" s="26"/>
      <c r="E465" s="27"/>
      <c r="F465" s="195">
        <f>SHF!F80</f>
        <v>23.412799999999997</v>
      </c>
      <c r="G465" s="211"/>
      <c r="H465" s="34"/>
      <c r="I465" s="195">
        <f>SHF!I80</f>
        <v>-11.21508</v>
      </c>
      <c r="J465" s="195">
        <f>SHF!J80</f>
        <v>0</v>
      </c>
      <c r="K465" s="289"/>
      <c r="L465" s="274"/>
      <c r="M465" s="376">
        <v>0.44999999999999996</v>
      </c>
    </row>
    <row r="466" spans="1:13">
      <c r="A466" s="25" t="s">
        <v>1008</v>
      </c>
      <c r="B466" s="26" t="s">
        <v>989</v>
      </c>
      <c r="C466" s="26"/>
      <c r="D466" s="26"/>
      <c r="E466" s="27"/>
      <c r="F466" s="195">
        <f>SHF!F81</f>
        <v>23.412799999999997</v>
      </c>
      <c r="G466" s="211"/>
      <c r="H466" s="34"/>
      <c r="I466" s="195">
        <f>SHF!I81</f>
        <v>11.21508</v>
      </c>
      <c r="J466" s="195">
        <f>SHF!J81</f>
        <v>0</v>
      </c>
      <c r="K466" s="289"/>
      <c r="L466" s="274"/>
      <c r="M466" s="268">
        <v>0.44999999999999996</v>
      </c>
    </row>
    <row r="467" spans="1:13">
      <c r="A467" s="25" t="s">
        <v>1009</v>
      </c>
      <c r="B467" s="26" t="s">
        <v>1000</v>
      </c>
      <c r="C467" s="26"/>
      <c r="D467" s="26"/>
      <c r="E467" s="27"/>
      <c r="F467" s="195">
        <f>SHF!F85</f>
        <v>5.2128319999999997</v>
      </c>
      <c r="G467" s="211"/>
      <c r="H467" s="34"/>
      <c r="I467" s="195">
        <f>SHF!I85</f>
        <v>-2.6064159999999998</v>
      </c>
      <c r="J467" s="195">
        <f>SHF!J85</f>
        <v>-0.80845858450450414</v>
      </c>
      <c r="K467" s="289"/>
      <c r="L467" s="274"/>
      <c r="M467" s="268">
        <v>0.09</v>
      </c>
    </row>
    <row r="468" spans="1:13">
      <c r="A468" s="25" t="s">
        <v>1010</v>
      </c>
      <c r="B468" s="26" t="s">
        <v>1001</v>
      </c>
      <c r="C468" s="26"/>
      <c r="D468" s="26"/>
      <c r="E468" s="27"/>
      <c r="F468" s="195">
        <f>SHF!F86</f>
        <v>6.0148251428571458</v>
      </c>
      <c r="G468" s="211"/>
      <c r="H468" s="34"/>
      <c r="I468" s="195">
        <f>SHF!I86</f>
        <v>3.0074125714285729</v>
      </c>
      <c r="J468" s="195">
        <f>SHF!J86</f>
        <v>-0.93283977328185319</v>
      </c>
      <c r="K468" s="289"/>
      <c r="L468" s="274"/>
      <c r="M468" s="268">
        <v>0.09</v>
      </c>
    </row>
    <row r="469" spans="1:13">
      <c r="A469" s="25" t="s">
        <v>1011</v>
      </c>
      <c r="B469" s="26" t="s">
        <v>211</v>
      </c>
      <c r="C469" s="26"/>
      <c r="D469" s="26"/>
      <c r="E469" s="27"/>
      <c r="F469" s="195">
        <f>SHF!F91</f>
        <v>13.233843093186028</v>
      </c>
      <c r="G469" s="211"/>
      <c r="H469" s="197"/>
      <c r="I469" s="195">
        <f>SHF!I91</f>
        <v>0</v>
      </c>
      <c r="J469" s="195">
        <f>SHF!J91</f>
        <v>0</v>
      </c>
      <c r="K469" s="289"/>
      <c r="L469" s="274"/>
      <c r="M469" s="268">
        <v>0.44999999999999996</v>
      </c>
    </row>
    <row r="470" spans="1:13">
      <c r="A470" s="253"/>
      <c r="B470" s="15"/>
      <c r="C470" s="15"/>
      <c r="D470" s="15"/>
      <c r="E470" s="22"/>
      <c r="F470" s="212"/>
      <c r="G470" s="213"/>
      <c r="H470" s="198"/>
      <c r="I470" s="198"/>
      <c r="J470" s="58"/>
      <c r="K470" s="74"/>
      <c r="L470" s="277"/>
      <c r="M470" s="379"/>
    </row>
    <row r="471" spans="1:13">
      <c r="A471" s="46"/>
      <c r="B471" s="46"/>
      <c r="C471" s="46"/>
      <c r="D471" s="46"/>
      <c r="E471" s="46"/>
      <c r="F471" s="46"/>
      <c r="G471" s="46"/>
      <c r="H471" s="46"/>
      <c r="I471" s="46"/>
      <c r="J471" s="46"/>
      <c r="K471" s="116"/>
      <c r="L471" s="270"/>
      <c r="M471" s="87"/>
    </row>
    <row r="472" spans="1:13">
      <c r="A472" s="220" t="s">
        <v>73</v>
      </c>
      <c r="B472" s="220" t="s">
        <v>74</v>
      </c>
      <c r="C472" s="200"/>
      <c r="D472" s="200"/>
      <c r="E472" s="217"/>
      <c r="F472" s="1636" t="s">
        <v>72</v>
      </c>
      <c r="G472" s="1637"/>
      <c r="H472" s="1637"/>
      <c r="I472" s="1637"/>
      <c r="J472" s="1638"/>
      <c r="K472" s="116"/>
      <c r="L472" s="270"/>
      <c r="M472" s="87"/>
    </row>
    <row r="473" spans="1:13" ht="18">
      <c r="A473" s="221"/>
      <c r="B473" s="221"/>
      <c r="C473" s="201"/>
      <c r="D473" s="201"/>
      <c r="E473" s="219"/>
      <c r="F473" s="223" t="s">
        <v>23</v>
      </c>
      <c r="G473" s="223" t="s">
        <v>87</v>
      </c>
      <c r="H473" s="223" t="s">
        <v>212</v>
      </c>
      <c r="I473" s="223" t="s">
        <v>80</v>
      </c>
      <c r="J473" s="223" t="s">
        <v>81</v>
      </c>
      <c r="K473" s="116"/>
      <c r="L473" s="270"/>
      <c r="M473" s="87"/>
    </row>
    <row r="474" spans="1:13">
      <c r="A474" s="222"/>
      <c r="B474" s="222"/>
      <c r="C474" s="203"/>
      <c r="D474" s="203"/>
      <c r="E474" s="218"/>
      <c r="F474" s="204" t="s">
        <v>34</v>
      </c>
      <c r="G474" s="204" t="s">
        <v>34</v>
      </c>
      <c r="H474" s="203" t="s">
        <v>34</v>
      </c>
      <c r="I474" s="204" t="s">
        <v>77</v>
      </c>
      <c r="J474" s="204" t="s">
        <v>77</v>
      </c>
      <c r="K474" s="116"/>
      <c r="L474" s="270"/>
      <c r="M474" s="87"/>
    </row>
    <row r="475" spans="1:13">
      <c r="A475" s="202"/>
      <c r="B475" s="200"/>
      <c r="C475" s="200"/>
      <c r="D475" s="200"/>
      <c r="E475" s="217"/>
      <c r="F475" s="205"/>
      <c r="G475" s="205"/>
      <c r="H475" s="201"/>
      <c r="I475" s="205"/>
      <c r="J475" s="205"/>
      <c r="K475" s="116"/>
      <c r="L475" s="270"/>
      <c r="M475" s="87"/>
    </row>
    <row r="476" spans="1:13">
      <c r="A476" s="205" t="str">
        <f>A442</f>
        <v>LC-16</v>
      </c>
      <c r="B476" s="201" t="str">
        <f>B442</f>
        <v>LC-3 + Seismic Sx=0.3,Sz=1,Sy=0.3</v>
      </c>
      <c r="C476" s="201"/>
      <c r="D476" s="201"/>
      <c r="E476" s="219"/>
      <c r="F476" s="1054">
        <f>SUMPRODUCT(F445:F469,$M$445:$M$469)</f>
        <v>1086.409483589448</v>
      </c>
      <c r="G476" s="1055">
        <f>SUMPRODUCT(G445:G469,$M$445:$M$469)</f>
        <v>47.371124087900562</v>
      </c>
      <c r="H476" s="1055">
        <f>SUMPRODUCT(H445:H469,$M$445:$M$469)</f>
        <v>140.18619267395425</v>
      </c>
      <c r="I476" s="1055">
        <f>SUMPRODUCT(I445:I469,$M$445:$M$469)</f>
        <v>289.07752046001616</v>
      </c>
      <c r="J476" s="1055">
        <f>SUMPRODUCT(J445:J469,$M$445:$M$469)</f>
        <v>924.64948223054057</v>
      </c>
      <c r="K476" s="116"/>
      <c r="L476" s="270"/>
      <c r="M476" s="87"/>
    </row>
    <row r="477" spans="1:13">
      <c r="A477" s="204"/>
      <c r="B477" s="203"/>
      <c r="C477" s="203"/>
      <c r="D477" s="203"/>
      <c r="E477" s="218"/>
      <c r="F477" s="204"/>
      <c r="G477" s="204"/>
      <c r="H477" s="203"/>
      <c r="I477" s="204"/>
      <c r="J477" s="204"/>
      <c r="K477" s="116"/>
      <c r="L477" s="270"/>
      <c r="M477" s="87"/>
    </row>
    <row r="478" spans="1:13">
      <c r="A478" s="1"/>
      <c r="B478" s="1"/>
      <c r="C478" s="1"/>
      <c r="D478" s="1"/>
      <c r="E478" s="1"/>
      <c r="F478" s="1"/>
      <c r="G478" s="1"/>
      <c r="H478" s="1"/>
      <c r="I478" s="1"/>
      <c r="J478" s="1"/>
      <c r="K478" s="1"/>
      <c r="L478" s="1"/>
      <c r="M478" s="1"/>
    </row>
    <row r="479" spans="1:13">
      <c r="A479" s="1"/>
      <c r="B479" s="1"/>
      <c r="C479" s="1"/>
      <c r="D479" s="1"/>
      <c r="E479" s="1"/>
      <c r="F479" s="1"/>
      <c r="G479" s="1"/>
      <c r="H479" s="1"/>
      <c r="I479" s="1"/>
      <c r="J479" s="1"/>
      <c r="K479" s="1"/>
      <c r="L479" s="1"/>
      <c r="M479" s="1"/>
    </row>
    <row r="480" spans="1:13">
      <c r="A480" s="225" t="str">
        <f>M480</f>
        <v>LC-17</v>
      </c>
      <c r="B480" s="24" t="str">
        <f>VLOOKUP(A480,LC_DEF_2!A3:B42,2,FALSE)</f>
        <v>LC-4 + Seismic Sx=1,Sz=0.3,Sy=-0.3</v>
      </c>
      <c r="C480" s="24"/>
      <c r="D480" s="24"/>
      <c r="E480" s="21"/>
      <c r="F480" s="1599" t="s">
        <v>742</v>
      </c>
      <c r="G480" s="1635"/>
      <c r="H480" s="1635"/>
      <c r="I480" s="1635"/>
      <c r="J480" s="1600"/>
      <c r="K480" s="73"/>
      <c r="L480" s="272"/>
      <c r="M480" s="384" t="s">
        <v>243</v>
      </c>
    </row>
    <row r="481" spans="1:13" ht="18">
      <c r="A481" s="25" t="s">
        <v>73</v>
      </c>
      <c r="B481" s="26" t="s">
        <v>74</v>
      </c>
      <c r="C481" s="26"/>
      <c r="D481" s="26"/>
      <c r="E481" s="27"/>
      <c r="F481" s="33" t="s">
        <v>23</v>
      </c>
      <c r="G481" s="33" t="s">
        <v>87</v>
      </c>
      <c r="H481" s="33" t="s">
        <v>212</v>
      </c>
      <c r="I481" s="33" t="s">
        <v>80</v>
      </c>
      <c r="J481" s="33" t="s">
        <v>81</v>
      </c>
      <c r="K481" s="273"/>
      <c r="L481" s="274"/>
      <c r="M481" s="376"/>
    </row>
    <row r="482" spans="1:13">
      <c r="A482" s="25"/>
      <c r="B482" s="26"/>
      <c r="C482" s="26"/>
      <c r="D482" s="26"/>
      <c r="E482" s="27"/>
      <c r="F482" s="36" t="s">
        <v>34</v>
      </c>
      <c r="G482" s="36" t="s">
        <v>34</v>
      </c>
      <c r="H482" s="36" t="s">
        <v>34</v>
      </c>
      <c r="I482" s="36" t="s">
        <v>77</v>
      </c>
      <c r="J482" s="36" t="s">
        <v>77</v>
      </c>
      <c r="K482" s="74"/>
      <c r="L482" s="277"/>
      <c r="M482" s="655"/>
    </row>
    <row r="483" spans="1:13">
      <c r="A483" s="25" t="s">
        <v>88</v>
      </c>
      <c r="B483" s="26" t="s">
        <v>75</v>
      </c>
      <c r="C483" s="26"/>
      <c r="D483" s="26"/>
      <c r="E483" s="27"/>
      <c r="F483" s="195">
        <f>SHF!F14</f>
        <v>165.42303866482536</v>
      </c>
      <c r="G483" s="210"/>
      <c r="H483" s="34"/>
      <c r="I483" s="195">
        <f>SHF!I14</f>
        <v>0</v>
      </c>
      <c r="J483" s="195">
        <f>SHF!J14</f>
        <v>0</v>
      </c>
      <c r="K483" s="273"/>
      <c r="L483" s="274"/>
      <c r="M483" s="268">
        <v>1.35</v>
      </c>
    </row>
    <row r="484" spans="1:13">
      <c r="A484" s="25" t="s">
        <v>250</v>
      </c>
      <c r="B484" s="26" t="s">
        <v>967</v>
      </c>
      <c r="C484" s="26"/>
      <c r="D484" s="26"/>
      <c r="E484" s="27"/>
      <c r="F484" s="195">
        <f>SHF!F17</f>
        <v>230</v>
      </c>
      <c r="G484" s="210"/>
      <c r="H484" s="34"/>
      <c r="I484" s="195">
        <f>SHF!I17</f>
        <v>-115</v>
      </c>
      <c r="J484" s="195">
        <f>SHF!J17</f>
        <v>0</v>
      </c>
      <c r="K484" s="273"/>
      <c r="L484" s="274"/>
      <c r="M484" s="268">
        <v>1.35</v>
      </c>
    </row>
    <row r="485" spans="1:13">
      <c r="A485" s="25" t="s">
        <v>251</v>
      </c>
      <c r="B485" s="26" t="s">
        <v>968</v>
      </c>
      <c r="C485" s="26"/>
      <c r="D485" s="26"/>
      <c r="E485" s="27"/>
      <c r="F485" s="195">
        <f>SHF!F18</f>
        <v>20.660000000000004</v>
      </c>
      <c r="G485" s="210"/>
      <c r="H485" s="34"/>
      <c r="I485" s="195">
        <f>SHF!I18</f>
        <v>-10.330000000000002</v>
      </c>
      <c r="J485" s="195">
        <f>SHF!J18</f>
        <v>0</v>
      </c>
      <c r="K485" s="273"/>
      <c r="L485" s="274"/>
      <c r="M485" s="268">
        <v>1.35</v>
      </c>
    </row>
    <row r="486" spans="1:13">
      <c r="A486" s="25" t="s">
        <v>97</v>
      </c>
      <c r="B486" s="26" t="s">
        <v>969</v>
      </c>
      <c r="C486" s="26"/>
      <c r="D486" s="26"/>
      <c r="E486" s="27"/>
      <c r="F486" s="195">
        <f>SHF!F19</f>
        <v>42</v>
      </c>
      <c r="G486" s="210"/>
      <c r="H486" s="34"/>
      <c r="I486" s="195">
        <f>SHF!I19</f>
        <v>-14.858499999999999</v>
      </c>
      <c r="J486" s="195">
        <f>SHF!J19</f>
        <v>0</v>
      </c>
      <c r="K486" s="273"/>
      <c r="L486" s="274"/>
      <c r="M486" s="268">
        <v>1.35</v>
      </c>
    </row>
    <row r="487" spans="1:13">
      <c r="A487" s="25" t="s">
        <v>250</v>
      </c>
      <c r="B487" s="26" t="s">
        <v>970</v>
      </c>
      <c r="C487" s="26"/>
      <c r="D487" s="26"/>
      <c r="E487" s="27"/>
      <c r="F487" s="195">
        <f>SHF!F21</f>
        <v>230</v>
      </c>
      <c r="G487" s="210"/>
      <c r="H487" s="34"/>
      <c r="I487" s="195">
        <f>SHF!I21</f>
        <v>115</v>
      </c>
      <c r="J487" s="195">
        <f>SHF!J21</f>
        <v>0</v>
      </c>
      <c r="K487" s="273"/>
      <c r="L487" s="274"/>
      <c r="M487" s="376">
        <v>1.35</v>
      </c>
    </row>
    <row r="488" spans="1:13">
      <c r="A488" s="25" t="s">
        <v>251</v>
      </c>
      <c r="B488" s="26" t="s">
        <v>971</v>
      </c>
      <c r="C488" s="26"/>
      <c r="D488" s="26"/>
      <c r="E488" s="27"/>
      <c r="F488" s="195">
        <f>SHF!F22</f>
        <v>20.660000000000004</v>
      </c>
      <c r="G488" s="210"/>
      <c r="H488" s="34"/>
      <c r="I488" s="195">
        <f>SHF!I22</f>
        <v>10.330000000000002</v>
      </c>
      <c r="J488" s="195">
        <f>SHF!J22</f>
        <v>0</v>
      </c>
      <c r="K488" s="273"/>
      <c r="L488" s="274"/>
      <c r="M488" s="376">
        <v>1.35</v>
      </c>
    </row>
    <row r="489" spans="1:13">
      <c r="A489" s="25" t="s">
        <v>97</v>
      </c>
      <c r="B489" s="26" t="s">
        <v>972</v>
      </c>
      <c r="C489" s="26"/>
      <c r="D489" s="26"/>
      <c r="E489" s="27"/>
      <c r="F489" s="195">
        <f>SHF!F23</f>
        <v>42</v>
      </c>
      <c r="G489" s="210"/>
      <c r="H489" s="34"/>
      <c r="I489" s="195">
        <f>SHF!I23</f>
        <v>14.858499999999999</v>
      </c>
      <c r="J489" s="195">
        <f>SHF!J23</f>
        <v>0</v>
      </c>
      <c r="K489" s="273"/>
      <c r="L489" s="274"/>
      <c r="M489" s="376">
        <v>1.75</v>
      </c>
    </row>
    <row r="490" spans="1:13">
      <c r="A490" s="25" t="s">
        <v>976</v>
      </c>
      <c r="B490" s="26" t="s">
        <v>981</v>
      </c>
      <c r="C490" s="26"/>
      <c r="D490" s="26"/>
      <c r="E490" s="27"/>
      <c r="F490" s="195">
        <f>SHF!F31</f>
        <v>0</v>
      </c>
      <c r="G490" s="210"/>
      <c r="H490" s="34"/>
      <c r="I490" s="195">
        <f>SHF!I31</f>
        <v>0</v>
      </c>
      <c r="J490" s="195">
        <f>SHF!J31</f>
        <v>0</v>
      </c>
      <c r="K490" s="273"/>
      <c r="L490" s="274"/>
      <c r="M490" s="376">
        <v>0.2</v>
      </c>
    </row>
    <row r="491" spans="1:13">
      <c r="A491" s="25" t="s">
        <v>977</v>
      </c>
      <c r="B491" s="26" t="s">
        <v>982</v>
      </c>
      <c r="C491" s="26"/>
      <c r="D491" s="26"/>
      <c r="E491" s="27"/>
      <c r="F491" s="195">
        <f>SHF!F32</f>
        <v>127.89948571428575</v>
      </c>
      <c r="G491" s="210"/>
      <c r="H491" s="34"/>
      <c r="I491" s="195">
        <f>SHF!I32</f>
        <v>63.949742857142873</v>
      </c>
      <c r="J491" s="195">
        <f>SHF!J32</f>
        <v>-19.835942761904757</v>
      </c>
      <c r="K491" s="273"/>
      <c r="L491" s="274"/>
      <c r="M491" s="376">
        <v>0.2</v>
      </c>
    </row>
    <row r="492" spans="1:13">
      <c r="A492" s="278" t="s">
        <v>1132</v>
      </c>
      <c r="B492" s="262"/>
      <c r="C492" s="262"/>
      <c r="D492" s="262"/>
      <c r="E492" s="263"/>
      <c r="F492" s="1052"/>
      <c r="G492" s="1053"/>
      <c r="H492" s="267"/>
      <c r="I492" s="1052"/>
      <c r="J492" s="267"/>
      <c r="K492" s="289"/>
      <c r="L492" s="274"/>
      <c r="M492" s="412">
        <v>1.5</v>
      </c>
    </row>
    <row r="493" spans="1:13">
      <c r="A493" s="25" t="s">
        <v>991</v>
      </c>
      <c r="B493" s="26" t="s">
        <v>989</v>
      </c>
      <c r="C493" s="26"/>
      <c r="D493" s="26"/>
      <c r="E493" s="27"/>
      <c r="F493" s="197"/>
      <c r="G493" s="195">
        <f>SHF!G49</f>
        <v>70.238399999999984</v>
      </c>
      <c r="H493" s="34"/>
      <c r="I493" s="195">
        <f>SHF!I49</f>
        <v>455.14483200000001</v>
      </c>
      <c r="J493" s="89"/>
      <c r="K493" s="289"/>
      <c r="L493" s="274"/>
      <c r="M493" s="268">
        <v>1.5</v>
      </c>
    </row>
    <row r="494" spans="1:13">
      <c r="A494" s="25" t="s">
        <v>994</v>
      </c>
      <c r="B494" s="26" t="s">
        <v>996</v>
      </c>
      <c r="C494" s="26"/>
      <c r="D494" s="26"/>
      <c r="E494" s="27"/>
      <c r="F494" s="197"/>
      <c r="G494" s="195">
        <f>SHF!G53</f>
        <v>4.5540000000000003</v>
      </c>
      <c r="H494" s="34"/>
      <c r="I494" s="195">
        <f>SHF!I53</f>
        <v>29.509920000000008</v>
      </c>
      <c r="J494" s="89"/>
      <c r="K494" s="289"/>
      <c r="L494" s="274"/>
      <c r="M494" s="376">
        <v>1.5</v>
      </c>
    </row>
    <row r="495" spans="1:13">
      <c r="A495" s="25" t="s">
        <v>217</v>
      </c>
      <c r="B495" s="26" t="s">
        <v>211</v>
      </c>
      <c r="C495" s="26"/>
      <c r="D495" s="26"/>
      <c r="E495" s="27"/>
      <c r="F495" s="197"/>
      <c r="G495" s="195">
        <f>SHF!G55</f>
        <v>19.850764639779044</v>
      </c>
      <c r="H495" s="34"/>
      <c r="I495" s="195">
        <f>SHF!I55</f>
        <v>73.367744311147007</v>
      </c>
      <c r="J495" s="89"/>
      <c r="K495" s="289"/>
      <c r="L495" s="274"/>
      <c r="M495" s="376">
        <v>1.5</v>
      </c>
    </row>
    <row r="496" spans="1:13">
      <c r="A496" s="278" t="s">
        <v>1135</v>
      </c>
      <c r="B496" s="262"/>
      <c r="C496" s="262"/>
      <c r="D496" s="262"/>
      <c r="E496" s="263"/>
      <c r="F496" s="279"/>
      <c r="G496" s="280"/>
      <c r="H496" s="264"/>
      <c r="I496" s="279"/>
      <c r="J496" s="264"/>
      <c r="K496" s="289"/>
      <c r="L496" s="274"/>
      <c r="M496" s="708">
        <v>0.44999999999999996</v>
      </c>
    </row>
    <row r="497" spans="1:13">
      <c r="A497" s="25" t="s">
        <v>997</v>
      </c>
      <c r="B497" s="26" t="s">
        <v>988</v>
      </c>
      <c r="C497" s="26"/>
      <c r="D497" s="26"/>
      <c r="E497" s="27"/>
      <c r="F497" s="197"/>
      <c r="G497" s="211"/>
      <c r="H497" s="195">
        <f>SHF!H62</f>
        <v>35.119199999999992</v>
      </c>
      <c r="I497" s="197"/>
      <c r="J497" s="195">
        <f>SHF!J62</f>
        <v>257.60072117968605</v>
      </c>
      <c r="K497" s="289"/>
      <c r="L497" s="274"/>
      <c r="M497" s="268">
        <v>0.44999999999999996</v>
      </c>
    </row>
    <row r="498" spans="1:13">
      <c r="A498" s="25" t="s">
        <v>998</v>
      </c>
      <c r="B498" s="26" t="s">
        <v>989</v>
      </c>
      <c r="C498" s="26"/>
      <c r="D498" s="26"/>
      <c r="E498" s="27"/>
      <c r="F498" s="197"/>
      <c r="G498" s="211"/>
      <c r="H498" s="195">
        <f>SHF!H63</f>
        <v>35.119199999999992</v>
      </c>
      <c r="I498" s="197"/>
      <c r="J498" s="195">
        <f>SHF!J63</f>
        <v>257.60072117968605</v>
      </c>
      <c r="K498" s="289"/>
      <c r="L498" s="274"/>
      <c r="M498" s="376">
        <v>0.44999999999999996</v>
      </c>
    </row>
    <row r="499" spans="1:13">
      <c r="A499" s="25" t="s">
        <v>1004</v>
      </c>
      <c r="B499" s="26" t="s">
        <v>1000</v>
      </c>
      <c r="C499" s="26"/>
      <c r="D499" s="26"/>
      <c r="E499" s="27"/>
      <c r="F499" s="197"/>
      <c r="G499" s="211"/>
      <c r="H499" s="195">
        <f>SHF!H70</f>
        <v>0</v>
      </c>
      <c r="I499" s="197"/>
      <c r="J499" s="195">
        <f>SHF!J70</f>
        <v>0</v>
      </c>
      <c r="K499" s="289"/>
      <c r="L499" s="274"/>
      <c r="M499" s="376">
        <v>0.09</v>
      </c>
    </row>
    <row r="500" spans="1:13">
      <c r="A500" s="25" t="s">
        <v>1005</v>
      </c>
      <c r="B500" s="26" t="s">
        <v>1001</v>
      </c>
      <c r="C500" s="26"/>
      <c r="D500" s="26"/>
      <c r="E500" s="27"/>
      <c r="F500" s="197"/>
      <c r="G500" s="211"/>
      <c r="H500" s="195">
        <f>SHF!H71</f>
        <v>15.347938285714291</v>
      </c>
      <c r="I500" s="197"/>
      <c r="J500" s="195">
        <f>SHF!J71</f>
        <v>140.66385438857145</v>
      </c>
      <c r="K500" s="289"/>
      <c r="L500" s="274"/>
      <c r="M500" s="376">
        <v>0.09</v>
      </c>
    </row>
    <row r="501" spans="1:13">
      <c r="A501" s="25" t="s">
        <v>1006</v>
      </c>
      <c r="B501" s="26" t="s">
        <v>211</v>
      </c>
      <c r="C501" s="26"/>
      <c r="D501" s="26"/>
      <c r="E501" s="27"/>
      <c r="F501" s="197"/>
      <c r="G501" s="211"/>
      <c r="H501" s="195">
        <f>SHF!H73</f>
        <v>19.850764639779044</v>
      </c>
      <c r="I501" s="197"/>
      <c r="J501" s="195">
        <f>SHF!J73</f>
        <v>73.367744311147007</v>
      </c>
      <c r="K501" s="289"/>
      <c r="L501" s="274"/>
      <c r="M501" s="376">
        <v>0.44999999999999996</v>
      </c>
    </row>
    <row r="502" spans="1:13">
      <c r="A502" s="290" t="s">
        <v>1137</v>
      </c>
      <c r="B502" s="11"/>
      <c r="C502" s="11"/>
      <c r="D502" s="11"/>
      <c r="E502" s="191"/>
      <c r="F502" s="197"/>
      <c r="G502" s="211"/>
      <c r="H502" s="89"/>
      <c r="I502" s="197"/>
      <c r="J502" s="89"/>
      <c r="K502" s="289"/>
      <c r="L502" s="274"/>
      <c r="M502" s="994">
        <v>0.44999999999999996</v>
      </c>
    </row>
    <row r="503" spans="1:13">
      <c r="A503" s="25" t="s">
        <v>1007</v>
      </c>
      <c r="B503" s="26" t="s">
        <v>988</v>
      </c>
      <c r="C503" s="26"/>
      <c r="D503" s="26"/>
      <c r="E503" s="27"/>
      <c r="F503" s="195">
        <f>SHF!F80</f>
        <v>23.412799999999997</v>
      </c>
      <c r="G503" s="211"/>
      <c r="H503" s="34"/>
      <c r="I503" s="195">
        <f>SHF!I80</f>
        <v>-11.21508</v>
      </c>
      <c r="J503" s="195">
        <f>SHF!J80</f>
        <v>0</v>
      </c>
      <c r="K503" s="289"/>
      <c r="L503" s="274"/>
      <c r="M503" s="376">
        <v>-0.44999999999999996</v>
      </c>
    </row>
    <row r="504" spans="1:13">
      <c r="A504" s="25" t="s">
        <v>1008</v>
      </c>
      <c r="B504" s="26" t="s">
        <v>989</v>
      </c>
      <c r="C504" s="26"/>
      <c r="D504" s="26"/>
      <c r="E504" s="27"/>
      <c r="F504" s="195">
        <f>SHF!F81</f>
        <v>23.412799999999997</v>
      </c>
      <c r="G504" s="211"/>
      <c r="H504" s="34"/>
      <c r="I504" s="195">
        <f>SHF!I81</f>
        <v>11.21508</v>
      </c>
      <c r="J504" s="195">
        <f>SHF!J81</f>
        <v>0</v>
      </c>
      <c r="K504" s="289"/>
      <c r="L504" s="274"/>
      <c r="M504" s="268">
        <v>-0.44999999999999996</v>
      </c>
    </row>
    <row r="505" spans="1:13">
      <c r="A505" s="25" t="s">
        <v>1009</v>
      </c>
      <c r="B505" s="26" t="s">
        <v>1000</v>
      </c>
      <c r="C505" s="26"/>
      <c r="D505" s="26"/>
      <c r="E505" s="27"/>
      <c r="F505" s="195">
        <f>SHF!F88</f>
        <v>0</v>
      </c>
      <c r="G505" s="211"/>
      <c r="H505" s="34"/>
      <c r="I505" s="195">
        <f>SHF!I88</f>
        <v>0</v>
      </c>
      <c r="J505" s="195">
        <f>SHF!J88</f>
        <v>0</v>
      </c>
      <c r="K505" s="289"/>
      <c r="L505" s="274"/>
      <c r="M505" s="268">
        <v>-0.09</v>
      </c>
    </row>
    <row r="506" spans="1:13">
      <c r="A506" s="25" t="s">
        <v>1010</v>
      </c>
      <c r="B506" s="26" t="s">
        <v>1001</v>
      </c>
      <c r="C506" s="26"/>
      <c r="D506" s="26"/>
      <c r="E506" s="27"/>
      <c r="F506" s="195">
        <f>SHF!F89</f>
        <v>10.231958857142859</v>
      </c>
      <c r="G506" s="211"/>
      <c r="H506" s="34"/>
      <c r="I506" s="195">
        <f>SHF!I89</f>
        <v>5.1159794285714293</v>
      </c>
      <c r="J506" s="195">
        <f>SHF!J89</f>
        <v>-1.5868754209523803</v>
      </c>
      <c r="K506" s="289"/>
      <c r="L506" s="274"/>
      <c r="M506" s="268">
        <v>-0.09</v>
      </c>
    </row>
    <row r="507" spans="1:13">
      <c r="A507" s="25" t="s">
        <v>1011</v>
      </c>
      <c r="B507" s="26" t="s">
        <v>211</v>
      </c>
      <c r="C507" s="26"/>
      <c r="D507" s="26"/>
      <c r="E507" s="27"/>
      <c r="F507" s="195">
        <f>SHF!F91</f>
        <v>13.233843093186028</v>
      </c>
      <c r="G507" s="211"/>
      <c r="H507" s="197"/>
      <c r="I507" s="195">
        <f>SHF!I91</f>
        <v>0</v>
      </c>
      <c r="J507" s="195">
        <f>SHF!J91</f>
        <v>0</v>
      </c>
      <c r="K507" s="289"/>
      <c r="L507" s="274"/>
      <c r="M507" s="268">
        <v>-0.44999999999999996</v>
      </c>
    </row>
    <row r="508" spans="1:13">
      <c r="A508" s="253"/>
      <c r="B508" s="15"/>
      <c r="C508" s="15"/>
      <c r="D508" s="15"/>
      <c r="E508" s="22"/>
      <c r="F508" s="212"/>
      <c r="G508" s="213"/>
      <c r="H508" s="198"/>
      <c r="I508" s="198"/>
      <c r="J508" s="58"/>
      <c r="K508" s="74"/>
      <c r="L508" s="277"/>
      <c r="M508" s="379"/>
    </row>
    <row r="509" spans="1:13">
      <c r="A509" s="46"/>
      <c r="B509" s="46"/>
      <c r="C509" s="46"/>
      <c r="D509" s="46"/>
      <c r="E509" s="46"/>
      <c r="F509" s="46"/>
      <c r="G509" s="46"/>
      <c r="H509" s="46"/>
      <c r="I509" s="46"/>
      <c r="J509" s="46"/>
      <c r="K509" s="116"/>
      <c r="L509" s="270"/>
      <c r="M509" s="87"/>
    </row>
    <row r="510" spans="1:13">
      <c r="A510" s="220" t="s">
        <v>73</v>
      </c>
      <c r="B510" s="220" t="s">
        <v>74</v>
      </c>
      <c r="C510" s="200"/>
      <c r="D510" s="200"/>
      <c r="E510" s="217"/>
      <c r="F510" s="1636" t="s">
        <v>72</v>
      </c>
      <c r="G510" s="1637"/>
      <c r="H510" s="1637"/>
      <c r="I510" s="1637"/>
      <c r="J510" s="1638"/>
      <c r="K510" s="116"/>
      <c r="L510" s="270"/>
      <c r="M510" s="87"/>
    </row>
    <row r="511" spans="1:13" ht="18">
      <c r="A511" s="221"/>
      <c r="B511" s="221"/>
      <c r="C511" s="201"/>
      <c r="D511" s="201"/>
      <c r="E511" s="219"/>
      <c r="F511" s="223" t="s">
        <v>23</v>
      </c>
      <c r="G511" s="223" t="s">
        <v>87</v>
      </c>
      <c r="H511" s="223" t="s">
        <v>212</v>
      </c>
      <c r="I511" s="223" t="s">
        <v>80</v>
      </c>
      <c r="J511" s="223" t="s">
        <v>81</v>
      </c>
      <c r="K511" s="116"/>
      <c r="L511" s="270"/>
      <c r="M511" s="87"/>
    </row>
    <row r="512" spans="1:13">
      <c r="A512" s="222"/>
      <c r="B512" s="222"/>
      <c r="C512" s="203"/>
      <c r="D512" s="203"/>
      <c r="E512" s="218"/>
      <c r="F512" s="204" t="s">
        <v>34</v>
      </c>
      <c r="G512" s="204" t="s">
        <v>34</v>
      </c>
      <c r="H512" s="203" t="s">
        <v>34</v>
      </c>
      <c r="I512" s="204" t="s">
        <v>77</v>
      </c>
      <c r="J512" s="204" t="s">
        <v>77</v>
      </c>
      <c r="K512" s="116"/>
      <c r="L512" s="270"/>
      <c r="M512" s="87"/>
    </row>
    <row r="513" spans="1:13">
      <c r="A513" s="202"/>
      <c r="B513" s="200"/>
      <c r="C513" s="200"/>
      <c r="D513" s="200"/>
      <c r="E513" s="217"/>
      <c r="F513" s="205"/>
      <c r="G513" s="205"/>
      <c r="H513" s="201"/>
      <c r="I513" s="205"/>
      <c r="J513" s="205"/>
      <c r="K513" s="116"/>
      <c r="L513" s="270"/>
      <c r="M513" s="87"/>
    </row>
    <row r="514" spans="1:13">
      <c r="A514" s="205" t="str">
        <f>A480</f>
        <v>LC-17</v>
      </c>
      <c r="B514" s="201" t="str">
        <f>B480</f>
        <v>LC-4 + Seismic Sx=1,Sz=0.3,Sy=-0.3</v>
      </c>
      <c r="C514" s="201"/>
      <c r="D514" s="201"/>
      <c r="E514" s="219"/>
      <c r="F514" s="1054">
        <f>SUMPRODUCT(F483:F507,$M$483:$M$507)</f>
        <v>1027.9353736512949</v>
      </c>
      <c r="G514" s="1055">
        <f>SUMPRODUCT(G483:G507,$M$483:$M$507)</f>
        <v>141.96474695966856</v>
      </c>
      <c r="H514" s="1055">
        <f>SUMPRODUCT(H483:H507,$M$483:$M$507)</f>
        <v>41.921438533614847</v>
      </c>
      <c r="I514" s="1055">
        <f>SUMPRODUCT(I483:I507,$M$483:$M$507)</f>
        <v>855.30665488957766</v>
      </c>
      <c r="J514" s="1055">
        <f>SUMPRODUCT(J483:J507,$M$483:$M$507)</f>
        <v>273.69151113220971</v>
      </c>
      <c r="K514" s="116"/>
      <c r="L514" s="270"/>
      <c r="M514" s="87"/>
    </row>
    <row r="515" spans="1:13">
      <c r="A515" s="204"/>
      <c r="B515" s="203"/>
      <c r="C515" s="203"/>
      <c r="D515" s="203"/>
      <c r="E515" s="218"/>
      <c r="F515" s="204"/>
      <c r="G515" s="204"/>
      <c r="H515" s="203"/>
      <c r="I515" s="204"/>
      <c r="J515" s="204"/>
      <c r="K515" s="116"/>
      <c r="L515" s="270"/>
      <c r="M515" s="87"/>
    </row>
    <row r="516" spans="1:13">
      <c r="A516" s="1"/>
      <c r="B516" s="1"/>
      <c r="C516" s="1"/>
      <c r="D516" s="1"/>
      <c r="E516" s="1"/>
      <c r="F516" s="1"/>
      <c r="G516" s="1"/>
      <c r="H516" s="1"/>
      <c r="I516" s="1"/>
      <c r="J516" s="1"/>
      <c r="K516" s="1"/>
      <c r="L516" s="1"/>
      <c r="M516" s="1"/>
    </row>
    <row r="517" spans="1:13">
      <c r="A517" s="1"/>
      <c r="B517" s="1"/>
      <c r="C517" s="1"/>
      <c r="D517" s="1"/>
      <c r="E517" s="1"/>
      <c r="F517" s="1"/>
      <c r="G517" s="1"/>
      <c r="H517" s="1"/>
      <c r="I517" s="1"/>
      <c r="J517" s="1"/>
      <c r="K517" s="1"/>
      <c r="L517" s="1"/>
      <c r="M517" s="1"/>
    </row>
    <row r="518" spans="1:13">
      <c r="A518" s="225" t="str">
        <f>M518</f>
        <v>LC-18</v>
      </c>
      <c r="B518" s="24" t="str">
        <f>VLOOKUP(A518,LC_DEF_2!A3:B42,2,FALSE)</f>
        <v>LC-4 + Seismic Sx=0.3,Sz=1,Sy=-0.3</v>
      </c>
      <c r="C518" s="24"/>
      <c r="D518" s="24"/>
      <c r="E518" s="21"/>
      <c r="F518" s="1599" t="s">
        <v>742</v>
      </c>
      <c r="G518" s="1635"/>
      <c r="H518" s="1635"/>
      <c r="I518" s="1635"/>
      <c r="J518" s="1600"/>
      <c r="K518" s="73"/>
      <c r="L518" s="272"/>
      <c r="M518" s="384" t="s">
        <v>244</v>
      </c>
    </row>
    <row r="519" spans="1:13" ht="18">
      <c r="A519" s="25" t="s">
        <v>73</v>
      </c>
      <c r="B519" s="26" t="s">
        <v>74</v>
      </c>
      <c r="C519" s="26"/>
      <c r="D519" s="26"/>
      <c r="E519" s="27"/>
      <c r="F519" s="33" t="s">
        <v>23</v>
      </c>
      <c r="G519" s="33" t="s">
        <v>87</v>
      </c>
      <c r="H519" s="33" t="s">
        <v>212</v>
      </c>
      <c r="I519" s="33" t="s">
        <v>80</v>
      </c>
      <c r="J519" s="33" t="s">
        <v>81</v>
      </c>
      <c r="K519" s="273"/>
      <c r="L519" s="274"/>
      <c r="M519" s="376"/>
    </row>
    <row r="520" spans="1:13">
      <c r="A520" s="25"/>
      <c r="B520" s="26"/>
      <c r="C520" s="26"/>
      <c r="D520" s="26"/>
      <c r="E520" s="27"/>
      <c r="F520" s="36" t="s">
        <v>34</v>
      </c>
      <c r="G520" s="36" t="s">
        <v>34</v>
      </c>
      <c r="H520" s="36" t="s">
        <v>34</v>
      </c>
      <c r="I520" s="36" t="s">
        <v>77</v>
      </c>
      <c r="J520" s="36" t="s">
        <v>77</v>
      </c>
      <c r="K520" s="74"/>
      <c r="L520" s="277"/>
      <c r="M520" s="655"/>
    </row>
    <row r="521" spans="1:13">
      <c r="A521" s="25" t="s">
        <v>88</v>
      </c>
      <c r="B521" s="26" t="s">
        <v>75</v>
      </c>
      <c r="C521" s="26"/>
      <c r="D521" s="26"/>
      <c r="E521" s="27"/>
      <c r="F521" s="195">
        <f>SHF!F14</f>
        <v>165.42303866482536</v>
      </c>
      <c r="G521" s="210"/>
      <c r="H521" s="34"/>
      <c r="I521" s="195">
        <f>SHF!I14</f>
        <v>0</v>
      </c>
      <c r="J521" s="195">
        <f>SHF!J14</f>
        <v>0</v>
      </c>
      <c r="K521" s="273"/>
      <c r="L521" s="274"/>
      <c r="M521" s="268">
        <v>1.35</v>
      </c>
    </row>
    <row r="522" spans="1:13">
      <c r="A522" s="25" t="s">
        <v>250</v>
      </c>
      <c r="B522" s="26" t="s">
        <v>967</v>
      </c>
      <c r="C522" s="26"/>
      <c r="D522" s="26"/>
      <c r="E522" s="27"/>
      <c r="F522" s="195">
        <f>SHF!F17</f>
        <v>230</v>
      </c>
      <c r="G522" s="210"/>
      <c r="H522" s="34"/>
      <c r="I522" s="195">
        <f>SHF!I17</f>
        <v>-115</v>
      </c>
      <c r="J522" s="195">
        <f>SHF!J17</f>
        <v>0</v>
      </c>
      <c r="K522" s="273"/>
      <c r="L522" s="274"/>
      <c r="M522" s="268">
        <v>1.35</v>
      </c>
    </row>
    <row r="523" spans="1:13">
      <c r="A523" s="25" t="s">
        <v>251</v>
      </c>
      <c r="B523" s="26" t="s">
        <v>968</v>
      </c>
      <c r="C523" s="26"/>
      <c r="D523" s="26"/>
      <c r="E523" s="27"/>
      <c r="F523" s="195">
        <f>SHF!F18</f>
        <v>20.660000000000004</v>
      </c>
      <c r="G523" s="210"/>
      <c r="H523" s="34"/>
      <c r="I523" s="195">
        <f>SHF!I18</f>
        <v>-10.330000000000002</v>
      </c>
      <c r="J523" s="195">
        <f>SHF!J18</f>
        <v>0</v>
      </c>
      <c r="K523" s="273"/>
      <c r="L523" s="274"/>
      <c r="M523" s="268">
        <v>1.35</v>
      </c>
    </row>
    <row r="524" spans="1:13">
      <c r="A524" s="25" t="s">
        <v>97</v>
      </c>
      <c r="B524" s="26" t="s">
        <v>969</v>
      </c>
      <c r="C524" s="26"/>
      <c r="D524" s="26"/>
      <c r="E524" s="27"/>
      <c r="F524" s="195">
        <f>SHF!F19</f>
        <v>42</v>
      </c>
      <c r="G524" s="210"/>
      <c r="H524" s="34"/>
      <c r="I524" s="195">
        <f>SHF!I19</f>
        <v>-14.858499999999999</v>
      </c>
      <c r="J524" s="195">
        <f>SHF!J19</f>
        <v>0</v>
      </c>
      <c r="K524" s="273"/>
      <c r="L524" s="274"/>
      <c r="M524" s="268">
        <v>1.35</v>
      </c>
    </row>
    <row r="525" spans="1:13">
      <c r="A525" s="25" t="s">
        <v>250</v>
      </c>
      <c r="B525" s="26" t="s">
        <v>970</v>
      </c>
      <c r="C525" s="26"/>
      <c r="D525" s="26"/>
      <c r="E525" s="27"/>
      <c r="F525" s="195">
        <f>SHF!F21</f>
        <v>230</v>
      </c>
      <c r="G525" s="210"/>
      <c r="H525" s="34"/>
      <c r="I525" s="195">
        <f>SHF!I21</f>
        <v>115</v>
      </c>
      <c r="J525" s="195">
        <f>SHF!J21</f>
        <v>0</v>
      </c>
      <c r="K525" s="273"/>
      <c r="L525" s="274"/>
      <c r="M525" s="376">
        <v>1.35</v>
      </c>
    </row>
    <row r="526" spans="1:13">
      <c r="A526" s="25" t="s">
        <v>251</v>
      </c>
      <c r="B526" s="26" t="s">
        <v>971</v>
      </c>
      <c r="C526" s="26"/>
      <c r="D526" s="26"/>
      <c r="E526" s="27"/>
      <c r="F526" s="195">
        <f>SHF!F22</f>
        <v>20.660000000000004</v>
      </c>
      <c r="G526" s="210"/>
      <c r="H526" s="34"/>
      <c r="I526" s="195">
        <f>SHF!I22</f>
        <v>10.330000000000002</v>
      </c>
      <c r="J526" s="195">
        <f>SHF!J22</f>
        <v>0</v>
      </c>
      <c r="K526" s="273"/>
      <c r="L526" s="274"/>
      <c r="M526" s="376">
        <v>1.35</v>
      </c>
    </row>
    <row r="527" spans="1:13">
      <c r="A527" s="25" t="s">
        <v>97</v>
      </c>
      <c r="B527" s="26" t="s">
        <v>972</v>
      </c>
      <c r="C527" s="26"/>
      <c r="D527" s="26"/>
      <c r="E527" s="27"/>
      <c r="F527" s="195">
        <f>SHF!F23</f>
        <v>42</v>
      </c>
      <c r="G527" s="210"/>
      <c r="H527" s="34"/>
      <c r="I527" s="195">
        <f>SHF!I23</f>
        <v>14.858499999999999</v>
      </c>
      <c r="J527" s="195">
        <f>SHF!J23</f>
        <v>0</v>
      </c>
      <c r="K527" s="273"/>
      <c r="L527" s="274"/>
      <c r="M527" s="376">
        <v>1.75</v>
      </c>
    </row>
    <row r="528" spans="1:13">
      <c r="A528" s="25" t="s">
        <v>976</v>
      </c>
      <c r="B528" s="26" t="s">
        <v>981</v>
      </c>
      <c r="C528" s="26"/>
      <c r="D528" s="26"/>
      <c r="E528" s="27"/>
      <c r="F528" s="195">
        <f>SHF!F31</f>
        <v>0</v>
      </c>
      <c r="G528" s="210"/>
      <c r="H528" s="34"/>
      <c r="I528" s="195">
        <f>SHF!I31</f>
        <v>0</v>
      </c>
      <c r="J528" s="195">
        <f>SHF!J31</f>
        <v>0</v>
      </c>
      <c r="K528" s="273"/>
      <c r="L528" s="274"/>
      <c r="M528" s="376">
        <v>0.2</v>
      </c>
    </row>
    <row r="529" spans="1:13">
      <c r="A529" s="25" t="s">
        <v>977</v>
      </c>
      <c r="B529" s="26" t="s">
        <v>982</v>
      </c>
      <c r="C529" s="26"/>
      <c r="D529" s="26"/>
      <c r="E529" s="27"/>
      <c r="F529" s="195">
        <f>SHF!F32</f>
        <v>127.89948571428575</v>
      </c>
      <c r="G529" s="210"/>
      <c r="H529" s="34"/>
      <c r="I529" s="195">
        <f>SHF!I32</f>
        <v>63.949742857142873</v>
      </c>
      <c r="J529" s="195">
        <f>SHF!J32</f>
        <v>-19.835942761904757</v>
      </c>
      <c r="K529" s="273"/>
      <c r="L529" s="274"/>
      <c r="M529" s="376">
        <v>0.2</v>
      </c>
    </row>
    <row r="530" spans="1:13">
      <c r="A530" s="278" t="s">
        <v>1132</v>
      </c>
      <c r="B530" s="262"/>
      <c r="C530" s="262"/>
      <c r="D530" s="262"/>
      <c r="E530" s="263"/>
      <c r="F530" s="1052"/>
      <c r="G530" s="1053"/>
      <c r="H530" s="267"/>
      <c r="I530" s="1052"/>
      <c r="J530" s="267"/>
      <c r="K530" s="289"/>
      <c r="L530" s="274"/>
      <c r="M530" s="412">
        <v>1.5</v>
      </c>
    </row>
    <row r="531" spans="1:13">
      <c r="A531" s="25" t="s">
        <v>991</v>
      </c>
      <c r="B531" s="26" t="s">
        <v>989</v>
      </c>
      <c r="C531" s="26"/>
      <c r="D531" s="26"/>
      <c r="E531" s="27"/>
      <c r="F531" s="197"/>
      <c r="G531" s="195">
        <f>SHF!G49</f>
        <v>70.238399999999984</v>
      </c>
      <c r="H531" s="34"/>
      <c r="I531" s="195">
        <f>SHF!I49</f>
        <v>455.14483200000001</v>
      </c>
      <c r="J531" s="89"/>
      <c r="K531" s="289"/>
      <c r="L531" s="274"/>
      <c r="M531" s="268">
        <v>0.44999999999999996</v>
      </c>
    </row>
    <row r="532" spans="1:13">
      <c r="A532" s="25" t="s">
        <v>994</v>
      </c>
      <c r="B532" s="26" t="s">
        <v>996</v>
      </c>
      <c r="C532" s="26"/>
      <c r="D532" s="26"/>
      <c r="E532" s="27"/>
      <c r="F532" s="197"/>
      <c r="G532" s="195">
        <f>SHF!G53</f>
        <v>4.5540000000000003</v>
      </c>
      <c r="H532" s="34"/>
      <c r="I532" s="195">
        <f>SHF!I53</f>
        <v>29.509920000000008</v>
      </c>
      <c r="J532" s="89"/>
      <c r="K532" s="289"/>
      <c r="L532" s="274"/>
      <c r="M532" s="376">
        <v>1.5</v>
      </c>
    </row>
    <row r="533" spans="1:13">
      <c r="A533" s="25" t="s">
        <v>217</v>
      </c>
      <c r="B533" s="26" t="s">
        <v>211</v>
      </c>
      <c r="C533" s="26"/>
      <c r="D533" s="26"/>
      <c r="E533" s="27"/>
      <c r="F533" s="197"/>
      <c r="G533" s="195">
        <f>SHF!G55</f>
        <v>19.850764639779044</v>
      </c>
      <c r="H533" s="34"/>
      <c r="I533" s="195">
        <f>SHF!I55</f>
        <v>73.367744311147007</v>
      </c>
      <c r="J533" s="89"/>
      <c r="K533" s="289"/>
      <c r="L533" s="274"/>
      <c r="M533" s="376">
        <v>0.44999999999999996</v>
      </c>
    </row>
    <row r="534" spans="1:13">
      <c r="A534" s="278" t="s">
        <v>1135</v>
      </c>
      <c r="B534" s="262"/>
      <c r="C534" s="262"/>
      <c r="D534" s="262"/>
      <c r="E534" s="263"/>
      <c r="F534" s="279"/>
      <c r="G534" s="280"/>
      <c r="H534" s="264"/>
      <c r="I534" s="279"/>
      <c r="J534" s="264"/>
      <c r="K534" s="289"/>
      <c r="L534" s="274"/>
      <c r="M534" s="708">
        <v>1.5</v>
      </c>
    </row>
    <row r="535" spans="1:13">
      <c r="A535" s="25" t="s">
        <v>997</v>
      </c>
      <c r="B535" s="26" t="s">
        <v>988</v>
      </c>
      <c r="C535" s="26"/>
      <c r="D535" s="26"/>
      <c r="E535" s="27"/>
      <c r="F535" s="197"/>
      <c r="G535" s="211"/>
      <c r="H535" s="195">
        <f>SHF!H62</f>
        <v>35.119199999999992</v>
      </c>
      <c r="I535" s="197"/>
      <c r="J535" s="195">
        <f>SHF!J62</f>
        <v>257.60072117968605</v>
      </c>
      <c r="K535" s="289"/>
      <c r="L535" s="274"/>
      <c r="M535" s="268">
        <v>1.5</v>
      </c>
    </row>
    <row r="536" spans="1:13">
      <c r="A536" s="25" t="s">
        <v>998</v>
      </c>
      <c r="B536" s="26" t="s">
        <v>989</v>
      </c>
      <c r="C536" s="26"/>
      <c r="D536" s="26"/>
      <c r="E536" s="27"/>
      <c r="F536" s="197"/>
      <c r="G536" s="211"/>
      <c r="H536" s="195">
        <f>SHF!H63</f>
        <v>35.119199999999992</v>
      </c>
      <c r="I536" s="197"/>
      <c r="J536" s="195">
        <f>SHF!J63</f>
        <v>257.60072117968605</v>
      </c>
      <c r="K536" s="289"/>
      <c r="L536" s="274"/>
      <c r="M536" s="376">
        <v>1.5</v>
      </c>
    </row>
    <row r="537" spans="1:13">
      <c r="A537" s="25" t="s">
        <v>1004</v>
      </c>
      <c r="B537" s="26" t="s">
        <v>1000</v>
      </c>
      <c r="C537" s="26"/>
      <c r="D537" s="26"/>
      <c r="E537" s="27"/>
      <c r="F537" s="197"/>
      <c r="G537" s="211"/>
      <c r="H537" s="195">
        <f>SHF!H70</f>
        <v>0</v>
      </c>
      <c r="I537" s="197"/>
      <c r="J537" s="195">
        <f>SHF!J70</f>
        <v>0</v>
      </c>
      <c r="K537" s="289"/>
      <c r="L537" s="274"/>
      <c r="M537" s="376">
        <v>0.30000000000000004</v>
      </c>
    </row>
    <row r="538" spans="1:13">
      <c r="A538" s="25" t="s">
        <v>1005</v>
      </c>
      <c r="B538" s="26" t="s">
        <v>1001</v>
      </c>
      <c r="C538" s="26"/>
      <c r="D538" s="26"/>
      <c r="E538" s="27"/>
      <c r="F538" s="197"/>
      <c r="G538" s="211"/>
      <c r="H538" s="195">
        <f>SHF!H71</f>
        <v>15.347938285714291</v>
      </c>
      <c r="I538" s="197"/>
      <c r="J538" s="195">
        <f>SHF!J71</f>
        <v>140.66385438857145</v>
      </c>
      <c r="K538" s="289"/>
      <c r="L538" s="274"/>
      <c r="M538" s="376">
        <v>0.30000000000000004</v>
      </c>
    </row>
    <row r="539" spans="1:13">
      <c r="A539" s="25" t="s">
        <v>1006</v>
      </c>
      <c r="B539" s="26" t="s">
        <v>211</v>
      </c>
      <c r="C539" s="26"/>
      <c r="D539" s="26"/>
      <c r="E539" s="27"/>
      <c r="F539" s="197"/>
      <c r="G539" s="211"/>
      <c r="H539" s="195">
        <f>SHF!H73</f>
        <v>19.850764639779044</v>
      </c>
      <c r="I539" s="197"/>
      <c r="J539" s="195">
        <f>SHF!J73</f>
        <v>73.367744311147007</v>
      </c>
      <c r="K539" s="289"/>
      <c r="L539" s="274"/>
      <c r="M539" s="376">
        <v>1.5</v>
      </c>
    </row>
    <row r="540" spans="1:13">
      <c r="A540" s="290" t="s">
        <v>1137</v>
      </c>
      <c r="B540" s="11"/>
      <c r="C540" s="11"/>
      <c r="D540" s="11"/>
      <c r="E540" s="191"/>
      <c r="F540" s="197"/>
      <c r="G540" s="211"/>
      <c r="H540" s="89"/>
      <c r="I540" s="197"/>
      <c r="J540" s="89"/>
      <c r="K540" s="289"/>
      <c r="L540" s="274"/>
      <c r="M540" s="994">
        <v>0.44999999999999996</v>
      </c>
    </row>
    <row r="541" spans="1:13">
      <c r="A541" s="25" t="s">
        <v>1007</v>
      </c>
      <c r="B541" s="26" t="s">
        <v>988</v>
      </c>
      <c r="C541" s="26"/>
      <c r="D541" s="26"/>
      <c r="E541" s="27"/>
      <c r="F541" s="195">
        <f>SHF!F80</f>
        <v>23.412799999999997</v>
      </c>
      <c r="G541" s="211"/>
      <c r="H541" s="34"/>
      <c r="I541" s="195">
        <f>SHF!I80</f>
        <v>-11.21508</v>
      </c>
      <c r="J541" s="195">
        <f>SHF!J80</f>
        <v>0</v>
      </c>
      <c r="K541" s="289"/>
      <c r="L541" s="274"/>
      <c r="M541" s="376">
        <v>-0.44999999999999996</v>
      </c>
    </row>
    <row r="542" spans="1:13">
      <c r="A542" s="25" t="s">
        <v>1008</v>
      </c>
      <c r="B542" s="26" t="s">
        <v>989</v>
      </c>
      <c r="C542" s="26"/>
      <c r="D542" s="26"/>
      <c r="E542" s="27"/>
      <c r="F542" s="195">
        <f>SHF!F81</f>
        <v>23.412799999999997</v>
      </c>
      <c r="G542" s="211"/>
      <c r="H542" s="34"/>
      <c r="I542" s="195">
        <f>SHF!I81</f>
        <v>11.21508</v>
      </c>
      <c r="J542" s="195">
        <f>SHF!J81</f>
        <v>0</v>
      </c>
      <c r="K542" s="289"/>
      <c r="L542" s="274"/>
      <c r="M542" s="268">
        <v>-0.44999999999999996</v>
      </c>
    </row>
    <row r="543" spans="1:13">
      <c r="A543" s="25" t="s">
        <v>1009</v>
      </c>
      <c r="B543" s="26" t="s">
        <v>1000</v>
      </c>
      <c r="C543" s="26"/>
      <c r="D543" s="26"/>
      <c r="E543" s="27"/>
      <c r="F543" s="195">
        <f>SHF!F88</f>
        <v>0</v>
      </c>
      <c r="G543" s="211"/>
      <c r="H543" s="34"/>
      <c r="I543" s="195">
        <f>SHF!I88</f>
        <v>0</v>
      </c>
      <c r="J543" s="195">
        <f>SHF!J88</f>
        <v>0</v>
      </c>
      <c r="K543" s="289"/>
      <c r="L543" s="274"/>
      <c r="M543" s="268">
        <v>-0.09</v>
      </c>
    </row>
    <row r="544" spans="1:13">
      <c r="A544" s="25" t="s">
        <v>1010</v>
      </c>
      <c r="B544" s="26" t="s">
        <v>1001</v>
      </c>
      <c r="C544" s="26"/>
      <c r="D544" s="26"/>
      <c r="E544" s="27"/>
      <c r="F544" s="195">
        <f>SHF!F89</f>
        <v>10.231958857142859</v>
      </c>
      <c r="G544" s="211"/>
      <c r="H544" s="34"/>
      <c r="I544" s="195">
        <f>SHF!I89</f>
        <v>5.1159794285714293</v>
      </c>
      <c r="J544" s="195">
        <f>SHF!J89</f>
        <v>-1.5868754209523803</v>
      </c>
      <c r="K544" s="289"/>
      <c r="L544" s="274"/>
      <c r="M544" s="268">
        <v>-0.09</v>
      </c>
    </row>
    <row r="545" spans="1:13">
      <c r="A545" s="25" t="s">
        <v>1011</v>
      </c>
      <c r="B545" s="26" t="s">
        <v>211</v>
      </c>
      <c r="C545" s="26"/>
      <c r="D545" s="26"/>
      <c r="E545" s="27"/>
      <c r="F545" s="195">
        <f>SHF!F91</f>
        <v>13.233843093186028</v>
      </c>
      <c r="G545" s="211"/>
      <c r="H545" s="197"/>
      <c r="I545" s="195">
        <f>SHF!I91</f>
        <v>0</v>
      </c>
      <c r="J545" s="195">
        <f>SHF!J91</f>
        <v>0</v>
      </c>
      <c r="K545" s="289"/>
      <c r="L545" s="274"/>
      <c r="M545" s="268">
        <v>-0.44999999999999996</v>
      </c>
    </row>
    <row r="546" spans="1:13">
      <c r="A546" s="253"/>
      <c r="B546" s="15"/>
      <c r="C546" s="15"/>
      <c r="D546" s="15"/>
      <c r="E546" s="22"/>
      <c r="F546" s="212"/>
      <c r="G546" s="213"/>
      <c r="H546" s="198"/>
      <c r="I546" s="198"/>
      <c r="J546" s="58"/>
      <c r="K546" s="74"/>
      <c r="L546" s="277"/>
      <c r="M546" s="379"/>
    </row>
    <row r="547" spans="1:13">
      <c r="A547" s="46"/>
      <c r="B547" s="46"/>
      <c r="C547" s="46"/>
      <c r="D547" s="46"/>
      <c r="E547" s="46"/>
      <c r="F547" s="46"/>
      <c r="G547" s="46"/>
      <c r="H547" s="46"/>
      <c r="I547" s="46"/>
      <c r="J547" s="46"/>
      <c r="K547" s="116"/>
      <c r="L547" s="270"/>
      <c r="M547" s="87"/>
    </row>
    <row r="548" spans="1:13">
      <c r="A548" s="220" t="s">
        <v>73</v>
      </c>
      <c r="B548" s="220" t="s">
        <v>74</v>
      </c>
      <c r="C548" s="200"/>
      <c r="D548" s="200"/>
      <c r="E548" s="217"/>
      <c r="F548" s="1636" t="s">
        <v>72</v>
      </c>
      <c r="G548" s="1637"/>
      <c r="H548" s="1637"/>
      <c r="I548" s="1637"/>
      <c r="J548" s="1638"/>
      <c r="K548" s="116"/>
      <c r="L548" s="270"/>
      <c r="M548" s="87"/>
    </row>
    <row r="549" spans="1:13" ht="18">
      <c r="A549" s="221"/>
      <c r="B549" s="221"/>
      <c r="C549" s="201"/>
      <c r="D549" s="201"/>
      <c r="E549" s="219"/>
      <c r="F549" s="223" t="s">
        <v>23</v>
      </c>
      <c r="G549" s="223" t="s">
        <v>87</v>
      </c>
      <c r="H549" s="223" t="s">
        <v>212</v>
      </c>
      <c r="I549" s="223" t="s">
        <v>80</v>
      </c>
      <c r="J549" s="223" t="s">
        <v>81</v>
      </c>
      <c r="K549" s="116"/>
      <c r="L549" s="270"/>
      <c r="M549" s="87"/>
    </row>
    <row r="550" spans="1:13">
      <c r="A550" s="222"/>
      <c r="B550" s="222"/>
      <c r="C550" s="203"/>
      <c r="D550" s="203"/>
      <c r="E550" s="218"/>
      <c r="F550" s="204" t="s">
        <v>34</v>
      </c>
      <c r="G550" s="204" t="s">
        <v>34</v>
      </c>
      <c r="H550" s="203" t="s">
        <v>34</v>
      </c>
      <c r="I550" s="204" t="s">
        <v>77</v>
      </c>
      <c r="J550" s="204" t="s">
        <v>77</v>
      </c>
      <c r="K550" s="116"/>
      <c r="L550" s="270"/>
      <c r="M550" s="87"/>
    </row>
    <row r="551" spans="1:13">
      <c r="A551" s="202"/>
      <c r="B551" s="200"/>
      <c r="C551" s="200"/>
      <c r="D551" s="200"/>
      <c r="E551" s="217"/>
      <c r="F551" s="205"/>
      <c r="G551" s="205"/>
      <c r="H551" s="201"/>
      <c r="I551" s="205"/>
      <c r="J551" s="205"/>
      <c r="K551" s="116"/>
      <c r="L551" s="270"/>
      <c r="M551" s="87"/>
    </row>
    <row r="552" spans="1:13">
      <c r="A552" s="205" t="str">
        <f>A518</f>
        <v>LC-18</v>
      </c>
      <c r="B552" s="201" t="str">
        <f>B518</f>
        <v>LC-4 + Seismic Sx=0.3,Sz=1,Sy=-0.3</v>
      </c>
      <c r="C552" s="201"/>
      <c r="D552" s="201"/>
      <c r="E552" s="219"/>
      <c r="F552" s="1054">
        <f>SUMPRODUCT(F521:F545,$M$521:$M$545)</f>
        <v>1027.9353736512949</v>
      </c>
      <c r="G552" s="1055">
        <f>SUMPRODUCT(G521:G545,$M$521:$M$545)</f>
        <v>47.371124087900562</v>
      </c>
      <c r="H552" s="1055">
        <f>SUMPRODUCT(H521:H545,$M$521:$M$545)</f>
        <v>139.73812844538281</v>
      </c>
      <c r="I552" s="1055">
        <f>SUMPRODUCT(I521:I545,$M$521:$M$545)</f>
        <v>300.3684497628733</v>
      </c>
      <c r="J552" s="1055">
        <f>SUMPRODUCT(J521:J545,$M$521:$M$545)</f>
        <v>921.22856655785495</v>
      </c>
      <c r="K552" s="116"/>
      <c r="L552" s="270"/>
      <c r="M552" s="87"/>
    </row>
    <row r="553" spans="1:13">
      <c r="A553" s="204"/>
      <c r="B553" s="203"/>
      <c r="C553" s="203"/>
      <c r="D553" s="203"/>
      <c r="E553" s="218"/>
      <c r="F553" s="204"/>
      <c r="G553" s="204"/>
      <c r="H553" s="203"/>
      <c r="I553" s="204"/>
      <c r="J553" s="204"/>
      <c r="K553" s="116"/>
      <c r="L553" s="270"/>
      <c r="M553" s="87"/>
    </row>
    <row r="554" spans="1:13">
      <c r="A554" s="1"/>
      <c r="B554" s="1"/>
      <c r="C554" s="1"/>
      <c r="D554" s="1"/>
      <c r="E554" s="1"/>
      <c r="F554" s="1"/>
      <c r="G554" s="1"/>
      <c r="H554" s="1"/>
      <c r="I554" s="1"/>
      <c r="J554" s="1"/>
      <c r="K554" s="1"/>
      <c r="L554" s="1"/>
      <c r="M554" s="1"/>
    </row>
    <row r="555" spans="1:13">
      <c r="A555" s="1"/>
      <c r="B555" s="1"/>
      <c r="C555" s="1"/>
      <c r="D555" s="1"/>
      <c r="E555" s="1"/>
      <c r="F555" s="1"/>
      <c r="G555" s="1"/>
      <c r="H555" s="1"/>
      <c r="I555" s="1"/>
      <c r="J555" s="1"/>
      <c r="K555" s="1"/>
      <c r="L555" s="1"/>
      <c r="M555" s="1"/>
    </row>
    <row r="556" spans="1:13">
      <c r="A556" s="225" t="str">
        <f>M556</f>
        <v>LC-19</v>
      </c>
      <c r="B556" s="24" t="str">
        <f>VLOOKUP(A556,LC_DEF_2!A3:B42,2,FALSE)</f>
        <v>LC-4 + Seismic Sx=1,Sz=0.3,Sy=0.3</v>
      </c>
      <c r="C556" s="24"/>
      <c r="D556" s="24"/>
      <c r="E556" s="21"/>
      <c r="F556" s="1599" t="s">
        <v>742</v>
      </c>
      <c r="G556" s="1635"/>
      <c r="H556" s="1635"/>
      <c r="I556" s="1635"/>
      <c r="J556" s="1600"/>
      <c r="K556" s="73"/>
      <c r="L556" s="272"/>
      <c r="M556" s="384" t="s">
        <v>668</v>
      </c>
    </row>
    <row r="557" spans="1:13" ht="18">
      <c r="A557" s="25" t="s">
        <v>73</v>
      </c>
      <c r="B557" s="26" t="s">
        <v>74</v>
      </c>
      <c r="C557" s="26"/>
      <c r="D557" s="26"/>
      <c r="E557" s="27"/>
      <c r="F557" s="33" t="s">
        <v>23</v>
      </c>
      <c r="G557" s="33" t="s">
        <v>87</v>
      </c>
      <c r="H557" s="33" t="s">
        <v>212</v>
      </c>
      <c r="I557" s="33" t="s">
        <v>80</v>
      </c>
      <c r="J557" s="33" t="s">
        <v>81</v>
      </c>
      <c r="K557" s="273"/>
      <c r="L557" s="274"/>
      <c r="M557" s="376"/>
    </row>
    <row r="558" spans="1:13">
      <c r="A558" s="25"/>
      <c r="B558" s="26"/>
      <c r="C558" s="26"/>
      <c r="D558" s="26"/>
      <c r="E558" s="27"/>
      <c r="F558" s="36" t="s">
        <v>34</v>
      </c>
      <c r="G558" s="36" t="s">
        <v>34</v>
      </c>
      <c r="H558" s="36" t="s">
        <v>34</v>
      </c>
      <c r="I558" s="36" t="s">
        <v>77</v>
      </c>
      <c r="J558" s="36" t="s">
        <v>77</v>
      </c>
      <c r="K558" s="74"/>
      <c r="L558" s="277"/>
      <c r="M558" s="655"/>
    </row>
    <row r="559" spans="1:13">
      <c r="A559" s="25" t="s">
        <v>88</v>
      </c>
      <c r="B559" s="26" t="s">
        <v>75</v>
      </c>
      <c r="C559" s="26"/>
      <c r="D559" s="26"/>
      <c r="E559" s="27"/>
      <c r="F559" s="195">
        <f>SHF!F14</f>
        <v>165.42303866482536</v>
      </c>
      <c r="G559" s="210"/>
      <c r="H559" s="34"/>
      <c r="I559" s="195">
        <f>SHF!I14</f>
        <v>0</v>
      </c>
      <c r="J559" s="195">
        <f>SHF!J14</f>
        <v>0</v>
      </c>
      <c r="K559" s="273"/>
      <c r="L559" s="274"/>
      <c r="M559" s="268">
        <v>1.35</v>
      </c>
    </row>
    <row r="560" spans="1:13">
      <c r="A560" s="25" t="s">
        <v>250</v>
      </c>
      <c r="B560" s="26" t="s">
        <v>967</v>
      </c>
      <c r="C560" s="26"/>
      <c r="D560" s="26"/>
      <c r="E560" s="27"/>
      <c r="F560" s="195">
        <f>SHF!F17</f>
        <v>230</v>
      </c>
      <c r="G560" s="210"/>
      <c r="H560" s="34"/>
      <c r="I560" s="195">
        <f>SHF!I17</f>
        <v>-115</v>
      </c>
      <c r="J560" s="195">
        <f>SHF!J17</f>
        <v>0</v>
      </c>
      <c r="K560" s="273"/>
      <c r="L560" s="274"/>
      <c r="M560" s="268">
        <v>1.35</v>
      </c>
    </row>
    <row r="561" spans="1:13">
      <c r="A561" s="25" t="s">
        <v>251</v>
      </c>
      <c r="B561" s="26" t="s">
        <v>968</v>
      </c>
      <c r="C561" s="26"/>
      <c r="D561" s="26"/>
      <c r="E561" s="27"/>
      <c r="F561" s="195">
        <f>SHF!F18</f>
        <v>20.660000000000004</v>
      </c>
      <c r="G561" s="210"/>
      <c r="H561" s="34"/>
      <c r="I561" s="195">
        <f>SHF!I18</f>
        <v>-10.330000000000002</v>
      </c>
      <c r="J561" s="195">
        <f>SHF!J18</f>
        <v>0</v>
      </c>
      <c r="K561" s="273"/>
      <c r="L561" s="274"/>
      <c r="M561" s="268">
        <v>1.35</v>
      </c>
    </row>
    <row r="562" spans="1:13">
      <c r="A562" s="25" t="s">
        <v>97</v>
      </c>
      <c r="B562" s="26" t="s">
        <v>969</v>
      </c>
      <c r="C562" s="26"/>
      <c r="D562" s="26"/>
      <c r="E562" s="27"/>
      <c r="F562" s="195">
        <f>SHF!F19</f>
        <v>42</v>
      </c>
      <c r="G562" s="210"/>
      <c r="H562" s="34"/>
      <c r="I562" s="195">
        <f>SHF!I19</f>
        <v>-14.858499999999999</v>
      </c>
      <c r="J562" s="195">
        <f>SHF!J19</f>
        <v>0</v>
      </c>
      <c r="K562" s="273"/>
      <c r="L562" s="274"/>
      <c r="M562" s="268">
        <v>1.35</v>
      </c>
    </row>
    <row r="563" spans="1:13">
      <c r="A563" s="25" t="s">
        <v>250</v>
      </c>
      <c r="B563" s="26" t="s">
        <v>970</v>
      </c>
      <c r="C563" s="26"/>
      <c r="D563" s="26"/>
      <c r="E563" s="27"/>
      <c r="F563" s="195">
        <f>SHF!F21</f>
        <v>230</v>
      </c>
      <c r="G563" s="210"/>
      <c r="H563" s="34"/>
      <c r="I563" s="195">
        <f>SHF!I21</f>
        <v>115</v>
      </c>
      <c r="J563" s="195">
        <f>SHF!J21</f>
        <v>0</v>
      </c>
      <c r="K563" s="273"/>
      <c r="L563" s="274"/>
      <c r="M563" s="376">
        <v>1.35</v>
      </c>
    </row>
    <row r="564" spans="1:13">
      <c r="A564" s="25" t="s">
        <v>251</v>
      </c>
      <c r="B564" s="26" t="s">
        <v>971</v>
      </c>
      <c r="C564" s="26"/>
      <c r="D564" s="26"/>
      <c r="E564" s="27"/>
      <c r="F564" s="195">
        <f>SHF!F22</f>
        <v>20.660000000000004</v>
      </c>
      <c r="G564" s="210"/>
      <c r="H564" s="34"/>
      <c r="I564" s="195">
        <f>SHF!I22</f>
        <v>10.330000000000002</v>
      </c>
      <c r="J564" s="195">
        <f>SHF!J22</f>
        <v>0</v>
      </c>
      <c r="K564" s="273"/>
      <c r="L564" s="274"/>
      <c r="M564" s="376">
        <v>1.35</v>
      </c>
    </row>
    <row r="565" spans="1:13">
      <c r="A565" s="25" t="s">
        <v>97</v>
      </c>
      <c r="B565" s="26" t="s">
        <v>972</v>
      </c>
      <c r="C565" s="26"/>
      <c r="D565" s="26"/>
      <c r="E565" s="27"/>
      <c r="F565" s="195">
        <f>SHF!F23</f>
        <v>42</v>
      </c>
      <c r="G565" s="210"/>
      <c r="H565" s="34"/>
      <c r="I565" s="195">
        <f>SHF!I23</f>
        <v>14.858499999999999</v>
      </c>
      <c r="J565" s="195">
        <f>SHF!J23</f>
        <v>0</v>
      </c>
      <c r="K565" s="273"/>
      <c r="L565" s="274"/>
      <c r="M565" s="376">
        <v>1.75</v>
      </c>
    </row>
    <row r="566" spans="1:13">
      <c r="A566" s="25" t="s">
        <v>976</v>
      </c>
      <c r="B566" s="26" t="s">
        <v>981</v>
      </c>
      <c r="C566" s="26"/>
      <c r="D566" s="26"/>
      <c r="E566" s="27"/>
      <c r="F566" s="195">
        <f>SHF!F31</f>
        <v>0</v>
      </c>
      <c r="G566" s="210"/>
      <c r="H566" s="34"/>
      <c r="I566" s="195">
        <f>SHF!I31</f>
        <v>0</v>
      </c>
      <c r="J566" s="195">
        <f>SHF!J31</f>
        <v>0</v>
      </c>
      <c r="K566" s="273"/>
      <c r="L566" s="274"/>
      <c r="M566" s="376">
        <v>0.2</v>
      </c>
    </row>
    <row r="567" spans="1:13">
      <c r="A567" s="25" t="s">
        <v>977</v>
      </c>
      <c r="B567" s="26" t="s">
        <v>982</v>
      </c>
      <c r="C567" s="26"/>
      <c r="D567" s="26"/>
      <c r="E567" s="27"/>
      <c r="F567" s="195">
        <f>SHF!F32</f>
        <v>127.89948571428575</v>
      </c>
      <c r="G567" s="210"/>
      <c r="H567" s="34"/>
      <c r="I567" s="195">
        <f>SHF!I32</f>
        <v>63.949742857142873</v>
      </c>
      <c r="J567" s="195">
        <f>SHF!J32</f>
        <v>-19.835942761904757</v>
      </c>
      <c r="K567" s="273"/>
      <c r="L567" s="274"/>
      <c r="M567" s="376">
        <v>0.2</v>
      </c>
    </row>
    <row r="568" spans="1:13">
      <c r="A568" s="278" t="s">
        <v>1132</v>
      </c>
      <c r="B568" s="262"/>
      <c r="C568" s="262"/>
      <c r="D568" s="262"/>
      <c r="E568" s="263"/>
      <c r="F568" s="1052"/>
      <c r="G568" s="1053"/>
      <c r="H568" s="267"/>
      <c r="I568" s="1052"/>
      <c r="J568" s="267"/>
      <c r="K568" s="289"/>
      <c r="L568" s="274"/>
      <c r="M568" s="412">
        <v>1.5</v>
      </c>
    </row>
    <row r="569" spans="1:13">
      <c r="A569" s="25" t="s">
        <v>991</v>
      </c>
      <c r="B569" s="26" t="s">
        <v>989</v>
      </c>
      <c r="C569" s="26"/>
      <c r="D569" s="26"/>
      <c r="E569" s="27"/>
      <c r="F569" s="197"/>
      <c r="G569" s="195">
        <f>SHF!G49</f>
        <v>70.238399999999984</v>
      </c>
      <c r="H569" s="34"/>
      <c r="I569" s="195">
        <f>SHF!I49</f>
        <v>455.14483200000001</v>
      </c>
      <c r="J569" s="89"/>
      <c r="K569" s="289"/>
      <c r="L569" s="274"/>
      <c r="M569" s="268">
        <v>1.5</v>
      </c>
    </row>
    <row r="570" spans="1:13">
      <c r="A570" s="25" t="s">
        <v>994</v>
      </c>
      <c r="B570" s="26" t="s">
        <v>996</v>
      </c>
      <c r="C570" s="26"/>
      <c r="D570" s="26"/>
      <c r="E570" s="27"/>
      <c r="F570" s="197"/>
      <c r="G570" s="195">
        <f>SHF!G53</f>
        <v>4.5540000000000003</v>
      </c>
      <c r="H570" s="34"/>
      <c r="I570" s="195">
        <f>SHF!I53</f>
        <v>29.509920000000008</v>
      </c>
      <c r="J570" s="89"/>
      <c r="K570" s="289"/>
      <c r="L570" s="274"/>
      <c r="M570" s="376">
        <v>1.5</v>
      </c>
    </row>
    <row r="571" spans="1:13">
      <c r="A571" s="25" t="s">
        <v>217</v>
      </c>
      <c r="B571" s="26" t="s">
        <v>211</v>
      </c>
      <c r="C571" s="26"/>
      <c r="D571" s="26"/>
      <c r="E571" s="27"/>
      <c r="F571" s="197"/>
      <c r="G571" s="195">
        <f>SHF!G55</f>
        <v>19.850764639779044</v>
      </c>
      <c r="H571" s="34"/>
      <c r="I571" s="195">
        <f>SHF!I55</f>
        <v>73.367744311147007</v>
      </c>
      <c r="J571" s="89"/>
      <c r="K571" s="289"/>
      <c r="L571" s="274"/>
      <c r="M571" s="376">
        <v>1.5</v>
      </c>
    </row>
    <row r="572" spans="1:13">
      <c r="A572" s="278" t="s">
        <v>1135</v>
      </c>
      <c r="B572" s="262"/>
      <c r="C572" s="262"/>
      <c r="D572" s="262"/>
      <c r="E572" s="263"/>
      <c r="F572" s="279"/>
      <c r="G572" s="280"/>
      <c r="H572" s="264"/>
      <c r="I572" s="279"/>
      <c r="J572" s="264"/>
      <c r="K572" s="289"/>
      <c r="L572" s="274"/>
      <c r="M572" s="708">
        <v>0.44999999999999996</v>
      </c>
    </row>
    <row r="573" spans="1:13">
      <c r="A573" s="25" t="s">
        <v>997</v>
      </c>
      <c r="B573" s="26" t="s">
        <v>988</v>
      </c>
      <c r="C573" s="26"/>
      <c r="D573" s="26"/>
      <c r="E573" s="27"/>
      <c r="F573" s="197"/>
      <c r="G573" s="211"/>
      <c r="H573" s="195">
        <f>SHF!H62</f>
        <v>35.119199999999992</v>
      </c>
      <c r="I573" s="197"/>
      <c r="J573" s="195">
        <f>SHF!J62</f>
        <v>257.60072117968605</v>
      </c>
      <c r="K573" s="289"/>
      <c r="L573" s="274"/>
      <c r="M573" s="268">
        <v>0.44999999999999996</v>
      </c>
    </row>
    <row r="574" spans="1:13">
      <c r="A574" s="25" t="s">
        <v>998</v>
      </c>
      <c r="B574" s="26" t="s">
        <v>989</v>
      </c>
      <c r="C574" s="26"/>
      <c r="D574" s="26"/>
      <c r="E574" s="27"/>
      <c r="F574" s="197"/>
      <c r="G574" s="211"/>
      <c r="H574" s="195">
        <f>SHF!H63</f>
        <v>35.119199999999992</v>
      </c>
      <c r="I574" s="197"/>
      <c r="J574" s="195">
        <f>SHF!J63</f>
        <v>257.60072117968605</v>
      </c>
      <c r="K574" s="289"/>
      <c r="L574" s="274"/>
      <c r="M574" s="376">
        <v>0.44999999999999996</v>
      </c>
    </row>
    <row r="575" spans="1:13">
      <c r="A575" s="25" t="s">
        <v>1004</v>
      </c>
      <c r="B575" s="26" t="s">
        <v>1000</v>
      </c>
      <c r="C575" s="26"/>
      <c r="D575" s="26"/>
      <c r="E575" s="27"/>
      <c r="F575" s="197"/>
      <c r="G575" s="211"/>
      <c r="H575" s="195">
        <f>SHF!H70</f>
        <v>0</v>
      </c>
      <c r="I575" s="197"/>
      <c r="J575" s="195">
        <f>SHF!J70</f>
        <v>0</v>
      </c>
      <c r="K575" s="289"/>
      <c r="L575" s="274"/>
      <c r="M575" s="376">
        <v>0.09</v>
      </c>
    </row>
    <row r="576" spans="1:13">
      <c r="A576" s="25" t="s">
        <v>1005</v>
      </c>
      <c r="B576" s="26" t="s">
        <v>1001</v>
      </c>
      <c r="C576" s="26"/>
      <c r="D576" s="26"/>
      <c r="E576" s="27"/>
      <c r="F576" s="197"/>
      <c r="G576" s="211"/>
      <c r="H576" s="195">
        <f>SHF!H71</f>
        <v>15.347938285714291</v>
      </c>
      <c r="I576" s="197"/>
      <c r="J576" s="195">
        <f>SHF!J71</f>
        <v>140.66385438857145</v>
      </c>
      <c r="K576" s="289"/>
      <c r="L576" s="274"/>
      <c r="M576" s="376">
        <v>0.09</v>
      </c>
    </row>
    <row r="577" spans="1:13">
      <c r="A577" s="25" t="s">
        <v>1006</v>
      </c>
      <c r="B577" s="26" t="s">
        <v>211</v>
      </c>
      <c r="C577" s="26"/>
      <c r="D577" s="26"/>
      <c r="E577" s="27"/>
      <c r="F577" s="197"/>
      <c r="G577" s="211"/>
      <c r="H577" s="195">
        <f>SHF!H73</f>
        <v>19.850764639779044</v>
      </c>
      <c r="I577" s="197"/>
      <c r="J577" s="195">
        <f>SHF!J73</f>
        <v>73.367744311147007</v>
      </c>
      <c r="K577" s="289"/>
      <c r="L577" s="274"/>
      <c r="M577" s="376">
        <v>0.44999999999999996</v>
      </c>
    </row>
    <row r="578" spans="1:13">
      <c r="A578" s="290" t="s">
        <v>1137</v>
      </c>
      <c r="B578" s="11"/>
      <c r="C578" s="11"/>
      <c r="D578" s="11"/>
      <c r="E578" s="191"/>
      <c r="F578" s="197"/>
      <c r="G578" s="211"/>
      <c r="H578" s="89"/>
      <c r="I578" s="197"/>
      <c r="J578" s="89"/>
      <c r="K578" s="289"/>
      <c r="L578" s="274"/>
      <c r="M578" s="994">
        <v>0.44999999999999996</v>
      </c>
    </row>
    <row r="579" spans="1:13">
      <c r="A579" s="25" t="s">
        <v>1007</v>
      </c>
      <c r="B579" s="26" t="s">
        <v>988</v>
      </c>
      <c r="C579" s="26"/>
      <c r="D579" s="26"/>
      <c r="E579" s="27"/>
      <c r="F579" s="195">
        <f>SHF!F80</f>
        <v>23.412799999999997</v>
      </c>
      <c r="G579" s="211"/>
      <c r="H579" s="34"/>
      <c r="I579" s="195">
        <f>SHF!I80</f>
        <v>-11.21508</v>
      </c>
      <c r="J579" s="195">
        <f>SHF!J80</f>
        <v>0</v>
      </c>
      <c r="K579" s="289"/>
      <c r="L579" s="274"/>
      <c r="M579" s="376">
        <v>0.44999999999999996</v>
      </c>
    </row>
    <row r="580" spans="1:13">
      <c r="A580" s="25" t="s">
        <v>1008</v>
      </c>
      <c r="B580" s="26" t="s">
        <v>989</v>
      </c>
      <c r="C580" s="26"/>
      <c r="D580" s="26"/>
      <c r="E580" s="27"/>
      <c r="F580" s="195">
        <f>SHF!F81</f>
        <v>23.412799999999997</v>
      </c>
      <c r="G580" s="211"/>
      <c r="H580" s="34"/>
      <c r="I580" s="195">
        <f>SHF!I81</f>
        <v>11.21508</v>
      </c>
      <c r="J580" s="195">
        <f>SHF!J81</f>
        <v>0</v>
      </c>
      <c r="K580" s="289"/>
      <c r="L580" s="274"/>
      <c r="M580" s="268">
        <v>0.44999999999999996</v>
      </c>
    </row>
    <row r="581" spans="1:13">
      <c r="A581" s="25" t="s">
        <v>1009</v>
      </c>
      <c r="B581" s="26" t="s">
        <v>1000</v>
      </c>
      <c r="C581" s="26"/>
      <c r="D581" s="26"/>
      <c r="E581" s="27"/>
      <c r="F581" s="195">
        <f>SHF!F88</f>
        <v>0</v>
      </c>
      <c r="G581" s="211"/>
      <c r="H581" s="34"/>
      <c r="I581" s="195">
        <f>SHF!I88</f>
        <v>0</v>
      </c>
      <c r="J581" s="195">
        <f>SHF!J88</f>
        <v>0</v>
      </c>
      <c r="K581" s="289"/>
      <c r="L581" s="274"/>
      <c r="M581" s="268">
        <v>0.09</v>
      </c>
    </row>
    <row r="582" spans="1:13">
      <c r="A582" s="25" t="s">
        <v>1010</v>
      </c>
      <c r="B582" s="26" t="s">
        <v>1001</v>
      </c>
      <c r="C582" s="26"/>
      <c r="D582" s="26"/>
      <c r="E582" s="27"/>
      <c r="F582" s="195">
        <f>SHF!F89</f>
        <v>10.231958857142859</v>
      </c>
      <c r="G582" s="211"/>
      <c r="H582" s="34"/>
      <c r="I582" s="195">
        <f>SHF!I89</f>
        <v>5.1159794285714293</v>
      </c>
      <c r="J582" s="195">
        <f>SHF!J89</f>
        <v>-1.5868754209523803</v>
      </c>
      <c r="K582" s="289"/>
      <c r="L582" s="274"/>
      <c r="M582" s="268">
        <v>0.09</v>
      </c>
    </row>
    <row r="583" spans="1:13">
      <c r="A583" s="25" t="s">
        <v>1011</v>
      </c>
      <c r="B583" s="26" t="s">
        <v>211</v>
      </c>
      <c r="C583" s="26"/>
      <c r="D583" s="26"/>
      <c r="E583" s="27"/>
      <c r="F583" s="195">
        <f>SHF!F91</f>
        <v>13.233843093186028</v>
      </c>
      <c r="G583" s="211"/>
      <c r="H583" s="197"/>
      <c r="I583" s="195">
        <f>SHF!I91</f>
        <v>0</v>
      </c>
      <c r="J583" s="195">
        <f>SHF!J91</f>
        <v>0</v>
      </c>
      <c r="K583" s="289"/>
      <c r="L583" s="274"/>
      <c r="M583" s="268">
        <v>0.44999999999999996</v>
      </c>
    </row>
    <row r="584" spans="1:13">
      <c r="A584" s="253"/>
      <c r="B584" s="15"/>
      <c r="C584" s="15"/>
      <c r="D584" s="15"/>
      <c r="E584" s="22"/>
      <c r="F584" s="212"/>
      <c r="G584" s="213"/>
      <c r="H584" s="198"/>
      <c r="I584" s="198"/>
      <c r="J584" s="58"/>
      <c r="K584" s="74"/>
      <c r="L584" s="277"/>
      <c r="M584" s="379"/>
    </row>
    <row r="585" spans="1:13">
      <c r="A585" s="46"/>
      <c r="B585" s="46"/>
      <c r="C585" s="46"/>
      <c r="D585" s="46"/>
      <c r="E585" s="46"/>
      <c r="F585" s="46"/>
      <c r="G585" s="46"/>
      <c r="H585" s="46"/>
      <c r="I585" s="46"/>
      <c r="J585" s="46"/>
      <c r="K585" s="116"/>
      <c r="L585" s="270"/>
      <c r="M585" s="87"/>
    </row>
    <row r="586" spans="1:13">
      <c r="A586" s="220" t="s">
        <v>73</v>
      </c>
      <c r="B586" s="220" t="s">
        <v>74</v>
      </c>
      <c r="C586" s="200"/>
      <c r="D586" s="200"/>
      <c r="E586" s="217"/>
      <c r="F586" s="1636" t="s">
        <v>72</v>
      </c>
      <c r="G586" s="1637"/>
      <c r="H586" s="1637"/>
      <c r="I586" s="1637"/>
      <c r="J586" s="1638"/>
      <c r="K586" s="116"/>
      <c r="L586" s="270"/>
      <c r="M586" s="87"/>
    </row>
    <row r="587" spans="1:13" ht="18">
      <c r="A587" s="221"/>
      <c r="B587" s="221"/>
      <c r="C587" s="201"/>
      <c r="D587" s="201"/>
      <c r="E587" s="219"/>
      <c r="F587" s="223" t="s">
        <v>23</v>
      </c>
      <c r="G587" s="223" t="s">
        <v>87</v>
      </c>
      <c r="H587" s="223" t="s">
        <v>212</v>
      </c>
      <c r="I587" s="223" t="s">
        <v>80</v>
      </c>
      <c r="J587" s="223" t="s">
        <v>81</v>
      </c>
      <c r="K587" s="116"/>
      <c r="L587" s="270"/>
      <c r="M587" s="87"/>
    </row>
    <row r="588" spans="1:13">
      <c r="A588" s="222"/>
      <c r="B588" s="222"/>
      <c r="C588" s="203"/>
      <c r="D588" s="203"/>
      <c r="E588" s="218"/>
      <c r="F588" s="204" t="s">
        <v>34</v>
      </c>
      <c r="G588" s="204" t="s">
        <v>34</v>
      </c>
      <c r="H588" s="203" t="s">
        <v>34</v>
      </c>
      <c r="I588" s="204" t="s">
        <v>77</v>
      </c>
      <c r="J588" s="204" t="s">
        <v>77</v>
      </c>
      <c r="K588" s="116"/>
      <c r="L588" s="270"/>
      <c r="M588" s="87"/>
    </row>
    <row r="589" spans="1:13">
      <c r="A589" s="202"/>
      <c r="B589" s="200"/>
      <c r="C589" s="200"/>
      <c r="D589" s="200"/>
      <c r="E589" s="217"/>
      <c r="F589" s="205"/>
      <c r="G589" s="205"/>
      <c r="H589" s="201"/>
      <c r="I589" s="205"/>
      <c r="J589" s="205"/>
      <c r="K589" s="116"/>
      <c r="L589" s="270"/>
      <c r="M589" s="87"/>
    </row>
    <row r="590" spans="1:13">
      <c r="A590" s="205" t="str">
        <f>A556</f>
        <v>LC-19</v>
      </c>
      <c r="B590" s="201" t="str">
        <f>B556</f>
        <v>LC-4 + Seismic Sx=1,Sz=0.3,Sy=0.3</v>
      </c>
      <c r="C590" s="201"/>
      <c r="D590" s="201"/>
      <c r="E590" s="219"/>
      <c r="F590" s="1054">
        <f>SUMPRODUCT(F559:F583,$M$559:$M$583)</f>
        <v>1083.8306250294481</v>
      </c>
      <c r="G590" s="1055">
        <f>SUMPRODUCT(G559:G583,$M$559:$M$583)</f>
        <v>141.96474695966856</v>
      </c>
      <c r="H590" s="1055">
        <f>SUMPRODUCT(H559:H583,$M$559:$M$583)</f>
        <v>41.921438533614847</v>
      </c>
      <c r="I590" s="1055">
        <f>SUMPRODUCT(I559:I583,$M$559:$M$583)</f>
        <v>856.22753118672063</v>
      </c>
      <c r="J590" s="1055">
        <f>SUMPRODUCT(J559:J583,$M$559:$M$583)</f>
        <v>273.40587355643834</v>
      </c>
      <c r="K590" s="116"/>
      <c r="L590" s="270"/>
      <c r="M590" s="87"/>
    </row>
    <row r="591" spans="1:13">
      <c r="A591" s="204"/>
      <c r="B591" s="203"/>
      <c r="C591" s="203"/>
      <c r="D591" s="203"/>
      <c r="E591" s="218"/>
      <c r="F591" s="204"/>
      <c r="G591" s="204"/>
      <c r="H591" s="203"/>
      <c r="I591" s="204"/>
      <c r="J591" s="204"/>
      <c r="K591" s="116"/>
      <c r="L591" s="270"/>
      <c r="M591" s="87"/>
    </row>
    <row r="592" spans="1:13">
      <c r="A592" s="1"/>
      <c r="B592" s="1"/>
      <c r="C592" s="1"/>
      <c r="D592" s="1"/>
      <c r="E592" s="1"/>
      <c r="F592" s="1"/>
      <c r="G592" s="1"/>
      <c r="H592" s="1"/>
      <c r="I592" s="1"/>
      <c r="J592" s="1"/>
      <c r="K592" s="1"/>
      <c r="L592" s="1"/>
      <c r="M592" s="1"/>
    </row>
    <row r="593" spans="1:13">
      <c r="A593" s="1"/>
      <c r="B593" s="1"/>
      <c r="C593" s="1"/>
      <c r="D593" s="1"/>
      <c r="E593" s="1"/>
      <c r="F593" s="1"/>
      <c r="G593" s="1"/>
      <c r="H593" s="1"/>
      <c r="I593" s="1"/>
      <c r="J593" s="1"/>
      <c r="K593" s="1"/>
      <c r="L593" s="1"/>
      <c r="M593" s="1"/>
    </row>
    <row r="594" spans="1:13">
      <c r="A594" s="225" t="str">
        <f>M594</f>
        <v>LC-20</v>
      </c>
      <c r="B594" s="24" t="str">
        <f>VLOOKUP(A594,LC_DEF_2!A3:B42,2,FALSE)</f>
        <v>LC-4 + Seismic Sx=0.3,Sz=1,Sy=0.3</v>
      </c>
      <c r="C594" s="24"/>
      <c r="D594" s="24"/>
      <c r="E594" s="21"/>
      <c r="F594" s="1599" t="s">
        <v>742</v>
      </c>
      <c r="G594" s="1635"/>
      <c r="H594" s="1635"/>
      <c r="I594" s="1635"/>
      <c r="J594" s="1600"/>
      <c r="K594" s="73"/>
      <c r="L594" s="272"/>
      <c r="M594" s="384" t="s">
        <v>669</v>
      </c>
    </row>
    <row r="595" spans="1:13" ht="18">
      <c r="A595" s="25" t="s">
        <v>73</v>
      </c>
      <c r="B595" s="26" t="s">
        <v>74</v>
      </c>
      <c r="C595" s="26"/>
      <c r="D595" s="26"/>
      <c r="E595" s="27"/>
      <c r="F595" s="33" t="s">
        <v>23</v>
      </c>
      <c r="G595" s="33" t="s">
        <v>87</v>
      </c>
      <c r="H595" s="33" t="s">
        <v>212</v>
      </c>
      <c r="I595" s="33" t="s">
        <v>80</v>
      </c>
      <c r="J595" s="33" t="s">
        <v>81</v>
      </c>
      <c r="K595" s="273"/>
      <c r="L595" s="274"/>
      <c r="M595" s="376"/>
    </row>
    <row r="596" spans="1:13">
      <c r="A596" s="25"/>
      <c r="B596" s="26"/>
      <c r="C596" s="26"/>
      <c r="D596" s="26"/>
      <c r="E596" s="27"/>
      <c r="F596" s="36" t="s">
        <v>34</v>
      </c>
      <c r="G596" s="36" t="s">
        <v>34</v>
      </c>
      <c r="H596" s="36" t="s">
        <v>34</v>
      </c>
      <c r="I596" s="36" t="s">
        <v>77</v>
      </c>
      <c r="J596" s="36" t="s">
        <v>77</v>
      </c>
      <c r="K596" s="74"/>
      <c r="L596" s="277"/>
      <c r="M596" s="655"/>
    </row>
    <row r="597" spans="1:13">
      <c r="A597" s="25" t="s">
        <v>88</v>
      </c>
      <c r="B597" s="26" t="s">
        <v>75</v>
      </c>
      <c r="C597" s="26"/>
      <c r="D597" s="26"/>
      <c r="E597" s="27"/>
      <c r="F597" s="195">
        <f>SHF!F14</f>
        <v>165.42303866482536</v>
      </c>
      <c r="G597" s="210"/>
      <c r="H597" s="34"/>
      <c r="I597" s="195">
        <f>SHF!I14</f>
        <v>0</v>
      </c>
      <c r="J597" s="195">
        <f>SHF!J14</f>
        <v>0</v>
      </c>
      <c r="K597" s="273"/>
      <c r="L597" s="274"/>
      <c r="M597" s="268">
        <v>1.35</v>
      </c>
    </row>
    <row r="598" spans="1:13">
      <c r="A598" s="25" t="s">
        <v>250</v>
      </c>
      <c r="B598" s="26" t="s">
        <v>967</v>
      </c>
      <c r="C598" s="26"/>
      <c r="D598" s="26"/>
      <c r="E598" s="27"/>
      <c r="F598" s="195">
        <f>SHF!F17</f>
        <v>230</v>
      </c>
      <c r="G598" s="210"/>
      <c r="H598" s="34"/>
      <c r="I598" s="195">
        <f>SHF!I17</f>
        <v>-115</v>
      </c>
      <c r="J598" s="195">
        <f>SHF!J17</f>
        <v>0</v>
      </c>
      <c r="K598" s="273"/>
      <c r="L598" s="274"/>
      <c r="M598" s="268">
        <v>1.35</v>
      </c>
    </row>
    <row r="599" spans="1:13">
      <c r="A599" s="25" t="s">
        <v>251</v>
      </c>
      <c r="B599" s="26" t="s">
        <v>968</v>
      </c>
      <c r="C599" s="26"/>
      <c r="D599" s="26"/>
      <c r="E599" s="27"/>
      <c r="F599" s="195">
        <f>SHF!F18</f>
        <v>20.660000000000004</v>
      </c>
      <c r="G599" s="210"/>
      <c r="H599" s="34"/>
      <c r="I599" s="195">
        <f>SHF!I18</f>
        <v>-10.330000000000002</v>
      </c>
      <c r="J599" s="195">
        <f>SHF!J18</f>
        <v>0</v>
      </c>
      <c r="K599" s="273"/>
      <c r="L599" s="274"/>
      <c r="M599" s="268">
        <v>1.35</v>
      </c>
    </row>
    <row r="600" spans="1:13">
      <c r="A600" s="25" t="s">
        <v>97</v>
      </c>
      <c r="B600" s="26" t="s">
        <v>969</v>
      </c>
      <c r="C600" s="26"/>
      <c r="D600" s="26"/>
      <c r="E600" s="27"/>
      <c r="F600" s="195">
        <f>SHF!F19</f>
        <v>42</v>
      </c>
      <c r="G600" s="210"/>
      <c r="H600" s="34"/>
      <c r="I600" s="195">
        <f>SHF!I19</f>
        <v>-14.858499999999999</v>
      </c>
      <c r="J600" s="195">
        <f>SHF!J19</f>
        <v>0</v>
      </c>
      <c r="K600" s="273"/>
      <c r="L600" s="274"/>
      <c r="M600" s="268">
        <v>1.35</v>
      </c>
    </row>
    <row r="601" spans="1:13">
      <c r="A601" s="25" t="s">
        <v>250</v>
      </c>
      <c r="B601" s="26" t="s">
        <v>970</v>
      </c>
      <c r="C601" s="26"/>
      <c r="D601" s="26"/>
      <c r="E601" s="27"/>
      <c r="F601" s="195">
        <f>SHF!F21</f>
        <v>230</v>
      </c>
      <c r="G601" s="210"/>
      <c r="H601" s="34"/>
      <c r="I601" s="195">
        <f>SHF!I21</f>
        <v>115</v>
      </c>
      <c r="J601" s="195">
        <f>SHF!J21</f>
        <v>0</v>
      </c>
      <c r="K601" s="273"/>
      <c r="L601" s="274"/>
      <c r="M601" s="376">
        <v>1.35</v>
      </c>
    </row>
    <row r="602" spans="1:13">
      <c r="A602" s="25" t="s">
        <v>251</v>
      </c>
      <c r="B602" s="26" t="s">
        <v>971</v>
      </c>
      <c r="C602" s="26"/>
      <c r="D602" s="26"/>
      <c r="E602" s="27"/>
      <c r="F602" s="195">
        <f>SHF!F22</f>
        <v>20.660000000000004</v>
      </c>
      <c r="G602" s="210"/>
      <c r="H602" s="34"/>
      <c r="I602" s="195">
        <f>SHF!I22</f>
        <v>10.330000000000002</v>
      </c>
      <c r="J602" s="195">
        <f>SHF!J22</f>
        <v>0</v>
      </c>
      <c r="K602" s="273"/>
      <c r="L602" s="274"/>
      <c r="M602" s="376">
        <v>1.35</v>
      </c>
    </row>
    <row r="603" spans="1:13">
      <c r="A603" s="25" t="s">
        <v>97</v>
      </c>
      <c r="B603" s="26" t="s">
        <v>972</v>
      </c>
      <c r="C603" s="26"/>
      <c r="D603" s="26"/>
      <c r="E603" s="27"/>
      <c r="F603" s="195">
        <f>SHF!F23</f>
        <v>42</v>
      </c>
      <c r="G603" s="210"/>
      <c r="H603" s="34"/>
      <c r="I603" s="195">
        <f>SHF!I23</f>
        <v>14.858499999999999</v>
      </c>
      <c r="J603" s="195">
        <f>SHF!J23</f>
        <v>0</v>
      </c>
      <c r="K603" s="273"/>
      <c r="L603" s="274"/>
      <c r="M603" s="376">
        <v>1.75</v>
      </c>
    </row>
    <row r="604" spans="1:13">
      <c r="A604" s="25" t="s">
        <v>976</v>
      </c>
      <c r="B604" s="26" t="s">
        <v>981</v>
      </c>
      <c r="C604" s="26"/>
      <c r="D604" s="26"/>
      <c r="E604" s="27"/>
      <c r="F604" s="195">
        <f>SHF!F31</f>
        <v>0</v>
      </c>
      <c r="G604" s="210"/>
      <c r="H604" s="34"/>
      <c r="I604" s="195">
        <f>SHF!I31</f>
        <v>0</v>
      </c>
      <c r="J604" s="195">
        <f>SHF!J31</f>
        <v>0</v>
      </c>
      <c r="K604" s="273"/>
      <c r="L604" s="274"/>
      <c r="M604" s="376">
        <v>0.2</v>
      </c>
    </row>
    <row r="605" spans="1:13">
      <c r="A605" s="25" t="s">
        <v>977</v>
      </c>
      <c r="B605" s="26" t="s">
        <v>982</v>
      </c>
      <c r="C605" s="26"/>
      <c r="D605" s="26"/>
      <c r="E605" s="27"/>
      <c r="F605" s="195">
        <f>SHF!F32</f>
        <v>127.89948571428575</v>
      </c>
      <c r="G605" s="210"/>
      <c r="H605" s="34"/>
      <c r="I605" s="195">
        <f>SHF!I32</f>
        <v>63.949742857142873</v>
      </c>
      <c r="J605" s="195">
        <f>SHF!J32</f>
        <v>-19.835942761904757</v>
      </c>
      <c r="K605" s="273"/>
      <c r="L605" s="274"/>
      <c r="M605" s="376">
        <v>0.2</v>
      </c>
    </row>
    <row r="606" spans="1:13">
      <c r="A606" s="278" t="s">
        <v>1132</v>
      </c>
      <c r="B606" s="262"/>
      <c r="C606" s="262"/>
      <c r="D606" s="262"/>
      <c r="E606" s="263"/>
      <c r="F606" s="1052"/>
      <c r="G606" s="1053"/>
      <c r="H606" s="267"/>
      <c r="I606" s="1052"/>
      <c r="J606" s="267"/>
      <c r="K606" s="289"/>
      <c r="L606" s="274"/>
      <c r="M606" s="412">
        <v>1.5</v>
      </c>
    </row>
    <row r="607" spans="1:13">
      <c r="A607" s="25" t="s">
        <v>991</v>
      </c>
      <c r="B607" s="26" t="s">
        <v>989</v>
      </c>
      <c r="C607" s="26"/>
      <c r="D607" s="26"/>
      <c r="E607" s="27"/>
      <c r="F607" s="197"/>
      <c r="G607" s="195">
        <f>SHF!G49</f>
        <v>70.238399999999984</v>
      </c>
      <c r="H607" s="34"/>
      <c r="I607" s="195">
        <f>SHF!I49</f>
        <v>455.14483200000001</v>
      </c>
      <c r="J607" s="89"/>
      <c r="K607" s="289"/>
      <c r="L607" s="274"/>
      <c r="M607" s="268">
        <v>0.44999999999999996</v>
      </c>
    </row>
    <row r="608" spans="1:13">
      <c r="A608" s="25" t="s">
        <v>994</v>
      </c>
      <c r="B608" s="26" t="s">
        <v>996</v>
      </c>
      <c r="C608" s="26"/>
      <c r="D608" s="26"/>
      <c r="E608" s="27"/>
      <c r="F608" s="197"/>
      <c r="G608" s="195">
        <f>SHF!G53</f>
        <v>4.5540000000000003</v>
      </c>
      <c r="H608" s="34"/>
      <c r="I608" s="195">
        <f>SHF!I53</f>
        <v>29.509920000000008</v>
      </c>
      <c r="J608" s="89"/>
      <c r="K608" s="289"/>
      <c r="L608" s="274"/>
      <c r="M608" s="376">
        <v>1.5</v>
      </c>
    </row>
    <row r="609" spans="1:13">
      <c r="A609" s="25" t="s">
        <v>217</v>
      </c>
      <c r="B609" s="26" t="s">
        <v>211</v>
      </c>
      <c r="C609" s="26"/>
      <c r="D609" s="26"/>
      <c r="E609" s="27"/>
      <c r="F609" s="197"/>
      <c r="G609" s="195">
        <f>SHF!G55</f>
        <v>19.850764639779044</v>
      </c>
      <c r="H609" s="34"/>
      <c r="I609" s="195">
        <f>SHF!I55</f>
        <v>73.367744311147007</v>
      </c>
      <c r="J609" s="89"/>
      <c r="K609" s="289"/>
      <c r="L609" s="274"/>
      <c r="M609" s="376">
        <v>0.44999999999999996</v>
      </c>
    </row>
    <row r="610" spans="1:13">
      <c r="A610" s="278" t="s">
        <v>1135</v>
      </c>
      <c r="B610" s="262"/>
      <c r="C610" s="262"/>
      <c r="D610" s="262"/>
      <c r="E610" s="263"/>
      <c r="F610" s="279"/>
      <c r="G610" s="280"/>
      <c r="H610" s="264"/>
      <c r="I610" s="279"/>
      <c r="J610" s="264"/>
      <c r="K610" s="289"/>
      <c r="L610" s="274"/>
      <c r="M610" s="708">
        <v>1.5</v>
      </c>
    </row>
    <row r="611" spans="1:13">
      <c r="A611" s="25" t="s">
        <v>997</v>
      </c>
      <c r="B611" s="26" t="s">
        <v>988</v>
      </c>
      <c r="C611" s="26"/>
      <c r="D611" s="26"/>
      <c r="E611" s="27"/>
      <c r="F611" s="197"/>
      <c r="G611" s="211"/>
      <c r="H611" s="195">
        <f>SHF!H62</f>
        <v>35.119199999999992</v>
      </c>
      <c r="I611" s="197"/>
      <c r="J611" s="195">
        <f>SHF!J62</f>
        <v>257.60072117968605</v>
      </c>
      <c r="K611" s="289"/>
      <c r="L611" s="274"/>
      <c r="M611" s="268">
        <v>1.5</v>
      </c>
    </row>
    <row r="612" spans="1:13">
      <c r="A612" s="25" t="s">
        <v>998</v>
      </c>
      <c r="B612" s="26" t="s">
        <v>989</v>
      </c>
      <c r="C612" s="26"/>
      <c r="D612" s="26"/>
      <c r="E612" s="27"/>
      <c r="F612" s="197"/>
      <c r="G612" s="211"/>
      <c r="H612" s="195">
        <f>SHF!H63</f>
        <v>35.119199999999992</v>
      </c>
      <c r="I612" s="197"/>
      <c r="J612" s="195">
        <f>SHF!J63</f>
        <v>257.60072117968605</v>
      </c>
      <c r="K612" s="289"/>
      <c r="L612" s="274"/>
      <c r="M612" s="376">
        <v>1.5</v>
      </c>
    </row>
    <row r="613" spans="1:13">
      <c r="A613" s="25" t="s">
        <v>1004</v>
      </c>
      <c r="B613" s="26" t="s">
        <v>1000</v>
      </c>
      <c r="C613" s="26"/>
      <c r="D613" s="26"/>
      <c r="E613" s="27"/>
      <c r="F613" s="197"/>
      <c r="G613" s="211"/>
      <c r="H613" s="195">
        <f>SHF!H70</f>
        <v>0</v>
      </c>
      <c r="I613" s="197"/>
      <c r="J613" s="195">
        <f>SHF!J70</f>
        <v>0</v>
      </c>
      <c r="K613" s="289"/>
      <c r="L613" s="274"/>
      <c r="M613" s="376">
        <v>0.30000000000000004</v>
      </c>
    </row>
    <row r="614" spans="1:13">
      <c r="A614" s="25" t="s">
        <v>1005</v>
      </c>
      <c r="B614" s="26" t="s">
        <v>1001</v>
      </c>
      <c r="C614" s="26"/>
      <c r="D614" s="26"/>
      <c r="E614" s="27"/>
      <c r="F614" s="197"/>
      <c r="G614" s="211"/>
      <c r="H614" s="195">
        <f>SHF!H71</f>
        <v>15.347938285714291</v>
      </c>
      <c r="I614" s="197"/>
      <c r="J614" s="195">
        <f>SHF!J71</f>
        <v>140.66385438857145</v>
      </c>
      <c r="K614" s="289"/>
      <c r="L614" s="274"/>
      <c r="M614" s="376">
        <v>0.30000000000000004</v>
      </c>
    </row>
    <row r="615" spans="1:13">
      <c r="A615" s="25" t="s">
        <v>1006</v>
      </c>
      <c r="B615" s="26" t="s">
        <v>211</v>
      </c>
      <c r="C615" s="26"/>
      <c r="D615" s="26"/>
      <c r="E615" s="27"/>
      <c r="F615" s="197"/>
      <c r="G615" s="211"/>
      <c r="H615" s="195">
        <f>SHF!H73</f>
        <v>19.850764639779044</v>
      </c>
      <c r="I615" s="197"/>
      <c r="J615" s="195">
        <f>SHF!J73</f>
        <v>73.367744311147007</v>
      </c>
      <c r="K615" s="289"/>
      <c r="L615" s="274"/>
      <c r="M615" s="376">
        <v>1.5</v>
      </c>
    </row>
    <row r="616" spans="1:13">
      <c r="A616" s="290" t="s">
        <v>1137</v>
      </c>
      <c r="B616" s="11"/>
      <c r="C616" s="11"/>
      <c r="D616" s="11"/>
      <c r="E616" s="191"/>
      <c r="F616" s="197"/>
      <c r="G616" s="211"/>
      <c r="H616" s="89"/>
      <c r="I616" s="197"/>
      <c r="J616" s="89"/>
      <c r="K616" s="289"/>
      <c r="L616" s="274"/>
      <c r="M616" s="994">
        <v>0.44999999999999996</v>
      </c>
    </row>
    <row r="617" spans="1:13">
      <c r="A617" s="25" t="s">
        <v>1007</v>
      </c>
      <c r="B617" s="26" t="s">
        <v>988</v>
      </c>
      <c r="C617" s="26"/>
      <c r="D617" s="26"/>
      <c r="E617" s="27"/>
      <c r="F617" s="195">
        <f>SHF!F80</f>
        <v>23.412799999999997</v>
      </c>
      <c r="G617" s="211"/>
      <c r="H617" s="34"/>
      <c r="I617" s="195">
        <f>SHF!I80</f>
        <v>-11.21508</v>
      </c>
      <c r="J617" s="195">
        <f>SHF!J80</f>
        <v>0</v>
      </c>
      <c r="K617" s="289"/>
      <c r="L617" s="274"/>
      <c r="M617" s="376">
        <v>0.44999999999999996</v>
      </c>
    </row>
    <row r="618" spans="1:13">
      <c r="A618" s="25" t="s">
        <v>1008</v>
      </c>
      <c r="B618" s="26" t="s">
        <v>989</v>
      </c>
      <c r="C618" s="26"/>
      <c r="D618" s="26"/>
      <c r="E618" s="27"/>
      <c r="F618" s="195">
        <f>SHF!F81</f>
        <v>23.412799999999997</v>
      </c>
      <c r="G618" s="211"/>
      <c r="H618" s="34"/>
      <c r="I618" s="195">
        <f>SHF!I81</f>
        <v>11.21508</v>
      </c>
      <c r="J618" s="195">
        <f>SHF!J81</f>
        <v>0</v>
      </c>
      <c r="K618" s="289"/>
      <c r="L618" s="274"/>
      <c r="M618" s="268">
        <v>0.44999999999999996</v>
      </c>
    </row>
    <row r="619" spans="1:13">
      <c r="A619" s="25" t="s">
        <v>1009</v>
      </c>
      <c r="B619" s="26" t="s">
        <v>1000</v>
      </c>
      <c r="C619" s="26"/>
      <c r="D619" s="26"/>
      <c r="E619" s="27"/>
      <c r="F619" s="195">
        <f>SHF!F88</f>
        <v>0</v>
      </c>
      <c r="G619" s="211"/>
      <c r="H619" s="34"/>
      <c r="I619" s="195">
        <f>SHF!I88</f>
        <v>0</v>
      </c>
      <c r="J619" s="195">
        <f>SHF!J88</f>
        <v>0</v>
      </c>
      <c r="K619" s="289"/>
      <c r="L619" s="274"/>
      <c r="M619" s="268">
        <v>0.09</v>
      </c>
    </row>
    <row r="620" spans="1:13">
      <c r="A620" s="25" t="s">
        <v>1010</v>
      </c>
      <c r="B620" s="26" t="s">
        <v>1001</v>
      </c>
      <c r="C620" s="26"/>
      <c r="D620" s="26"/>
      <c r="E620" s="27"/>
      <c r="F620" s="195">
        <f>SHF!F89</f>
        <v>10.231958857142859</v>
      </c>
      <c r="G620" s="211"/>
      <c r="H620" s="34"/>
      <c r="I620" s="195">
        <f>SHF!I89</f>
        <v>5.1159794285714293</v>
      </c>
      <c r="J620" s="195">
        <f>SHF!J89</f>
        <v>-1.5868754209523803</v>
      </c>
      <c r="K620" s="289"/>
      <c r="L620" s="274"/>
      <c r="M620" s="268">
        <v>0.09</v>
      </c>
    </row>
    <row r="621" spans="1:13">
      <c r="A621" s="25" t="s">
        <v>1011</v>
      </c>
      <c r="B621" s="26" t="s">
        <v>211</v>
      </c>
      <c r="C621" s="26"/>
      <c r="D621" s="26"/>
      <c r="E621" s="27"/>
      <c r="F621" s="195">
        <f>SHF!F91</f>
        <v>13.233843093186028</v>
      </c>
      <c r="G621" s="211"/>
      <c r="H621" s="197"/>
      <c r="I621" s="195">
        <f>SHF!I91</f>
        <v>0</v>
      </c>
      <c r="J621" s="195">
        <f>SHF!J91</f>
        <v>0</v>
      </c>
      <c r="K621" s="289"/>
      <c r="L621" s="274"/>
      <c r="M621" s="268">
        <v>0.44999999999999996</v>
      </c>
    </row>
    <row r="622" spans="1:13">
      <c r="A622" s="253"/>
      <c r="B622" s="15"/>
      <c r="C622" s="15"/>
      <c r="D622" s="15"/>
      <c r="E622" s="22"/>
      <c r="F622" s="212"/>
      <c r="G622" s="213"/>
      <c r="H622" s="198"/>
      <c r="I622" s="198"/>
      <c r="J622" s="58"/>
      <c r="K622" s="74"/>
      <c r="L622" s="277"/>
      <c r="M622" s="379"/>
    </row>
    <row r="623" spans="1:13">
      <c r="A623" s="46"/>
      <c r="B623" s="46"/>
      <c r="C623" s="46"/>
      <c r="D623" s="46"/>
      <c r="E623" s="46"/>
      <c r="F623" s="46"/>
      <c r="G623" s="46"/>
      <c r="H623" s="46"/>
      <c r="I623" s="46"/>
      <c r="J623" s="46"/>
      <c r="K623" s="116"/>
      <c r="L623" s="270"/>
      <c r="M623" s="87"/>
    </row>
    <row r="624" spans="1:13">
      <c r="A624" s="220" t="s">
        <v>73</v>
      </c>
      <c r="B624" s="220" t="s">
        <v>74</v>
      </c>
      <c r="C624" s="200"/>
      <c r="D624" s="200"/>
      <c r="E624" s="217"/>
      <c r="F624" s="1636" t="s">
        <v>72</v>
      </c>
      <c r="G624" s="1637"/>
      <c r="H624" s="1637"/>
      <c r="I624" s="1637"/>
      <c r="J624" s="1638"/>
      <c r="K624" s="116"/>
      <c r="L624" s="270"/>
      <c r="M624" s="87"/>
    </row>
    <row r="625" spans="1:13" ht="18">
      <c r="A625" s="221"/>
      <c r="B625" s="221"/>
      <c r="C625" s="201"/>
      <c r="D625" s="201"/>
      <c r="E625" s="219"/>
      <c r="F625" s="223" t="s">
        <v>23</v>
      </c>
      <c r="G625" s="223" t="s">
        <v>87</v>
      </c>
      <c r="H625" s="223" t="s">
        <v>212</v>
      </c>
      <c r="I625" s="223" t="s">
        <v>80</v>
      </c>
      <c r="J625" s="223" t="s">
        <v>81</v>
      </c>
      <c r="K625" s="116"/>
      <c r="L625" s="270"/>
      <c r="M625" s="87"/>
    </row>
    <row r="626" spans="1:13">
      <c r="A626" s="222"/>
      <c r="B626" s="222"/>
      <c r="C626" s="203"/>
      <c r="D626" s="203"/>
      <c r="E626" s="218"/>
      <c r="F626" s="204" t="s">
        <v>34</v>
      </c>
      <c r="G626" s="204" t="s">
        <v>34</v>
      </c>
      <c r="H626" s="203" t="s">
        <v>34</v>
      </c>
      <c r="I626" s="204" t="s">
        <v>77</v>
      </c>
      <c r="J626" s="204" t="s">
        <v>77</v>
      </c>
      <c r="K626" s="116"/>
      <c r="L626" s="270"/>
      <c r="M626" s="87"/>
    </row>
    <row r="627" spans="1:13">
      <c r="A627" s="202"/>
      <c r="B627" s="200"/>
      <c r="C627" s="200"/>
      <c r="D627" s="200"/>
      <c r="E627" s="217"/>
      <c r="F627" s="205"/>
      <c r="G627" s="205"/>
      <c r="H627" s="201"/>
      <c r="I627" s="205"/>
      <c r="J627" s="205"/>
      <c r="K627" s="116"/>
      <c r="L627" s="270"/>
      <c r="M627" s="87"/>
    </row>
    <row r="628" spans="1:13">
      <c r="A628" s="205" t="str">
        <f>A594</f>
        <v>LC-20</v>
      </c>
      <c r="B628" s="201" t="str">
        <f>B594</f>
        <v>LC-4 + Seismic Sx=0.3,Sz=1,Sy=0.3</v>
      </c>
      <c r="C628" s="201"/>
      <c r="D628" s="201"/>
      <c r="E628" s="219"/>
      <c r="F628" s="1054">
        <f>SUMPRODUCT(F597:F621,$M$597:$M$621)</f>
        <v>1083.8306250294481</v>
      </c>
      <c r="G628" s="1055">
        <f>SUMPRODUCT(G597:G621,$M$597:$M$621)</f>
        <v>47.371124087900562</v>
      </c>
      <c r="H628" s="1055">
        <f>SUMPRODUCT(H597:H621,$M$597:$M$621)</f>
        <v>139.73812844538281</v>
      </c>
      <c r="I628" s="1055">
        <f>SUMPRODUCT(I597:I621,$M$597:$M$621)</f>
        <v>301.28932606001615</v>
      </c>
      <c r="J628" s="1055">
        <f>SUMPRODUCT(J597:J621,$M$597:$M$621)</f>
        <v>920.94292898208346</v>
      </c>
      <c r="K628" s="116"/>
      <c r="L628" s="270"/>
      <c r="M628" s="87"/>
    </row>
    <row r="629" spans="1:13">
      <c r="A629" s="204"/>
      <c r="B629" s="203"/>
      <c r="C629" s="203"/>
      <c r="D629" s="203"/>
      <c r="E629" s="218"/>
      <c r="F629" s="204"/>
      <c r="G629" s="204"/>
      <c r="H629" s="203"/>
      <c r="I629" s="204"/>
      <c r="J629" s="204"/>
      <c r="K629" s="116"/>
      <c r="L629" s="270"/>
      <c r="M629" s="87"/>
    </row>
    <row r="630" spans="1:13">
      <c r="A630" s="1"/>
      <c r="B630" s="1"/>
      <c r="C630" s="1"/>
      <c r="D630" s="1"/>
      <c r="E630" s="1"/>
      <c r="F630" s="1"/>
      <c r="G630" s="1"/>
      <c r="H630" s="1"/>
      <c r="I630" s="1"/>
      <c r="J630" s="1"/>
      <c r="K630" s="1"/>
      <c r="L630" s="1"/>
      <c r="M630" s="1"/>
    </row>
    <row r="631" spans="1:13">
      <c r="A631" s="1"/>
      <c r="B631" s="1"/>
      <c r="C631" s="1"/>
      <c r="D631" s="1"/>
      <c r="E631" s="1"/>
      <c r="F631" s="1"/>
      <c r="G631" s="1"/>
      <c r="H631" s="1"/>
      <c r="I631" s="1"/>
      <c r="J631" s="1"/>
      <c r="K631" s="1"/>
      <c r="L631" s="1"/>
      <c r="M631" s="1"/>
    </row>
    <row r="632" spans="1:13">
      <c r="A632" s="225" t="str">
        <f>M632</f>
        <v>LC-21</v>
      </c>
      <c r="B632" s="24" t="str">
        <f>VLOOKUP(A632,LC_DEF_2!A3:B42,2,FALSE)</f>
        <v>NS HFL Span dislodge case</v>
      </c>
      <c r="C632" s="24"/>
      <c r="D632" s="24"/>
      <c r="E632" s="21"/>
      <c r="F632" s="1599" t="s">
        <v>742</v>
      </c>
      <c r="G632" s="1635"/>
      <c r="H632" s="1635"/>
      <c r="I632" s="1635"/>
      <c r="J632" s="1600"/>
      <c r="K632" s="73"/>
      <c r="L632" s="272"/>
      <c r="M632" s="384" t="s">
        <v>682</v>
      </c>
    </row>
    <row r="633" spans="1:13" ht="18">
      <c r="A633" s="25" t="s">
        <v>73</v>
      </c>
      <c r="B633" s="26" t="s">
        <v>74</v>
      </c>
      <c r="C633" s="26"/>
      <c r="D633" s="26"/>
      <c r="E633" s="27"/>
      <c r="F633" s="33" t="s">
        <v>23</v>
      </c>
      <c r="G633" s="33" t="s">
        <v>87</v>
      </c>
      <c r="H633" s="33" t="s">
        <v>212</v>
      </c>
      <c r="I633" s="33" t="s">
        <v>80</v>
      </c>
      <c r="J633" s="33" t="s">
        <v>81</v>
      </c>
      <c r="K633" s="273"/>
      <c r="L633" s="274"/>
      <c r="M633" s="376"/>
    </row>
    <row r="634" spans="1:13">
      <c r="A634" s="25"/>
      <c r="B634" s="26"/>
      <c r="C634" s="26"/>
      <c r="D634" s="26"/>
      <c r="E634" s="27"/>
      <c r="F634" s="36" t="s">
        <v>34</v>
      </c>
      <c r="G634" s="36" t="s">
        <v>34</v>
      </c>
      <c r="H634" s="36" t="s">
        <v>34</v>
      </c>
      <c r="I634" s="36" t="s">
        <v>77</v>
      </c>
      <c r="J634" s="36" t="s">
        <v>77</v>
      </c>
      <c r="K634" s="74"/>
      <c r="L634" s="277"/>
      <c r="M634" s="655"/>
    </row>
    <row r="635" spans="1:13">
      <c r="A635" s="25" t="s">
        <v>88</v>
      </c>
      <c r="B635" s="26" t="s">
        <v>75</v>
      </c>
      <c r="C635" s="26"/>
      <c r="D635" s="26"/>
      <c r="E635" s="27"/>
      <c r="F635" s="195">
        <f>SHF!F14</f>
        <v>165.42303866482536</v>
      </c>
      <c r="G635" s="210"/>
      <c r="H635" s="34"/>
      <c r="I635" s="195">
        <f>SHF!I14</f>
        <v>0</v>
      </c>
      <c r="J635" s="195">
        <f>SHF!J14</f>
        <v>0</v>
      </c>
      <c r="K635" s="273"/>
      <c r="L635" s="274"/>
      <c r="M635" s="268">
        <v>1.35</v>
      </c>
    </row>
    <row r="636" spans="1:13">
      <c r="A636" s="25" t="s">
        <v>250</v>
      </c>
      <c r="B636" s="26" t="s">
        <v>970</v>
      </c>
      <c r="C636" s="26"/>
      <c r="D636" s="26"/>
      <c r="E636" s="27"/>
      <c r="F636" s="195">
        <f>SHF!F21</f>
        <v>230</v>
      </c>
      <c r="G636" s="210"/>
      <c r="H636" s="34"/>
      <c r="I636" s="195">
        <f>SHF!I21</f>
        <v>115</v>
      </c>
      <c r="J636" s="195">
        <f>SHF!J21</f>
        <v>0</v>
      </c>
      <c r="K636" s="273"/>
      <c r="L636" s="274"/>
      <c r="M636" s="376">
        <v>1.35</v>
      </c>
    </row>
    <row r="637" spans="1:13">
      <c r="A637" s="25" t="s">
        <v>251</v>
      </c>
      <c r="B637" s="26" t="s">
        <v>971</v>
      </c>
      <c r="C637" s="26"/>
      <c r="D637" s="26"/>
      <c r="E637" s="27"/>
      <c r="F637" s="195">
        <f>SHF!F22</f>
        <v>20.660000000000004</v>
      </c>
      <c r="G637" s="210"/>
      <c r="H637" s="34"/>
      <c r="I637" s="195">
        <f>SHF!I22</f>
        <v>10.330000000000002</v>
      </c>
      <c r="J637" s="195">
        <f>SHF!J22</f>
        <v>0</v>
      </c>
      <c r="K637" s="273"/>
      <c r="L637" s="274"/>
      <c r="M637" s="376">
        <v>1.35</v>
      </c>
    </row>
    <row r="638" spans="1:13">
      <c r="A638" s="25" t="s">
        <v>97</v>
      </c>
      <c r="B638" s="26" t="s">
        <v>972</v>
      </c>
      <c r="C638" s="26"/>
      <c r="D638" s="26"/>
      <c r="E638" s="27"/>
      <c r="F638" s="195">
        <f>SHF!F23</f>
        <v>42</v>
      </c>
      <c r="G638" s="210"/>
      <c r="H638" s="34"/>
      <c r="I638" s="195">
        <f>SHF!I23</f>
        <v>14.858499999999999</v>
      </c>
      <c r="J638" s="195">
        <f>SHF!J23</f>
        <v>0</v>
      </c>
      <c r="K638" s="273"/>
      <c r="L638" s="274"/>
      <c r="M638" s="376">
        <v>1.75</v>
      </c>
    </row>
    <row r="639" spans="1:13">
      <c r="A639" s="25" t="s">
        <v>987</v>
      </c>
      <c r="B639" s="163" t="s">
        <v>957</v>
      </c>
      <c r="C639" s="26"/>
      <c r="D639" s="26"/>
      <c r="E639" s="27"/>
      <c r="F639" s="34"/>
      <c r="G639" s="195">
        <f>SHF!G38</f>
        <v>14.632999999999999</v>
      </c>
      <c r="H639" s="34"/>
      <c r="I639" s="195">
        <f>SHF!I38</f>
        <v>94.821840000000009</v>
      </c>
      <c r="J639" s="34"/>
      <c r="K639" s="273"/>
      <c r="L639" s="274"/>
      <c r="M639" s="376">
        <v>1.5</v>
      </c>
    </row>
    <row r="640" spans="1:13">
      <c r="A640" s="686" t="s">
        <v>1128</v>
      </c>
      <c r="B640" s="687"/>
      <c r="C640" s="688"/>
      <c r="D640" s="688"/>
      <c r="E640" s="689"/>
      <c r="F640" s="195">
        <f>SHF!F40</f>
        <v>-23.695433333970961</v>
      </c>
      <c r="G640" s="689"/>
      <c r="H640" s="690"/>
      <c r="I640" s="195">
        <f>SHF!I40</f>
        <v>0</v>
      </c>
      <c r="J640" s="195">
        <f>SHF!J40</f>
        <v>0</v>
      </c>
      <c r="K640" s="273"/>
      <c r="L640" s="274"/>
      <c r="M640" s="376">
        <v>0.15</v>
      </c>
    </row>
    <row r="641" spans="1:13">
      <c r="A641" s="686" t="s">
        <v>1131</v>
      </c>
      <c r="B641" s="687"/>
      <c r="C641" s="688"/>
      <c r="D641" s="688"/>
      <c r="E641" s="689"/>
      <c r="F641" s="690"/>
      <c r="G641" s="195">
        <f>SHF!G44</f>
        <v>1.566445545112501</v>
      </c>
      <c r="H641" s="195">
        <f>SHF!H44</f>
        <v>0.77082515176153144</v>
      </c>
      <c r="I641" s="195">
        <f>SHF!I44</f>
        <v>2.5854696423507204</v>
      </c>
      <c r="J641" s="195">
        <f>SHF!J44</f>
        <v>1.2722721422765415</v>
      </c>
      <c r="K641" s="273"/>
      <c r="L641" s="274"/>
      <c r="M641" s="376">
        <v>1</v>
      </c>
    </row>
    <row r="642" spans="1:13">
      <c r="A642" s="253"/>
      <c r="B642" s="15"/>
      <c r="C642" s="15"/>
      <c r="D642" s="15"/>
      <c r="E642" s="22"/>
      <c r="F642" s="212"/>
      <c r="G642" s="213"/>
      <c r="H642" s="198"/>
      <c r="I642" s="198"/>
      <c r="J642" s="58"/>
      <c r="K642" s="74"/>
      <c r="L642" s="277"/>
      <c r="M642" s="379"/>
    </row>
    <row r="643" spans="1:13">
      <c r="A643" s="46"/>
      <c r="B643" s="46"/>
      <c r="C643" s="46"/>
      <c r="D643" s="46"/>
      <c r="E643" s="46"/>
      <c r="F643" s="46"/>
      <c r="G643" s="46"/>
      <c r="H643" s="46"/>
      <c r="I643" s="46"/>
      <c r="J643" s="46"/>
      <c r="K643" s="116"/>
      <c r="L643" s="270"/>
      <c r="M643" s="87"/>
    </row>
    <row r="644" spans="1:13">
      <c r="A644" s="220" t="s">
        <v>73</v>
      </c>
      <c r="B644" s="220" t="s">
        <v>74</v>
      </c>
      <c r="C644" s="200"/>
      <c r="D644" s="200"/>
      <c r="E644" s="217"/>
      <c r="F644" s="1636" t="s">
        <v>72</v>
      </c>
      <c r="G644" s="1637"/>
      <c r="H644" s="1637"/>
      <c r="I644" s="1637"/>
      <c r="J644" s="1638"/>
      <c r="K644" s="116"/>
      <c r="L644" s="270"/>
      <c r="M644" s="87"/>
    </row>
    <row r="645" spans="1:13" ht="18">
      <c r="A645" s="221"/>
      <c r="B645" s="221"/>
      <c r="C645" s="201"/>
      <c r="D645" s="201"/>
      <c r="E645" s="219"/>
      <c r="F645" s="223" t="s">
        <v>23</v>
      </c>
      <c r="G645" s="223" t="s">
        <v>87</v>
      </c>
      <c r="H645" s="223" t="s">
        <v>212</v>
      </c>
      <c r="I645" s="223" t="s">
        <v>80</v>
      </c>
      <c r="J645" s="223" t="s">
        <v>81</v>
      </c>
      <c r="K645" s="116"/>
      <c r="L645" s="270"/>
      <c r="M645" s="87"/>
    </row>
    <row r="646" spans="1:13">
      <c r="A646" s="222"/>
      <c r="B646" s="222"/>
      <c r="C646" s="203"/>
      <c r="D646" s="203"/>
      <c r="E646" s="218"/>
      <c r="F646" s="204" t="s">
        <v>34</v>
      </c>
      <c r="G646" s="204" t="s">
        <v>34</v>
      </c>
      <c r="H646" s="203" t="s">
        <v>34</v>
      </c>
      <c r="I646" s="204" t="s">
        <v>77</v>
      </c>
      <c r="J646" s="204" t="s">
        <v>77</v>
      </c>
      <c r="K646" s="116"/>
      <c r="L646" s="270"/>
      <c r="M646" s="87"/>
    </row>
    <row r="647" spans="1:13">
      <c r="A647" s="202"/>
      <c r="B647" s="200"/>
      <c r="C647" s="200"/>
      <c r="D647" s="200"/>
      <c r="E647" s="217"/>
      <c r="F647" s="205"/>
      <c r="G647" s="205"/>
      <c r="H647" s="201"/>
      <c r="I647" s="205"/>
      <c r="J647" s="205"/>
      <c r="K647" s="116"/>
      <c r="L647" s="270"/>
      <c r="M647" s="87"/>
    </row>
    <row r="648" spans="1:13">
      <c r="A648" s="205" t="str">
        <f>A632</f>
        <v>LC-21</v>
      </c>
      <c r="B648" s="201" t="str">
        <f>B632</f>
        <v>NS HFL Span dislodge case</v>
      </c>
      <c r="C648" s="201"/>
      <c r="D648" s="201"/>
      <c r="E648" s="219"/>
      <c r="F648" s="1054">
        <f>SUMPRODUCT(F635:F641,$M$635:$M$641)</f>
        <v>631.65778719741854</v>
      </c>
      <c r="G648" s="1055">
        <f>SUMPRODUCT(G635:G641,$M$635:$M$641)</f>
        <v>23.515945545112501</v>
      </c>
      <c r="H648" s="1055">
        <f>SUMPRODUCT(H635:H641,$M$635:$M$641)</f>
        <v>0.77082515176153144</v>
      </c>
      <c r="I648" s="1055">
        <f>SUMPRODUCT(I635:I641,$M$635:$M$641)</f>
        <v>340.0161046423508</v>
      </c>
      <c r="J648" s="1055">
        <f>SUMPRODUCT(J635:J641,$M$635:$M$641)</f>
        <v>1.2722721422765415</v>
      </c>
      <c r="K648" s="116"/>
      <c r="L648" s="270"/>
      <c r="M648" s="87"/>
    </row>
    <row r="649" spans="1:13">
      <c r="A649" s="204"/>
      <c r="B649" s="203"/>
      <c r="C649" s="203"/>
      <c r="D649" s="203"/>
      <c r="E649" s="218"/>
      <c r="F649" s="204"/>
      <c r="G649" s="204"/>
      <c r="H649" s="203"/>
      <c r="I649" s="204"/>
      <c r="J649" s="204"/>
      <c r="K649" s="116"/>
      <c r="L649" s="270"/>
      <c r="M649" s="87"/>
    </row>
    <row r="650" spans="1:13">
      <c r="A650" s="1"/>
      <c r="B650" s="1"/>
      <c r="C650" s="1"/>
      <c r="D650" s="1"/>
      <c r="E650" s="1"/>
      <c r="F650" s="1"/>
      <c r="G650" s="1"/>
      <c r="H650" s="1"/>
      <c r="I650" s="1"/>
      <c r="J650" s="1"/>
      <c r="K650" s="1"/>
      <c r="L650" s="1"/>
      <c r="M650" s="1"/>
    </row>
    <row r="651" spans="1:13">
      <c r="A651" s="1"/>
      <c r="B651" s="1"/>
      <c r="C651" s="1"/>
      <c r="D651" s="1"/>
      <c r="E651" s="1"/>
      <c r="F651" s="1"/>
      <c r="G651" s="1"/>
      <c r="H651" s="1"/>
      <c r="I651" s="1"/>
      <c r="J651" s="1"/>
      <c r="K651" s="1"/>
      <c r="L651" s="1"/>
      <c r="M651" s="1"/>
    </row>
    <row r="652" spans="1:13">
      <c r="A652" s="225" t="str">
        <f>M652</f>
        <v>LC-22</v>
      </c>
      <c r="B652" s="24" t="str">
        <f>VLOOKUP(A652,LC_DEF_2!A3:B42,2,FALSE)</f>
        <v>NS HFL No Live load</v>
      </c>
      <c r="C652" s="24"/>
      <c r="D652" s="24"/>
      <c r="E652" s="21"/>
      <c r="F652" s="1599" t="s">
        <v>742</v>
      </c>
      <c r="G652" s="1635"/>
      <c r="H652" s="1635"/>
      <c r="I652" s="1635"/>
      <c r="J652" s="1600"/>
      <c r="K652" s="73"/>
      <c r="L652" s="272"/>
      <c r="M652" s="384" t="s">
        <v>683</v>
      </c>
    </row>
    <row r="653" spans="1:13" ht="18">
      <c r="A653" s="25" t="s">
        <v>73</v>
      </c>
      <c r="B653" s="26" t="s">
        <v>74</v>
      </c>
      <c r="C653" s="26"/>
      <c r="D653" s="26"/>
      <c r="E653" s="27"/>
      <c r="F653" s="33" t="s">
        <v>23</v>
      </c>
      <c r="G653" s="33" t="s">
        <v>87</v>
      </c>
      <c r="H653" s="33" t="s">
        <v>212</v>
      </c>
      <c r="I653" s="33" t="s">
        <v>80</v>
      </c>
      <c r="J653" s="33" t="s">
        <v>81</v>
      </c>
      <c r="K653" s="273"/>
      <c r="L653" s="274"/>
      <c r="M653" s="376"/>
    </row>
    <row r="654" spans="1:13">
      <c r="A654" s="25"/>
      <c r="B654" s="26"/>
      <c r="C654" s="26"/>
      <c r="D654" s="26"/>
      <c r="E654" s="27"/>
      <c r="F654" s="36" t="s">
        <v>34</v>
      </c>
      <c r="G654" s="36" t="s">
        <v>34</v>
      </c>
      <c r="H654" s="36" t="s">
        <v>34</v>
      </c>
      <c r="I654" s="36" t="s">
        <v>77</v>
      </c>
      <c r="J654" s="36" t="s">
        <v>77</v>
      </c>
      <c r="K654" s="74"/>
      <c r="L654" s="277"/>
      <c r="M654" s="655"/>
    </row>
    <row r="655" spans="1:13">
      <c r="A655" s="25" t="s">
        <v>88</v>
      </c>
      <c r="B655" s="26" t="s">
        <v>75</v>
      </c>
      <c r="C655" s="26"/>
      <c r="D655" s="26"/>
      <c r="E655" s="27"/>
      <c r="F655" s="195">
        <f>SHF!F14</f>
        <v>165.42303866482536</v>
      </c>
      <c r="G655" s="210"/>
      <c r="H655" s="34"/>
      <c r="I655" s="195">
        <f>SHF!I14</f>
        <v>0</v>
      </c>
      <c r="J655" s="195">
        <f>SHF!J14</f>
        <v>0</v>
      </c>
      <c r="K655" s="273"/>
      <c r="L655" s="274"/>
      <c r="M655" s="268">
        <v>1.35</v>
      </c>
    </row>
    <row r="656" spans="1:13">
      <c r="A656" s="25" t="s">
        <v>250</v>
      </c>
      <c r="B656" s="26" t="s">
        <v>967</v>
      </c>
      <c r="C656" s="26"/>
      <c r="D656" s="26"/>
      <c r="E656" s="27"/>
      <c r="F656" s="195">
        <f>SHF!F17</f>
        <v>230</v>
      </c>
      <c r="G656" s="210"/>
      <c r="H656" s="34"/>
      <c r="I656" s="195">
        <f>SHF!I17</f>
        <v>-115</v>
      </c>
      <c r="J656" s="195">
        <f>SHF!J17</f>
        <v>0</v>
      </c>
      <c r="K656" s="273"/>
      <c r="L656" s="274"/>
      <c r="M656" s="268">
        <v>1.35</v>
      </c>
    </row>
    <row r="657" spans="1:13">
      <c r="A657" s="25" t="s">
        <v>251</v>
      </c>
      <c r="B657" s="26" t="s">
        <v>968</v>
      </c>
      <c r="C657" s="26"/>
      <c r="D657" s="26"/>
      <c r="E657" s="27"/>
      <c r="F657" s="195">
        <f>SHF!F18</f>
        <v>20.660000000000004</v>
      </c>
      <c r="G657" s="210"/>
      <c r="H657" s="34"/>
      <c r="I657" s="195">
        <f>SHF!I18</f>
        <v>-10.330000000000002</v>
      </c>
      <c r="J657" s="195">
        <f>SHF!J18</f>
        <v>0</v>
      </c>
      <c r="K657" s="273"/>
      <c r="L657" s="274"/>
      <c r="M657" s="268">
        <v>1.35</v>
      </c>
    </row>
    <row r="658" spans="1:13">
      <c r="A658" s="25" t="s">
        <v>97</v>
      </c>
      <c r="B658" s="26" t="s">
        <v>969</v>
      </c>
      <c r="C658" s="26"/>
      <c r="D658" s="26"/>
      <c r="E658" s="27"/>
      <c r="F658" s="195">
        <f>SHF!F19</f>
        <v>42</v>
      </c>
      <c r="G658" s="210"/>
      <c r="H658" s="34"/>
      <c r="I658" s="195">
        <f>SHF!I19</f>
        <v>-14.858499999999999</v>
      </c>
      <c r="J658" s="195">
        <f>SHF!J19</f>
        <v>0</v>
      </c>
      <c r="K658" s="273"/>
      <c r="L658" s="274"/>
      <c r="M658" s="268">
        <v>1.35</v>
      </c>
    </row>
    <row r="659" spans="1:13">
      <c r="A659" s="25" t="s">
        <v>250</v>
      </c>
      <c r="B659" s="26" t="s">
        <v>970</v>
      </c>
      <c r="C659" s="26"/>
      <c r="D659" s="26"/>
      <c r="E659" s="27"/>
      <c r="F659" s="195">
        <f>SHF!F21</f>
        <v>230</v>
      </c>
      <c r="G659" s="210"/>
      <c r="H659" s="34"/>
      <c r="I659" s="195">
        <f>SHF!I21</f>
        <v>115</v>
      </c>
      <c r="J659" s="195">
        <f>SHF!J21</f>
        <v>0</v>
      </c>
      <c r="K659" s="273"/>
      <c r="L659" s="274"/>
      <c r="M659" s="376">
        <v>1.35</v>
      </c>
    </row>
    <row r="660" spans="1:13">
      <c r="A660" s="25" t="s">
        <v>251</v>
      </c>
      <c r="B660" s="26" t="s">
        <v>971</v>
      </c>
      <c r="C660" s="26"/>
      <c r="D660" s="26"/>
      <c r="E660" s="27"/>
      <c r="F660" s="195">
        <f>SHF!F22</f>
        <v>20.660000000000004</v>
      </c>
      <c r="G660" s="210"/>
      <c r="H660" s="34"/>
      <c r="I660" s="195">
        <f>SHF!I22</f>
        <v>10.330000000000002</v>
      </c>
      <c r="J660" s="195">
        <f>SHF!J22</f>
        <v>0</v>
      </c>
      <c r="K660" s="273"/>
      <c r="L660" s="274"/>
      <c r="M660" s="376">
        <v>1.35</v>
      </c>
    </row>
    <row r="661" spans="1:13">
      <c r="A661" s="25" t="s">
        <v>97</v>
      </c>
      <c r="B661" s="26" t="s">
        <v>972</v>
      </c>
      <c r="C661" s="26"/>
      <c r="D661" s="26"/>
      <c r="E661" s="27"/>
      <c r="F661" s="195">
        <f>SHF!F23</f>
        <v>42</v>
      </c>
      <c r="G661" s="210"/>
      <c r="H661" s="34"/>
      <c r="I661" s="195">
        <f>SHF!I23</f>
        <v>14.858499999999999</v>
      </c>
      <c r="J661" s="195">
        <f>SHF!J23</f>
        <v>0</v>
      </c>
      <c r="K661" s="273"/>
      <c r="L661" s="274"/>
      <c r="M661" s="376">
        <v>1.75</v>
      </c>
    </row>
    <row r="662" spans="1:13">
      <c r="A662" s="25" t="s">
        <v>986</v>
      </c>
      <c r="B662" s="163" t="s">
        <v>955</v>
      </c>
      <c r="C662" s="26"/>
      <c r="D662" s="26"/>
      <c r="E662" s="27"/>
      <c r="F662" s="34"/>
      <c r="G662" s="195">
        <f>SHF!G37</f>
        <v>5.8532000000000011</v>
      </c>
      <c r="H662" s="34"/>
      <c r="I662" s="195">
        <f>SHF!I37</f>
        <v>37.928736000000015</v>
      </c>
      <c r="J662" s="34"/>
      <c r="K662" s="273"/>
      <c r="L662" s="274"/>
      <c r="M662" s="376">
        <v>1.5</v>
      </c>
    </row>
    <row r="663" spans="1:13">
      <c r="A663" s="686" t="s">
        <v>1128</v>
      </c>
      <c r="B663" s="687"/>
      <c r="C663" s="688"/>
      <c r="D663" s="688"/>
      <c r="E663" s="689"/>
      <c r="F663" s="195">
        <f>SHF!F40</f>
        <v>-23.695433333970961</v>
      </c>
      <c r="G663" s="689"/>
      <c r="H663" s="690"/>
      <c r="I663" s="195">
        <f>SHF!I40</f>
        <v>0</v>
      </c>
      <c r="J663" s="195">
        <f>SHF!J40</f>
        <v>0</v>
      </c>
      <c r="K663" s="273"/>
      <c r="L663" s="274"/>
      <c r="M663" s="376">
        <v>0.15</v>
      </c>
    </row>
    <row r="664" spans="1:13">
      <c r="A664" s="686" t="s">
        <v>1131</v>
      </c>
      <c r="B664" s="687"/>
      <c r="C664" s="688"/>
      <c r="D664" s="688"/>
      <c r="E664" s="689"/>
      <c r="F664" s="690"/>
      <c r="G664" s="195">
        <f>SHF!G44</f>
        <v>1.566445545112501</v>
      </c>
      <c r="H664" s="195">
        <f>SHF!H44</f>
        <v>0.77082515176153144</v>
      </c>
      <c r="I664" s="195">
        <f>SHF!I44</f>
        <v>2.5854696423507204</v>
      </c>
      <c r="J664" s="195">
        <f>SHF!J44</f>
        <v>1.2722721422765415</v>
      </c>
      <c r="K664" s="273"/>
      <c r="L664" s="274"/>
      <c r="M664" s="376">
        <v>1</v>
      </c>
    </row>
    <row r="665" spans="1:13">
      <c r="A665" s="253"/>
      <c r="B665" s="15"/>
      <c r="C665" s="15"/>
      <c r="D665" s="15"/>
      <c r="E665" s="22"/>
      <c r="F665" s="212"/>
      <c r="G665" s="213"/>
      <c r="H665" s="198"/>
      <c r="I665" s="198"/>
      <c r="J665" s="58"/>
      <c r="K665" s="74"/>
      <c r="L665" s="277"/>
      <c r="M665" s="379"/>
    </row>
    <row r="666" spans="1:13">
      <c r="A666" s="46"/>
      <c r="B666" s="46"/>
      <c r="C666" s="46"/>
      <c r="D666" s="46"/>
      <c r="E666" s="46"/>
      <c r="F666" s="46"/>
      <c r="G666" s="46"/>
      <c r="H666" s="46"/>
      <c r="I666" s="46"/>
      <c r="J666" s="46"/>
      <c r="K666" s="116"/>
      <c r="L666" s="270"/>
      <c r="M666" s="87"/>
    </row>
    <row r="667" spans="1:13">
      <c r="A667" s="220" t="s">
        <v>73</v>
      </c>
      <c r="B667" s="220" t="s">
        <v>74</v>
      </c>
      <c r="C667" s="200"/>
      <c r="D667" s="200"/>
      <c r="E667" s="217"/>
      <c r="F667" s="1636" t="s">
        <v>72</v>
      </c>
      <c r="G667" s="1637"/>
      <c r="H667" s="1637"/>
      <c r="I667" s="1637"/>
      <c r="J667" s="1638"/>
      <c r="K667" s="116"/>
      <c r="L667" s="270"/>
      <c r="M667" s="87"/>
    </row>
    <row r="668" spans="1:13" ht="18">
      <c r="A668" s="221"/>
      <c r="B668" s="221"/>
      <c r="C668" s="201"/>
      <c r="D668" s="201"/>
      <c r="E668" s="219"/>
      <c r="F668" s="223" t="s">
        <v>23</v>
      </c>
      <c r="G668" s="223" t="s">
        <v>87</v>
      </c>
      <c r="H668" s="223" t="s">
        <v>212</v>
      </c>
      <c r="I668" s="223" t="s">
        <v>80</v>
      </c>
      <c r="J668" s="223" t="s">
        <v>81</v>
      </c>
      <c r="K668" s="116"/>
      <c r="L668" s="270"/>
      <c r="M668" s="87"/>
    </row>
    <row r="669" spans="1:13">
      <c r="A669" s="222"/>
      <c r="B669" s="222"/>
      <c r="C669" s="203"/>
      <c r="D669" s="203"/>
      <c r="E669" s="218"/>
      <c r="F669" s="204" t="s">
        <v>34</v>
      </c>
      <c r="G669" s="204" t="s">
        <v>34</v>
      </c>
      <c r="H669" s="203" t="s">
        <v>34</v>
      </c>
      <c r="I669" s="204" t="s">
        <v>77</v>
      </c>
      <c r="J669" s="204" t="s">
        <v>77</v>
      </c>
      <c r="K669" s="116"/>
      <c r="L669" s="270"/>
      <c r="M669" s="87"/>
    </row>
    <row r="670" spans="1:13">
      <c r="A670" s="202"/>
      <c r="B670" s="200"/>
      <c r="C670" s="200"/>
      <c r="D670" s="200"/>
      <c r="E670" s="217"/>
      <c r="F670" s="205"/>
      <c r="G670" s="205"/>
      <c r="H670" s="201"/>
      <c r="I670" s="205"/>
      <c r="J670" s="205"/>
      <c r="K670" s="116"/>
      <c r="L670" s="270"/>
      <c r="M670" s="87"/>
    </row>
    <row r="671" spans="1:13">
      <c r="A671" s="205" t="str">
        <f>A652</f>
        <v>LC-22</v>
      </c>
      <c r="B671" s="201" t="str">
        <f>B652</f>
        <v>NS HFL No Live load</v>
      </c>
      <c r="C671" s="201"/>
      <c r="D671" s="201"/>
      <c r="E671" s="219"/>
      <c r="F671" s="1054">
        <f>SUMPRODUCT(F655:F664,$M$655:$M$664)</f>
        <v>1026.7487871974188</v>
      </c>
      <c r="G671" s="1055">
        <f>SUMPRODUCT(G655:G664,$M$655:$M$664)</f>
        <v>10.346245545112502</v>
      </c>
      <c r="H671" s="1055">
        <f>SUMPRODUCT(H655:H664,$M$655:$M$664)</f>
        <v>0.77082515176153144</v>
      </c>
      <c r="I671" s="1055">
        <f>SUMPRODUCT(I655:I664,$M$655:$M$664)</f>
        <v>65.421973642350736</v>
      </c>
      <c r="J671" s="1055">
        <f>SUMPRODUCT(J655:J664,$M$655:$M$664)</f>
        <v>1.2722721422765415</v>
      </c>
      <c r="K671" s="116"/>
      <c r="L671" s="270"/>
      <c r="M671" s="87"/>
    </row>
    <row r="672" spans="1:13">
      <c r="A672" s="204"/>
      <c r="B672" s="203"/>
      <c r="C672" s="203"/>
      <c r="D672" s="203"/>
      <c r="E672" s="218"/>
      <c r="F672" s="204"/>
      <c r="G672" s="204"/>
      <c r="H672" s="203"/>
      <c r="I672" s="204"/>
      <c r="J672" s="204"/>
      <c r="K672" s="116"/>
      <c r="L672" s="270"/>
      <c r="M672" s="87"/>
    </row>
    <row r="673" spans="1:13">
      <c r="A673" s="1"/>
      <c r="B673" s="1"/>
      <c r="C673" s="1"/>
      <c r="D673" s="1"/>
      <c r="E673" s="1"/>
      <c r="F673" s="1"/>
      <c r="G673" s="1"/>
      <c r="H673" s="1"/>
      <c r="I673" s="1"/>
      <c r="J673" s="1"/>
      <c r="K673" s="1"/>
      <c r="L673" s="1"/>
      <c r="M673" s="1"/>
    </row>
    <row r="674" spans="1:13">
      <c r="A674" s="1"/>
      <c r="B674" s="1"/>
      <c r="C674" s="1"/>
      <c r="D674" s="1"/>
      <c r="E674" s="1"/>
      <c r="F674" s="1"/>
      <c r="G674" s="1"/>
      <c r="H674" s="1"/>
      <c r="I674" s="1"/>
      <c r="J674" s="1"/>
      <c r="K674" s="1"/>
      <c r="L674" s="1"/>
      <c r="M674" s="1"/>
    </row>
    <row r="675" spans="1:13">
      <c r="A675" s="225" t="str">
        <f>M675</f>
        <v>LC-23</v>
      </c>
      <c r="B675" s="24" t="str">
        <f>VLOOKUP(A675,LC_DEF_2!A3:B42,2,FALSE)</f>
        <v>NS HFL With LL max reaction case</v>
      </c>
      <c r="C675" s="24"/>
      <c r="D675" s="24"/>
      <c r="E675" s="21"/>
      <c r="F675" s="1599" t="s">
        <v>742</v>
      </c>
      <c r="G675" s="1635"/>
      <c r="H675" s="1635"/>
      <c r="I675" s="1635"/>
      <c r="J675" s="1600"/>
      <c r="K675" s="73"/>
      <c r="L675" s="272"/>
      <c r="M675" s="384" t="s">
        <v>245</v>
      </c>
    </row>
    <row r="676" spans="1:13" ht="18">
      <c r="A676" s="25" t="s">
        <v>73</v>
      </c>
      <c r="B676" s="26" t="s">
        <v>74</v>
      </c>
      <c r="C676" s="26"/>
      <c r="D676" s="26"/>
      <c r="E676" s="27"/>
      <c r="F676" s="33" t="s">
        <v>23</v>
      </c>
      <c r="G676" s="33" t="s">
        <v>87</v>
      </c>
      <c r="H676" s="33" t="s">
        <v>212</v>
      </c>
      <c r="I676" s="33" t="s">
        <v>80</v>
      </c>
      <c r="J676" s="33" t="s">
        <v>81</v>
      </c>
      <c r="K676" s="273"/>
      <c r="L676" s="274"/>
      <c r="M676" s="376"/>
    </row>
    <row r="677" spans="1:13">
      <c r="A677" s="25"/>
      <c r="B677" s="26"/>
      <c r="C677" s="26"/>
      <c r="D677" s="26"/>
      <c r="E677" s="27"/>
      <c r="F677" s="36" t="s">
        <v>34</v>
      </c>
      <c r="G677" s="36" t="s">
        <v>34</v>
      </c>
      <c r="H677" s="36" t="s">
        <v>34</v>
      </c>
      <c r="I677" s="36" t="s">
        <v>77</v>
      </c>
      <c r="J677" s="36" t="s">
        <v>77</v>
      </c>
      <c r="K677" s="74"/>
      <c r="L677" s="277"/>
      <c r="M677" s="655"/>
    </row>
    <row r="678" spans="1:13">
      <c r="A678" s="25" t="s">
        <v>88</v>
      </c>
      <c r="B678" s="26" t="s">
        <v>75</v>
      </c>
      <c r="C678" s="26"/>
      <c r="D678" s="26"/>
      <c r="E678" s="27"/>
      <c r="F678" s="195">
        <f>SHF!F14</f>
        <v>165.42303866482536</v>
      </c>
      <c r="G678" s="210"/>
      <c r="H678" s="34"/>
      <c r="I678" s="195">
        <f>SHF!I14</f>
        <v>0</v>
      </c>
      <c r="J678" s="195">
        <f>SHF!J14</f>
        <v>0</v>
      </c>
      <c r="K678" s="273"/>
      <c r="L678" s="274"/>
      <c r="M678" s="268">
        <v>1.35</v>
      </c>
    </row>
    <row r="679" spans="1:13">
      <c r="A679" s="25" t="s">
        <v>250</v>
      </c>
      <c r="B679" s="26" t="s">
        <v>967</v>
      </c>
      <c r="C679" s="26"/>
      <c r="D679" s="26"/>
      <c r="E679" s="27"/>
      <c r="F679" s="195">
        <f>SHF!F17</f>
        <v>230</v>
      </c>
      <c r="G679" s="210"/>
      <c r="H679" s="34"/>
      <c r="I679" s="195">
        <f>SHF!I17</f>
        <v>-115</v>
      </c>
      <c r="J679" s="195">
        <f>SHF!J17</f>
        <v>0</v>
      </c>
      <c r="K679" s="273"/>
      <c r="L679" s="274"/>
      <c r="M679" s="268">
        <v>1.35</v>
      </c>
    </row>
    <row r="680" spans="1:13">
      <c r="A680" s="25" t="s">
        <v>251</v>
      </c>
      <c r="B680" s="26" t="s">
        <v>968</v>
      </c>
      <c r="C680" s="26"/>
      <c r="D680" s="26"/>
      <c r="E680" s="27"/>
      <c r="F680" s="195">
        <f>SHF!F18</f>
        <v>20.660000000000004</v>
      </c>
      <c r="G680" s="210"/>
      <c r="H680" s="34"/>
      <c r="I680" s="195">
        <f>SHF!I18</f>
        <v>-10.330000000000002</v>
      </c>
      <c r="J680" s="195">
        <f>SHF!J18</f>
        <v>0</v>
      </c>
      <c r="K680" s="273"/>
      <c r="L680" s="274"/>
      <c r="M680" s="268">
        <v>1.35</v>
      </c>
    </row>
    <row r="681" spans="1:13">
      <c r="A681" s="25" t="s">
        <v>97</v>
      </c>
      <c r="B681" s="26" t="s">
        <v>969</v>
      </c>
      <c r="C681" s="26"/>
      <c r="D681" s="26"/>
      <c r="E681" s="27"/>
      <c r="F681" s="195">
        <f>SHF!F19</f>
        <v>42</v>
      </c>
      <c r="G681" s="210"/>
      <c r="H681" s="34"/>
      <c r="I681" s="195">
        <f>SHF!I19</f>
        <v>-14.858499999999999</v>
      </c>
      <c r="J681" s="195">
        <f>SHF!J19</f>
        <v>0</v>
      </c>
      <c r="K681" s="273"/>
      <c r="L681" s="274"/>
      <c r="M681" s="268">
        <v>1.35</v>
      </c>
    </row>
    <row r="682" spans="1:13">
      <c r="A682" s="25" t="s">
        <v>250</v>
      </c>
      <c r="B682" s="26" t="s">
        <v>970</v>
      </c>
      <c r="C682" s="26"/>
      <c r="D682" s="26"/>
      <c r="E682" s="27"/>
      <c r="F682" s="195">
        <f>SHF!F21</f>
        <v>230</v>
      </c>
      <c r="G682" s="210"/>
      <c r="H682" s="34"/>
      <c r="I682" s="195">
        <f>SHF!I21</f>
        <v>115</v>
      </c>
      <c r="J682" s="195">
        <f>SHF!J21</f>
        <v>0</v>
      </c>
      <c r="K682" s="273"/>
      <c r="L682" s="274"/>
      <c r="M682" s="376">
        <v>1.35</v>
      </c>
    </row>
    <row r="683" spans="1:13">
      <c r="A683" s="25" t="s">
        <v>251</v>
      </c>
      <c r="B683" s="26" t="s">
        <v>971</v>
      </c>
      <c r="C683" s="26"/>
      <c r="D683" s="26"/>
      <c r="E683" s="27"/>
      <c r="F683" s="195">
        <f>SHF!F22</f>
        <v>20.660000000000004</v>
      </c>
      <c r="G683" s="210"/>
      <c r="H683" s="34"/>
      <c r="I683" s="195">
        <f>SHF!I22</f>
        <v>10.330000000000002</v>
      </c>
      <c r="J683" s="195">
        <f>SHF!J22</f>
        <v>0</v>
      </c>
      <c r="K683" s="273"/>
      <c r="L683" s="274"/>
      <c r="M683" s="376">
        <v>1.35</v>
      </c>
    </row>
    <row r="684" spans="1:13">
      <c r="A684" s="25" t="s">
        <v>97</v>
      </c>
      <c r="B684" s="26" t="s">
        <v>972</v>
      </c>
      <c r="C684" s="26"/>
      <c r="D684" s="26"/>
      <c r="E684" s="27"/>
      <c r="F684" s="195">
        <f>SHF!F23</f>
        <v>42</v>
      </c>
      <c r="G684" s="210"/>
      <c r="H684" s="34"/>
      <c r="I684" s="195">
        <f>SHF!I23</f>
        <v>14.858499999999999</v>
      </c>
      <c r="J684" s="195">
        <f>SHF!J23</f>
        <v>0</v>
      </c>
      <c r="K684" s="273"/>
      <c r="L684" s="274"/>
      <c r="M684" s="376">
        <v>1.75</v>
      </c>
    </row>
    <row r="685" spans="1:13">
      <c r="A685" s="25" t="s">
        <v>976</v>
      </c>
      <c r="B685" s="26" t="s">
        <v>978</v>
      </c>
      <c r="C685" s="26"/>
      <c r="D685" s="26"/>
      <c r="E685" s="27"/>
      <c r="F685" s="195">
        <f>SHF!F27</f>
        <v>65.160399999999996</v>
      </c>
      <c r="G685" s="210"/>
      <c r="H685" s="34"/>
      <c r="I685" s="195">
        <f>SHF!I27</f>
        <v>-32.580199999999998</v>
      </c>
      <c r="J685" s="195">
        <f>SHF!J27</f>
        <v>-10.105732306306301</v>
      </c>
      <c r="K685" s="273"/>
      <c r="L685" s="274"/>
      <c r="M685" s="268">
        <v>1.5</v>
      </c>
    </row>
    <row r="686" spans="1:13">
      <c r="A686" s="25" t="s">
        <v>977</v>
      </c>
      <c r="B686" s="26" t="s">
        <v>979</v>
      </c>
      <c r="C686" s="26"/>
      <c r="D686" s="26"/>
      <c r="E686" s="27"/>
      <c r="F686" s="195">
        <f>SHF!F28</f>
        <v>75.185314285714313</v>
      </c>
      <c r="G686" s="210"/>
      <c r="H686" s="34"/>
      <c r="I686" s="195">
        <f>SHF!I28</f>
        <v>37.592657142857156</v>
      </c>
      <c r="J686" s="195">
        <f>SHF!J28</f>
        <v>-11.660497166023164</v>
      </c>
      <c r="K686" s="273"/>
      <c r="L686" s="274"/>
      <c r="M686" s="268">
        <v>1.5</v>
      </c>
    </row>
    <row r="687" spans="1:13">
      <c r="A687" s="25" t="s">
        <v>984</v>
      </c>
      <c r="B687" s="163" t="s">
        <v>951</v>
      </c>
      <c r="C687" s="26"/>
      <c r="D687" s="26"/>
      <c r="E687" s="27"/>
      <c r="F687" s="34"/>
      <c r="G687" s="195">
        <f>SHF!G35</f>
        <v>32.051277714285717</v>
      </c>
      <c r="H687" s="34"/>
      <c r="I687" s="195">
        <f>SHF!I35</f>
        <v>207.69227958857149</v>
      </c>
      <c r="J687" s="34"/>
      <c r="K687" s="273"/>
      <c r="L687" s="274"/>
      <c r="M687" s="376">
        <v>1.5</v>
      </c>
    </row>
    <row r="688" spans="1:13">
      <c r="A688" s="686" t="s">
        <v>1128</v>
      </c>
      <c r="B688" s="687"/>
      <c r="C688" s="688"/>
      <c r="D688" s="688"/>
      <c r="E688" s="689"/>
      <c r="F688" s="195">
        <f>SHF!F40</f>
        <v>-23.695433333970961</v>
      </c>
      <c r="G688" s="689"/>
      <c r="H688" s="690"/>
      <c r="I688" s="195">
        <f>SHF!I40</f>
        <v>0</v>
      </c>
      <c r="J688" s="195">
        <f>SHF!J40</f>
        <v>0</v>
      </c>
      <c r="K688" s="273"/>
      <c r="L688" s="274"/>
      <c r="M688" s="376">
        <v>0.15</v>
      </c>
    </row>
    <row r="689" spans="1:13">
      <c r="A689" s="686" t="s">
        <v>1131</v>
      </c>
      <c r="B689" s="687"/>
      <c r="C689" s="688"/>
      <c r="D689" s="688"/>
      <c r="E689" s="689"/>
      <c r="F689" s="690"/>
      <c r="G689" s="195">
        <f>SHF!G44</f>
        <v>1.566445545112501</v>
      </c>
      <c r="H689" s="195">
        <f>SHF!H44</f>
        <v>0.77082515176153144</v>
      </c>
      <c r="I689" s="195">
        <f>SHF!I44</f>
        <v>2.5854696423507204</v>
      </c>
      <c r="J689" s="195">
        <f>SHF!J44</f>
        <v>1.2722721422765415</v>
      </c>
      <c r="K689" s="273"/>
      <c r="L689" s="274"/>
      <c r="M689" s="376">
        <v>1</v>
      </c>
    </row>
    <row r="690" spans="1:13">
      <c r="A690" s="253"/>
      <c r="B690" s="15"/>
      <c r="C690" s="15"/>
      <c r="D690" s="15"/>
      <c r="E690" s="22"/>
      <c r="F690" s="212"/>
      <c r="G690" s="213"/>
      <c r="H690" s="198"/>
      <c r="I690" s="198"/>
      <c r="J690" s="58"/>
      <c r="K690" s="74"/>
      <c r="L690" s="277"/>
      <c r="M690" s="379"/>
    </row>
    <row r="691" spans="1:13">
      <c r="A691" s="46"/>
      <c r="B691" s="46"/>
      <c r="C691" s="46"/>
      <c r="D691" s="46"/>
      <c r="E691" s="46"/>
      <c r="F691" s="46"/>
      <c r="G691" s="46"/>
      <c r="H691" s="46"/>
      <c r="I691" s="46"/>
      <c r="J691" s="46"/>
      <c r="K691" s="116"/>
      <c r="L691" s="270"/>
      <c r="M691" s="87"/>
    </row>
    <row r="692" spans="1:13">
      <c r="A692" s="220" t="s">
        <v>73</v>
      </c>
      <c r="B692" s="220" t="s">
        <v>74</v>
      </c>
      <c r="C692" s="200"/>
      <c r="D692" s="200"/>
      <c r="E692" s="217"/>
      <c r="F692" s="1636" t="s">
        <v>72</v>
      </c>
      <c r="G692" s="1637"/>
      <c r="H692" s="1637"/>
      <c r="I692" s="1637"/>
      <c r="J692" s="1638"/>
      <c r="K692" s="116"/>
      <c r="L692" s="270"/>
      <c r="M692" s="87"/>
    </row>
    <row r="693" spans="1:13" ht="18">
      <c r="A693" s="221"/>
      <c r="B693" s="221"/>
      <c r="C693" s="201"/>
      <c r="D693" s="201"/>
      <c r="E693" s="219"/>
      <c r="F693" s="223" t="s">
        <v>23</v>
      </c>
      <c r="G693" s="223" t="s">
        <v>87</v>
      </c>
      <c r="H693" s="223" t="s">
        <v>212</v>
      </c>
      <c r="I693" s="223" t="s">
        <v>80</v>
      </c>
      <c r="J693" s="223" t="s">
        <v>81</v>
      </c>
      <c r="K693" s="116"/>
      <c r="L693" s="270"/>
      <c r="M693" s="87"/>
    </row>
    <row r="694" spans="1:13">
      <c r="A694" s="222"/>
      <c r="B694" s="222"/>
      <c r="C694" s="203"/>
      <c r="D694" s="203"/>
      <c r="E694" s="218"/>
      <c r="F694" s="204" t="s">
        <v>34</v>
      </c>
      <c r="G694" s="204" t="s">
        <v>34</v>
      </c>
      <c r="H694" s="203" t="s">
        <v>34</v>
      </c>
      <c r="I694" s="204" t="s">
        <v>77</v>
      </c>
      <c r="J694" s="204" t="s">
        <v>77</v>
      </c>
      <c r="K694" s="116"/>
      <c r="L694" s="270"/>
      <c r="M694" s="87"/>
    </row>
    <row r="695" spans="1:13">
      <c r="A695" s="202"/>
      <c r="B695" s="200"/>
      <c r="C695" s="200"/>
      <c r="D695" s="200"/>
      <c r="E695" s="217"/>
      <c r="F695" s="205"/>
      <c r="G695" s="205"/>
      <c r="H695" s="201"/>
      <c r="I695" s="205"/>
      <c r="J695" s="205"/>
      <c r="K695" s="116"/>
      <c r="L695" s="270"/>
      <c r="M695" s="87"/>
    </row>
    <row r="696" spans="1:13">
      <c r="A696" s="205" t="str">
        <f>A675</f>
        <v>LC-23</v>
      </c>
      <c r="B696" s="201" t="str">
        <f>B675</f>
        <v>NS HFL With LL max reaction case</v>
      </c>
      <c r="C696" s="201"/>
      <c r="D696" s="201"/>
      <c r="E696" s="219"/>
      <c r="F696" s="1054">
        <f>SUMPRODUCT(F678:F689,$M$678:$M$689)</f>
        <v>1237.2673586259903</v>
      </c>
      <c r="G696" s="1055">
        <f>SUMPRODUCT(G678:G689,$M$678:$M$689)</f>
        <v>49.643362116541077</v>
      </c>
      <c r="H696" s="1055">
        <f>SUMPRODUCT(H678:H689,$M$678:$M$689)</f>
        <v>0.77082515176153144</v>
      </c>
      <c r="I696" s="1055">
        <f>SUMPRODUCT(I678:I689,$M$678:$M$689)</f>
        <v>327.58597473949368</v>
      </c>
      <c r="J696" s="1055">
        <f>SUMPRODUCT(J678:J689,$M$678:$M$689)</f>
        <v>-31.377072066217657</v>
      </c>
      <c r="K696" s="116"/>
      <c r="L696" s="270"/>
      <c r="M696" s="87"/>
    </row>
    <row r="697" spans="1:13">
      <c r="A697" s="204"/>
      <c r="B697" s="203"/>
      <c r="C697" s="203"/>
      <c r="D697" s="203"/>
      <c r="E697" s="218"/>
      <c r="F697" s="204"/>
      <c r="G697" s="204"/>
      <c r="H697" s="203"/>
      <c r="I697" s="204"/>
      <c r="J697" s="204"/>
      <c r="K697" s="116"/>
      <c r="L697" s="270"/>
      <c r="M697" s="87"/>
    </row>
    <row r="698" spans="1:13">
      <c r="A698" s="1"/>
      <c r="B698" s="1"/>
      <c r="C698" s="1"/>
      <c r="D698" s="1"/>
      <c r="E698" s="1"/>
      <c r="F698" s="1"/>
      <c r="G698" s="1"/>
      <c r="H698" s="1"/>
      <c r="I698" s="1"/>
      <c r="J698" s="1"/>
      <c r="K698" s="1"/>
      <c r="L698" s="1"/>
      <c r="M698" s="1"/>
    </row>
    <row r="699" spans="1:13">
      <c r="A699" s="1"/>
      <c r="B699" s="1"/>
      <c r="C699" s="1"/>
      <c r="D699" s="1"/>
      <c r="E699" s="1"/>
      <c r="F699" s="1"/>
      <c r="G699" s="1"/>
      <c r="H699" s="1"/>
      <c r="I699" s="1"/>
      <c r="J699" s="1"/>
      <c r="K699" s="1"/>
      <c r="L699" s="1"/>
      <c r="M699" s="1"/>
    </row>
    <row r="700" spans="1:13">
      <c r="A700" s="225" t="str">
        <f>M700</f>
        <v>LC-24</v>
      </c>
      <c r="B700" s="24" t="str">
        <f>VLOOKUP(A700,LC_DEF_2!A3:B42,2,FALSE)</f>
        <v>NS HFL With LL max moment case</v>
      </c>
      <c r="C700" s="24"/>
      <c r="D700" s="24"/>
      <c r="E700" s="21"/>
      <c r="F700" s="1599" t="s">
        <v>742</v>
      </c>
      <c r="G700" s="1635"/>
      <c r="H700" s="1635"/>
      <c r="I700" s="1635"/>
      <c r="J700" s="1600"/>
      <c r="K700" s="73"/>
      <c r="L700" s="272"/>
      <c r="M700" s="384" t="s">
        <v>684</v>
      </c>
    </row>
    <row r="701" spans="1:13" ht="18">
      <c r="A701" s="25" t="s">
        <v>73</v>
      </c>
      <c r="B701" s="26" t="s">
        <v>74</v>
      </c>
      <c r="C701" s="26"/>
      <c r="D701" s="26"/>
      <c r="E701" s="27"/>
      <c r="F701" s="33" t="s">
        <v>23</v>
      </c>
      <c r="G701" s="33" t="s">
        <v>87</v>
      </c>
      <c r="H701" s="33" t="s">
        <v>212</v>
      </c>
      <c r="I701" s="33" t="s">
        <v>80</v>
      </c>
      <c r="J701" s="33" t="s">
        <v>81</v>
      </c>
      <c r="K701" s="273"/>
      <c r="L701" s="274"/>
      <c r="M701" s="376"/>
    </row>
    <row r="702" spans="1:13">
      <c r="A702" s="25"/>
      <c r="B702" s="26"/>
      <c r="C702" s="26"/>
      <c r="D702" s="26"/>
      <c r="E702" s="27"/>
      <c r="F702" s="36" t="s">
        <v>34</v>
      </c>
      <c r="G702" s="36" t="s">
        <v>34</v>
      </c>
      <c r="H702" s="36" t="s">
        <v>34</v>
      </c>
      <c r="I702" s="36" t="s">
        <v>77</v>
      </c>
      <c r="J702" s="36" t="s">
        <v>77</v>
      </c>
      <c r="K702" s="74"/>
      <c r="L702" s="277"/>
      <c r="M702" s="655"/>
    </row>
    <row r="703" spans="1:13">
      <c r="A703" s="25" t="s">
        <v>88</v>
      </c>
      <c r="B703" s="26" t="s">
        <v>75</v>
      </c>
      <c r="C703" s="26"/>
      <c r="D703" s="26"/>
      <c r="E703" s="27"/>
      <c r="F703" s="195">
        <f>SHF!F14</f>
        <v>165.42303866482536</v>
      </c>
      <c r="G703" s="210"/>
      <c r="H703" s="34"/>
      <c r="I703" s="195">
        <f>SHF!I14</f>
        <v>0</v>
      </c>
      <c r="J703" s="195">
        <f>SHF!J14</f>
        <v>0</v>
      </c>
      <c r="K703" s="273"/>
      <c r="L703" s="274"/>
      <c r="M703" s="268">
        <v>1.35</v>
      </c>
    </row>
    <row r="704" spans="1:13">
      <c r="A704" s="25" t="s">
        <v>250</v>
      </c>
      <c r="B704" s="26" t="s">
        <v>967</v>
      </c>
      <c r="C704" s="26"/>
      <c r="D704" s="26"/>
      <c r="E704" s="27"/>
      <c r="F704" s="195">
        <f>SHF!F17</f>
        <v>230</v>
      </c>
      <c r="G704" s="210"/>
      <c r="H704" s="34"/>
      <c r="I704" s="195">
        <f>SHF!I17</f>
        <v>-115</v>
      </c>
      <c r="J704" s="195">
        <f>SHF!J17</f>
        <v>0</v>
      </c>
      <c r="K704" s="273"/>
      <c r="L704" s="274"/>
      <c r="M704" s="268">
        <v>1.35</v>
      </c>
    </row>
    <row r="705" spans="1:13">
      <c r="A705" s="25" t="s">
        <v>251</v>
      </c>
      <c r="B705" s="26" t="s">
        <v>968</v>
      </c>
      <c r="C705" s="26"/>
      <c r="D705" s="26"/>
      <c r="E705" s="27"/>
      <c r="F705" s="195">
        <f>SHF!F18</f>
        <v>20.660000000000004</v>
      </c>
      <c r="G705" s="210"/>
      <c r="H705" s="34"/>
      <c r="I705" s="195">
        <f>SHF!I18</f>
        <v>-10.330000000000002</v>
      </c>
      <c r="J705" s="195">
        <f>SHF!J18</f>
        <v>0</v>
      </c>
      <c r="K705" s="273"/>
      <c r="L705" s="274"/>
      <c r="M705" s="268">
        <v>1.35</v>
      </c>
    </row>
    <row r="706" spans="1:13">
      <c r="A706" s="25" t="s">
        <v>97</v>
      </c>
      <c r="B706" s="26" t="s">
        <v>969</v>
      </c>
      <c r="C706" s="26"/>
      <c r="D706" s="26"/>
      <c r="E706" s="27"/>
      <c r="F706" s="195">
        <f>SHF!F19</f>
        <v>42</v>
      </c>
      <c r="G706" s="210"/>
      <c r="H706" s="34"/>
      <c r="I706" s="195">
        <f>SHF!I19</f>
        <v>-14.858499999999999</v>
      </c>
      <c r="J706" s="195">
        <f>SHF!J19</f>
        <v>0</v>
      </c>
      <c r="K706" s="273"/>
      <c r="L706" s="274"/>
      <c r="M706" s="268">
        <v>1.35</v>
      </c>
    </row>
    <row r="707" spans="1:13">
      <c r="A707" s="25" t="s">
        <v>250</v>
      </c>
      <c r="B707" s="26" t="s">
        <v>970</v>
      </c>
      <c r="C707" s="26"/>
      <c r="D707" s="26"/>
      <c r="E707" s="27"/>
      <c r="F707" s="195">
        <f>SHF!F21</f>
        <v>230</v>
      </c>
      <c r="G707" s="210"/>
      <c r="H707" s="34"/>
      <c r="I707" s="195">
        <f>SHF!I21</f>
        <v>115</v>
      </c>
      <c r="J707" s="195">
        <f>SHF!J21</f>
        <v>0</v>
      </c>
      <c r="K707" s="273"/>
      <c r="L707" s="274"/>
      <c r="M707" s="376">
        <v>1.35</v>
      </c>
    </row>
    <row r="708" spans="1:13">
      <c r="A708" s="25" t="s">
        <v>251</v>
      </c>
      <c r="B708" s="26" t="s">
        <v>971</v>
      </c>
      <c r="C708" s="26"/>
      <c r="D708" s="26"/>
      <c r="E708" s="27"/>
      <c r="F708" s="195">
        <f>SHF!F22</f>
        <v>20.660000000000004</v>
      </c>
      <c r="G708" s="210"/>
      <c r="H708" s="34"/>
      <c r="I708" s="195">
        <f>SHF!I22</f>
        <v>10.330000000000002</v>
      </c>
      <c r="J708" s="195">
        <f>SHF!J22</f>
        <v>0</v>
      </c>
      <c r="K708" s="273"/>
      <c r="L708" s="274"/>
      <c r="M708" s="376">
        <v>1.35</v>
      </c>
    </row>
    <row r="709" spans="1:13">
      <c r="A709" s="25" t="s">
        <v>97</v>
      </c>
      <c r="B709" s="26" t="s">
        <v>972</v>
      </c>
      <c r="C709" s="26"/>
      <c r="D709" s="26"/>
      <c r="E709" s="27"/>
      <c r="F709" s="195">
        <f>SHF!F23</f>
        <v>42</v>
      </c>
      <c r="G709" s="210"/>
      <c r="H709" s="34"/>
      <c r="I709" s="195">
        <f>SHF!I23</f>
        <v>14.858499999999999</v>
      </c>
      <c r="J709" s="195">
        <f>SHF!J23</f>
        <v>0</v>
      </c>
      <c r="K709" s="273"/>
      <c r="L709" s="274"/>
      <c r="M709" s="376">
        <v>1.75</v>
      </c>
    </row>
    <row r="710" spans="1:13">
      <c r="A710" s="25" t="s">
        <v>976</v>
      </c>
      <c r="B710" s="26" t="s">
        <v>981</v>
      </c>
      <c r="C710" s="26"/>
      <c r="D710" s="26"/>
      <c r="E710" s="27"/>
      <c r="F710" s="195">
        <f>SHF!F31</f>
        <v>0</v>
      </c>
      <c r="G710" s="210"/>
      <c r="H710" s="34"/>
      <c r="I710" s="195">
        <f>SHF!I31</f>
        <v>0</v>
      </c>
      <c r="J710" s="195">
        <f>SHF!J31</f>
        <v>0</v>
      </c>
      <c r="K710" s="273"/>
      <c r="L710" s="274"/>
      <c r="M710" s="376">
        <v>1.5</v>
      </c>
    </row>
    <row r="711" spans="1:13">
      <c r="A711" s="25" t="s">
        <v>977</v>
      </c>
      <c r="B711" s="26" t="s">
        <v>982</v>
      </c>
      <c r="C711" s="26"/>
      <c r="D711" s="26"/>
      <c r="E711" s="27"/>
      <c r="F711" s="195">
        <f>SHF!F32</f>
        <v>127.89948571428575</v>
      </c>
      <c r="G711" s="210"/>
      <c r="H711" s="34"/>
      <c r="I711" s="195">
        <f>SHF!I32</f>
        <v>63.949742857142873</v>
      </c>
      <c r="J711" s="195">
        <f>SHF!J32</f>
        <v>-19.835942761904757</v>
      </c>
      <c r="K711" s="273"/>
      <c r="L711" s="274"/>
      <c r="M711" s="376">
        <v>1.5</v>
      </c>
    </row>
    <row r="712" spans="1:13">
      <c r="A712" s="25" t="s">
        <v>985</v>
      </c>
      <c r="B712" s="163" t="s">
        <v>953</v>
      </c>
      <c r="C712" s="26"/>
      <c r="D712" s="26"/>
      <c r="E712" s="27"/>
      <c r="F712" s="34"/>
      <c r="G712" s="195">
        <f>SHF!G36</f>
        <v>29.998225714285713</v>
      </c>
      <c r="H712" s="34"/>
      <c r="I712" s="195">
        <f>SHF!I36</f>
        <v>194.38850262857147</v>
      </c>
      <c r="J712" s="34"/>
      <c r="K712" s="273"/>
      <c r="L712" s="274"/>
      <c r="M712" s="376">
        <v>1.5</v>
      </c>
    </row>
    <row r="713" spans="1:13">
      <c r="A713" s="686" t="s">
        <v>1128</v>
      </c>
      <c r="B713" s="687"/>
      <c r="C713" s="688"/>
      <c r="D713" s="688"/>
      <c r="E713" s="689"/>
      <c r="F713" s="195">
        <f>SHF!F40</f>
        <v>-23.695433333970961</v>
      </c>
      <c r="G713" s="689"/>
      <c r="H713" s="690"/>
      <c r="I713" s="195">
        <f>SHF!I40</f>
        <v>0</v>
      </c>
      <c r="J713" s="195">
        <f>SHF!J40</f>
        <v>0</v>
      </c>
      <c r="K713" s="273"/>
      <c r="L713" s="274"/>
      <c r="M713" s="376">
        <v>0.15</v>
      </c>
    </row>
    <row r="714" spans="1:13">
      <c r="A714" s="686" t="s">
        <v>1131</v>
      </c>
      <c r="B714" s="687"/>
      <c r="C714" s="688"/>
      <c r="D714" s="688"/>
      <c r="E714" s="689"/>
      <c r="F714" s="690"/>
      <c r="G714" s="195">
        <f>SHF!G44</f>
        <v>1.566445545112501</v>
      </c>
      <c r="H714" s="195">
        <f>SHF!H44</f>
        <v>0.77082515176153144</v>
      </c>
      <c r="I714" s="195">
        <f>SHF!I44</f>
        <v>2.5854696423507204</v>
      </c>
      <c r="J714" s="195">
        <f>SHF!J44</f>
        <v>1.2722721422765415</v>
      </c>
      <c r="K714" s="273"/>
      <c r="L714" s="274"/>
      <c r="M714" s="376">
        <v>1</v>
      </c>
    </row>
    <row r="715" spans="1:13">
      <c r="A715" s="253"/>
      <c r="B715" s="15"/>
      <c r="C715" s="15"/>
      <c r="D715" s="15"/>
      <c r="E715" s="22"/>
      <c r="F715" s="212"/>
      <c r="G715" s="213"/>
      <c r="H715" s="198"/>
      <c r="I715" s="198"/>
      <c r="J715" s="58"/>
      <c r="K715" s="74"/>
      <c r="L715" s="277"/>
      <c r="M715" s="379"/>
    </row>
    <row r="716" spans="1:13">
      <c r="A716" s="46"/>
      <c r="B716" s="46"/>
      <c r="C716" s="46"/>
      <c r="D716" s="46"/>
      <c r="E716" s="46"/>
      <c r="F716" s="46"/>
      <c r="G716" s="46"/>
      <c r="H716" s="46"/>
      <c r="I716" s="46"/>
      <c r="J716" s="46"/>
      <c r="K716" s="116"/>
      <c r="L716" s="270"/>
      <c r="M716" s="87"/>
    </row>
    <row r="717" spans="1:13">
      <c r="A717" s="220" t="s">
        <v>73</v>
      </c>
      <c r="B717" s="220" t="s">
        <v>74</v>
      </c>
      <c r="C717" s="200"/>
      <c r="D717" s="200"/>
      <c r="E717" s="217"/>
      <c r="F717" s="1636" t="s">
        <v>72</v>
      </c>
      <c r="G717" s="1637"/>
      <c r="H717" s="1637"/>
      <c r="I717" s="1637"/>
      <c r="J717" s="1638"/>
      <c r="K717" s="116"/>
      <c r="L717" s="270"/>
      <c r="M717" s="87"/>
    </row>
    <row r="718" spans="1:13" ht="18">
      <c r="A718" s="221"/>
      <c r="B718" s="221"/>
      <c r="C718" s="201"/>
      <c r="D718" s="201"/>
      <c r="E718" s="219"/>
      <c r="F718" s="223" t="s">
        <v>23</v>
      </c>
      <c r="G718" s="223" t="s">
        <v>87</v>
      </c>
      <c r="H718" s="223" t="s">
        <v>212</v>
      </c>
      <c r="I718" s="223" t="s">
        <v>80</v>
      </c>
      <c r="J718" s="223" t="s">
        <v>81</v>
      </c>
      <c r="K718" s="116"/>
      <c r="L718" s="270"/>
      <c r="M718" s="87"/>
    </row>
    <row r="719" spans="1:13">
      <c r="A719" s="222"/>
      <c r="B719" s="222"/>
      <c r="C719" s="203"/>
      <c r="D719" s="203"/>
      <c r="E719" s="218"/>
      <c r="F719" s="204" t="s">
        <v>34</v>
      </c>
      <c r="G719" s="204" t="s">
        <v>34</v>
      </c>
      <c r="H719" s="203" t="s">
        <v>34</v>
      </c>
      <c r="I719" s="204" t="s">
        <v>77</v>
      </c>
      <c r="J719" s="204" t="s">
        <v>77</v>
      </c>
      <c r="K719" s="116"/>
      <c r="L719" s="270"/>
      <c r="M719" s="87"/>
    </row>
    <row r="720" spans="1:13">
      <c r="A720" s="202"/>
      <c r="B720" s="200"/>
      <c r="C720" s="200"/>
      <c r="D720" s="200"/>
      <c r="E720" s="217"/>
      <c r="F720" s="205"/>
      <c r="G720" s="205"/>
      <c r="H720" s="201"/>
      <c r="I720" s="205"/>
      <c r="J720" s="205"/>
      <c r="K720" s="116"/>
      <c r="L720" s="270"/>
      <c r="M720" s="87"/>
    </row>
    <row r="721" spans="1:13">
      <c r="A721" s="205" t="str">
        <f>A700</f>
        <v>LC-24</v>
      </c>
      <c r="B721" s="201" t="str">
        <f>B700</f>
        <v>NS HFL With LL max moment case</v>
      </c>
      <c r="C721" s="201"/>
      <c r="D721" s="201"/>
      <c r="E721" s="219"/>
      <c r="F721" s="1054">
        <f>SUMPRODUCT(F703:F714,$M$703:$M$714)</f>
        <v>1218.5980157688475</v>
      </c>
      <c r="G721" s="1055">
        <f>SUMPRODUCT(G703:G714,$M$703:$M$714)</f>
        <v>46.563784116541072</v>
      </c>
      <c r="H721" s="1055">
        <f>SUMPRODUCT(H703:H714,$M$703:$M$714)</f>
        <v>0.77082515176153144</v>
      </c>
      <c r="I721" s="1055">
        <f>SUMPRODUCT(I703:I714,$M$703:$M$714)</f>
        <v>396.03623787092226</v>
      </c>
      <c r="J721" s="1055">
        <f>SUMPRODUCT(J703:J714,$M$703:$M$714)</f>
        <v>-28.481642000580592</v>
      </c>
      <c r="K721" s="116"/>
      <c r="L721" s="270"/>
      <c r="M721" s="87"/>
    </row>
    <row r="722" spans="1:13">
      <c r="A722" s="204"/>
      <c r="B722" s="203"/>
      <c r="C722" s="203"/>
      <c r="D722" s="203"/>
      <c r="E722" s="218"/>
      <c r="F722" s="204"/>
      <c r="G722" s="204"/>
      <c r="H722" s="203"/>
      <c r="I722" s="204"/>
      <c r="J722" s="204"/>
      <c r="K722" s="116"/>
      <c r="L722" s="270"/>
      <c r="M722" s="87"/>
    </row>
    <row r="723" spans="1:13">
      <c r="A723" s="1"/>
      <c r="B723" s="1"/>
      <c r="C723" s="1"/>
      <c r="D723" s="1"/>
      <c r="E723" s="1"/>
      <c r="F723" s="1"/>
      <c r="G723" s="1"/>
      <c r="H723" s="1"/>
      <c r="I723" s="1"/>
      <c r="J723" s="1"/>
      <c r="K723" s="1"/>
      <c r="L723" s="1"/>
      <c r="M723" s="1"/>
    </row>
    <row r="724" spans="1:13">
      <c r="A724" s="1"/>
      <c r="B724" s="1"/>
      <c r="C724" s="1"/>
      <c r="D724" s="1"/>
      <c r="E724" s="1"/>
      <c r="F724" s="1"/>
      <c r="G724" s="1"/>
      <c r="H724" s="1"/>
      <c r="I724" s="1"/>
      <c r="J724" s="1"/>
      <c r="K724" s="1"/>
      <c r="L724" s="1"/>
      <c r="M724" s="1"/>
    </row>
    <row r="725" spans="1:13">
      <c r="A725" s="225" t="str">
        <f>M725</f>
        <v>LC-25</v>
      </c>
      <c r="B725" s="24" t="str">
        <f>VLOOKUP(A725,LC_DEF_2!A3:B42,2,FALSE)</f>
        <v>LC-21 + Seismic Sx=1,Sz=0.3,Sy=-0.3 (50% seismic)</v>
      </c>
      <c r="C725" s="24"/>
      <c r="D725" s="24"/>
      <c r="E725" s="21"/>
      <c r="F725" s="1599" t="s">
        <v>742</v>
      </c>
      <c r="G725" s="1635"/>
      <c r="H725" s="1635"/>
      <c r="I725" s="1635"/>
      <c r="J725" s="1600"/>
      <c r="K725" s="73"/>
      <c r="L725" s="272"/>
      <c r="M725" s="384" t="s">
        <v>1162</v>
      </c>
    </row>
    <row r="726" spans="1:13" ht="18">
      <c r="A726" s="25" t="s">
        <v>73</v>
      </c>
      <c r="B726" s="26" t="s">
        <v>74</v>
      </c>
      <c r="C726" s="26"/>
      <c r="D726" s="26"/>
      <c r="E726" s="27"/>
      <c r="F726" s="33" t="s">
        <v>23</v>
      </c>
      <c r="G726" s="33" t="s">
        <v>87</v>
      </c>
      <c r="H726" s="33" t="s">
        <v>212</v>
      </c>
      <c r="I726" s="33" t="s">
        <v>80</v>
      </c>
      <c r="J726" s="33" t="s">
        <v>81</v>
      </c>
      <c r="K726" s="273"/>
      <c r="L726" s="274"/>
      <c r="M726" s="376"/>
    </row>
    <row r="727" spans="1:13">
      <c r="A727" s="25"/>
      <c r="B727" s="26"/>
      <c r="C727" s="26"/>
      <c r="D727" s="26"/>
      <c r="E727" s="27"/>
      <c r="F727" s="36" t="s">
        <v>34</v>
      </c>
      <c r="G727" s="36" t="s">
        <v>34</v>
      </c>
      <c r="H727" s="36" t="s">
        <v>34</v>
      </c>
      <c r="I727" s="36" t="s">
        <v>77</v>
      </c>
      <c r="J727" s="36" t="s">
        <v>77</v>
      </c>
      <c r="K727" s="74"/>
      <c r="L727" s="277"/>
      <c r="M727" s="655"/>
    </row>
    <row r="728" spans="1:13">
      <c r="A728" s="25" t="s">
        <v>88</v>
      </c>
      <c r="B728" s="26" t="s">
        <v>75</v>
      </c>
      <c r="C728" s="26"/>
      <c r="D728" s="26"/>
      <c r="E728" s="27"/>
      <c r="F728" s="195">
        <f>SHF!F14</f>
        <v>165.42303866482536</v>
      </c>
      <c r="G728" s="210"/>
      <c r="H728" s="34"/>
      <c r="I728" s="195">
        <f>SHF!I14</f>
        <v>0</v>
      </c>
      <c r="J728" s="195">
        <f>SHF!J14</f>
        <v>0</v>
      </c>
      <c r="K728" s="273"/>
      <c r="L728" s="274"/>
      <c r="M728" s="268">
        <v>1.35</v>
      </c>
    </row>
    <row r="729" spans="1:13">
      <c r="A729" s="25" t="s">
        <v>250</v>
      </c>
      <c r="B729" s="26" t="s">
        <v>970</v>
      </c>
      <c r="C729" s="26"/>
      <c r="D729" s="26"/>
      <c r="E729" s="27"/>
      <c r="F729" s="195">
        <f>SHF!F21</f>
        <v>230</v>
      </c>
      <c r="G729" s="210"/>
      <c r="H729" s="34"/>
      <c r="I729" s="195">
        <f>SHF!I21</f>
        <v>115</v>
      </c>
      <c r="J729" s="195">
        <f>SHF!J21</f>
        <v>0</v>
      </c>
      <c r="K729" s="273"/>
      <c r="L729" s="274"/>
      <c r="M729" s="376">
        <v>1.35</v>
      </c>
    </row>
    <row r="730" spans="1:13">
      <c r="A730" s="25" t="s">
        <v>251</v>
      </c>
      <c r="B730" s="26" t="s">
        <v>971</v>
      </c>
      <c r="C730" s="26"/>
      <c r="D730" s="26"/>
      <c r="E730" s="27"/>
      <c r="F730" s="195">
        <f>SHF!F22</f>
        <v>20.660000000000004</v>
      </c>
      <c r="G730" s="210"/>
      <c r="H730" s="34"/>
      <c r="I730" s="195">
        <f>SHF!I22</f>
        <v>10.330000000000002</v>
      </c>
      <c r="J730" s="195">
        <f>SHF!J22</f>
        <v>0</v>
      </c>
      <c r="K730" s="273"/>
      <c r="L730" s="274"/>
      <c r="M730" s="376">
        <v>1.35</v>
      </c>
    </row>
    <row r="731" spans="1:13">
      <c r="A731" s="25" t="s">
        <v>97</v>
      </c>
      <c r="B731" s="26" t="s">
        <v>972</v>
      </c>
      <c r="C731" s="26"/>
      <c r="D731" s="26"/>
      <c r="E731" s="27"/>
      <c r="F731" s="195">
        <f>SHF!F23</f>
        <v>42</v>
      </c>
      <c r="G731" s="210"/>
      <c r="H731" s="34"/>
      <c r="I731" s="195">
        <f>SHF!I23</f>
        <v>14.858499999999999</v>
      </c>
      <c r="J731" s="195">
        <f>SHF!J23</f>
        <v>0</v>
      </c>
      <c r="K731" s="273"/>
      <c r="L731" s="274"/>
      <c r="M731" s="376">
        <v>1.75</v>
      </c>
    </row>
    <row r="732" spans="1:13">
      <c r="A732" s="25" t="s">
        <v>987</v>
      </c>
      <c r="B732" s="163" t="s">
        <v>957</v>
      </c>
      <c r="C732" s="26"/>
      <c r="D732" s="26"/>
      <c r="E732" s="27"/>
      <c r="F732" s="34"/>
      <c r="G732" s="195">
        <f>SHF!G38</f>
        <v>14.632999999999999</v>
      </c>
      <c r="H732" s="34"/>
      <c r="I732" s="195">
        <f>SHF!I38</f>
        <v>94.821840000000009</v>
      </c>
      <c r="J732" s="34"/>
      <c r="K732" s="273"/>
      <c r="L732" s="274"/>
      <c r="M732" s="376">
        <v>1.5</v>
      </c>
    </row>
    <row r="733" spans="1:13">
      <c r="A733" s="686" t="s">
        <v>1128</v>
      </c>
      <c r="B733" s="687"/>
      <c r="C733" s="688"/>
      <c r="D733" s="688"/>
      <c r="E733" s="689"/>
      <c r="F733" s="195">
        <f>SHF!F40</f>
        <v>-23.695433333970961</v>
      </c>
      <c r="G733" s="689"/>
      <c r="H733" s="690"/>
      <c r="I733" s="195">
        <f>SHF!I40</f>
        <v>0</v>
      </c>
      <c r="J733" s="195">
        <f>SHF!J40</f>
        <v>0</v>
      </c>
      <c r="K733" s="273"/>
      <c r="L733" s="274"/>
      <c r="M733" s="376">
        <v>0.15</v>
      </c>
    </row>
    <row r="734" spans="1:13">
      <c r="A734" s="686" t="s">
        <v>1131</v>
      </c>
      <c r="B734" s="687"/>
      <c r="C734" s="688"/>
      <c r="D734" s="688"/>
      <c r="E734" s="689"/>
      <c r="F734" s="690"/>
      <c r="G734" s="195">
        <f>SHF!G44</f>
        <v>1.566445545112501</v>
      </c>
      <c r="H734" s="195">
        <f>SHF!H44</f>
        <v>0.77082515176153144</v>
      </c>
      <c r="I734" s="195">
        <f>SHF!I44</f>
        <v>2.5854696423507204</v>
      </c>
      <c r="J734" s="195">
        <f>SHF!J44</f>
        <v>1.2722721422765415</v>
      </c>
      <c r="K734" s="273"/>
      <c r="L734" s="274"/>
      <c r="M734" s="376">
        <v>1</v>
      </c>
    </row>
    <row r="735" spans="1:13">
      <c r="A735" s="278" t="s">
        <v>1132</v>
      </c>
      <c r="B735" s="262"/>
      <c r="C735" s="262"/>
      <c r="D735" s="262"/>
      <c r="E735" s="263"/>
      <c r="F735" s="1052"/>
      <c r="G735" s="1053"/>
      <c r="H735" s="267"/>
      <c r="I735" s="1052"/>
      <c r="J735" s="267"/>
      <c r="K735" s="289"/>
      <c r="L735" s="274"/>
      <c r="M735" s="412">
        <v>0.75</v>
      </c>
    </row>
    <row r="736" spans="1:13">
      <c r="A736" s="25" t="s">
        <v>991</v>
      </c>
      <c r="B736" s="26" t="s">
        <v>989</v>
      </c>
      <c r="C736" s="26"/>
      <c r="D736" s="26"/>
      <c r="E736" s="27"/>
      <c r="F736" s="197"/>
      <c r="G736" s="195">
        <f>SHF!G49</f>
        <v>70.238399999999984</v>
      </c>
      <c r="H736" s="34"/>
      <c r="I736" s="195">
        <f>SHF!I49</f>
        <v>455.14483200000001</v>
      </c>
      <c r="J736" s="89"/>
      <c r="K736" s="289"/>
      <c r="L736" s="274"/>
      <c r="M736" s="268">
        <v>0.75</v>
      </c>
    </row>
    <row r="737" spans="1:13">
      <c r="A737" s="25" t="s">
        <v>217</v>
      </c>
      <c r="B737" s="26" t="s">
        <v>211</v>
      </c>
      <c r="C737" s="26"/>
      <c r="D737" s="26"/>
      <c r="E737" s="27"/>
      <c r="F737" s="197"/>
      <c r="G737" s="195">
        <f>SHF!G55</f>
        <v>19.850764639779044</v>
      </c>
      <c r="H737" s="34"/>
      <c r="I737" s="195">
        <f>SHF!I55</f>
        <v>73.367744311147007</v>
      </c>
      <c r="J737" s="89"/>
      <c r="K737" s="289"/>
      <c r="L737" s="274"/>
      <c r="M737" s="376">
        <v>0.75</v>
      </c>
    </row>
    <row r="738" spans="1:13">
      <c r="A738" s="686" t="s">
        <v>1139</v>
      </c>
      <c r="B738" s="688" t="s">
        <v>1140</v>
      </c>
      <c r="C738" s="688"/>
      <c r="D738" s="688"/>
      <c r="E738" s="689"/>
      <c r="F738" s="620"/>
      <c r="G738" s="195">
        <f>SHF!G58</f>
        <v>7.3173856373850432</v>
      </c>
      <c r="H738" s="690"/>
      <c r="I738" s="195">
        <f>SHF!I58</f>
        <v>8.4456204005780648</v>
      </c>
      <c r="J738" s="269"/>
      <c r="K738" s="289"/>
      <c r="L738" s="274"/>
      <c r="M738" s="376">
        <v>0.5</v>
      </c>
    </row>
    <row r="739" spans="1:13">
      <c r="A739" s="278" t="s">
        <v>1135</v>
      </c>
      <c r="B739" s="262"/>
      <c r="C739" s="262"/>
      <c r="D739" s="262"/>
      <c r="E739" s="263"/>
      <c r="F739" s="279"/>
      <c r="G739" s="280"/>
      <c r="H739" s="264"/>
      <c r="I739" s="279"/>
      <c r="J739" s="264"/>
      <c r="K739" s="289"/>
      <c r="L739" s="274"/>
      <c r="M739" s="708">
        <v>0.22499999999999998</v>
      </c>
    </row>
    <row r="740" spans="1:13">
      <c r="A740" s="25" t="s">
        <v>998</v>
      </c>
      <c r="B740" s="26" t="s">
        <v>989</v>
      </c>
      <c r="C740" s="26"/>
      <c r="D740" s="26"/>
      <c r="E740" s="27"/>
      <c r="F740" s="197"/>
      <c r="G740" s="211"/>
      <c r="H740" s="195">
        <f>SHF!H63</f>
        <v>35.119199999999992</v>
      </c>
      <c r="I740" s="197"/>
      <c r="J740" s="195">
        <f>SHF!J63</f>
        <v>257.60072117968605</v>
      </c>
      <c r="K740" s="289"/>
      <c r="L740" s="274"/>
      <c r="M740" s="376">
        <v>0.22499999999999998</v>
      </c>
    </row>
    <row r="741" spans="1:13">
      <c r="A741" s="25" t="s">
        <v>1006</v>
      </c>
      <c r="B741" s="26" t="s">
        <v>211</v>
      </c>
      <c r="C741" s="26"/>
      <c r="D741" s="26"/>
      <c r="E741" s="27"/>
      <c r="F741" s="197"/>
      <c r="G741" s="211"/>
      <c r="H741" s="195">
        <f>SHF!H73</f>
        <v>19.850764639779044</v>
      </c>
      <c r="I741" s="197"/>
      <c r="J741" s="195">
        <f>SHF!J73</f>
        <v>73.367744311147007</v>
      </c>
      <c r="K741" s="289"/>
      <c r="L741" s="274"/>
      <c r="M741" s="376">
        <v>0.22499999999999998</v>
      </c>
    </row>
    <row r="742" spans="1:13">
      <c r="A742" s="686" t="s">
        <v>1138</v>
      </c>
      <c r="B742" s="688" t="s">
        <v>1141</v>
      </c>
      <c r="C742" s="26"/>
      <c r="D742" s="26"/>
      <c r="E742" s="27"/>
      <c r="F742" s="34"/>
      <c r="G742" s="27"/>
      <c r="H742" s="195">
        <f>SHF!H76</f>
        <v>7.3173856373850432</v>
      </c>
      <c r="I742" s="620"/>
      <c r="J742" s="195">
        <f>SHF!J76</f>
        <v>8.4456204005780648</v>
      </c>
      <c r="K742" s="289"/>
      <c r="L742" s="274"/>
      <c r="M742" s="376">
        <v>0.22499999999999998</v>
      </c>
    </row>
    <row r="743" spans="1:13">
      <c r="A743" s="290" t="s">
        <v>1137</v>
      </c>
      <c r="B743" s="11"/>
      <c r="C743" s="11"/>
      <c r="D743" s="11"/>
      <c r="E743" s="191"/>
      <c r="F743" s="197"/>
      <c r="G743" s="211"/>
      <c r="H743" s="89"/>
      <c r="I743" s="197"/>
      <c r="J743" s="89"/>
      <c r="K743" s="289"/>
      <c r="L743" s="274"/>
      <c r="M743" s="994">
        <v>0.22499999999999998</v>
      </c>
    </row>
    <row r="744" spans="1:13">
      <c r="A744" s="25" t="s">
        <v>1008</v>
      </c>
      <c r="B744" s="26" t="s">
        <v>989</v>
      </c>
      <c r="C744" s="26"/>
      <c r="D744" s="26"/>
      <c r="E744" s="27"/>
      <c r="F744" s="195">
        <f>SHF!F81</f>
        <v>23.412799999999997</v>
      </c>
      <c r="G744" s="211"/>
      <c r="H744" s="34"/>
      <c r="I744" s="195">
        <f>SHF!I81</f>
        <v>11.21508</v>
      </c>
      <c r="J744" s="195">
        <f>SHF!J81</f>
        <v>0</v>
      </c>
      <c r="K744" s="289"/>
      <c r="L744" s="274"/>
      <c r="M744" s="268">
        <v>-0.22499999999999998</v>
      </c>
    </row>
    <row r="745" spans="1:13">
      <c r="A745" s="25" t="s">
        <v>1011</v>
      </c>
      <c r="B745" s="26" t="s">
        <v>211</v>
      </c>
      <c r="C745" s="26"/>
      <c r="D745" s="26"/>
      <c r="E745" s="27"/>
      <c r="F745" s="195">
        <f>SHF!F91</f>
        <v>13.233843093186028</v>
      </c>
      <c r="G745" s="211"/>
      <c r="H745" s="197"/>
      <c r="I745" s="195">
        <f>SHF!I91</f>
        <v>0</v>
      </c>
      <c r="J745" s="195">
        <f>SHF!J91</f>
        <v>0</v>
      </c>
      <c r="K745" s="289"/>
      <c r="L745" s="274"/>
      <c r="M745" s="268">
        <v>-0.22499999999999998</v>
      </c>
    </row>
    <row r="746" spans="1:13">
      <c r="A746" s="253"/>
      <c r="B746" s="15"/>
      <c r="C746" s="15"/>
      <c r="D746" s="15"/>
      <c r="E746" s="22"/>
      <c r="F746" s="212"/>
      <c r="G746" s="213"/>
      <c r="H746" s="198"/>
      <c r="I746" s="198"/>
      <c r="J746" s="58"/>
      <c r="K746" s="74"/>
      <c r="L746" s="277"/>
      <c r="M746" s="379"/>
    </row>
    <row r="747" spans="1:13">
      <c r="A747" s="46"/>
      <c r="B747" s="46"/>
      <c r="C747" s="46"/>
      <c r="D747" s="46"/>
      <c r="E747" s="46"/>
      <c r="F747" s="46"/>
      <c r="G747" s="46"/>
      <c r="H747" s="46"/>
      <c r="I747" s="46"/>
      <c r="J747" s="46"/>
      <c r="K747" s="116"/>
      <c r="L747" s="270"/>
      <c r="M747" s="87"/>
    </row>
    <row r="748" spans="1:13">
      <c r="A748" s="220" t="s">
        <v>73</v>
      </c>
      <c r="B748" s="220" t="s">
        <v>74</v>
      </c>
      <c r="C748" s="200"/>
      <c r="D748" s="200"/>
      <c r="E748" s="217"/>
      <c r="F748" s="1636" t="s">
        <v>72</v>
      </c>
      <c r="G748" s="1637"/>
      <c r="H748" s="1637"/>
      <c r="I748" s="1637"/>
      <c r="J748" s="1638"/>
      <c r="K748" s="116"/>
      <c r="L748" s="270"/>
      <c r="M748" s="87"/>
    </row>
    <row r="749" spans="1:13" ht="18">
      <c r="A749" s="221"/>
      <c r="B749" s="221"/>
      <c r="C749" s="201"/>
      <c r="D749" s="201"/>
      <c r="E749" s="219"/>
      <c r="F749" s="223" t="s">
        <v>23</v>
      </c>
      <c r="G749" s="223" t="s">
        <v>87</v>
      </c>
      <c r="H749" s="223" t="s">
        <v>212</v>
      </c>
      <c r="I749" s="223" t="s">
        <v>80</v>
      </c>
      <c r="J749" s="223" t="s">
        <v>81</v>
      </c>
      <c r="K749" s="116"/>
      <c r="L749" s="270"/>
      <c r="M749" s="87"/>
    </row>
    <row r="750" spans="1:13">
      <c r="A750" s="222"/>
      <c r="B750" s="222"/>
      <c r="C750" s="203"/>
      <c r="D750" s="203"/>
      <c r="E750" s="218"/>
      <c r="F750" s="204" t="s">
        <v>34</v>
      </c>
      <c r="G750" s="204" t="s">
        <v>34</v>
      </c>
      <c r="H750" s="203" t="s">
        <v>34</v>
      </c>
      <c r="I750" s="204" t="s">
        <v>77</v>
      </c>
      <c r="J750" s="204" t="s">
        <v>77</v>
      </c>
      <c r="K750" s="116"/>
      <c r="L750" s="270"/>
      <c r="M750" s="87"/>
    </row>
    <row r="751" spans="1:13">
      <c r="A751" s="202"/>
      <c r="B751" s="200"/>
      <c r="C751" s="200"/>
      <c r="D751" s="200"/>
      <c r="E751" s="217"/>
      <c r="F751" s="205"/>
      <c r="G751" s="205"/>
      <c r="H751" s="201"/>
      <c r="I751" s="205"/>
      <c r="J751" s="205"/>
      <c r="K751" s="116"/>
      <c r="L751" s="270"/>
      <c r="M751" s="87"/>
    </row>
    <row r="752" spans="1:13">
      <c r="A752" s="205" t="str">
        <f>A725</f>
        <v>LC-25</v>
      </c>
      <c r="B752" s="201" t="str">
        <f>B725</f>
        <v>LC-21 + Seismic Sx=1,Sz=0.3,Sy=-0.3 (50% seismic)</v>
      </c>
      <c r="C752" s="201"/>
      <c r="D752" s="201"/>
      <c r="E752" s="219"/>
      <c r="F752" s="1054">
        <f>SUMPRODUCT(F728:F745,$M$728:$M$745)</f>
        <v>623.4122925014517</v>
      </c>
      <c r="G752" s="1055">
        <f>SUMPRODUCT(G728:G745,$M$728:$M$745)</f>
        <v>94.741511843639273</v>
      </c>
      <c r="H752" s="1055">
        <f>SUMPRODUCT(H728:H745,$M$728:$M$745)</f>
        <v>14.785478964123449</v>
      </c>
      <c r="I752" s="1055">
        <f>SUMPRODUCT(I728:I745,$M$728:$M$745)</f>
        <v>738.09995407600013</v>
      </c>
      <c r="J752" s="1055">
        <f>SUMPRODUCT(J728:J745,$M$728:$M$745)</f>
        <v>77.640441467844028</v>
      </c>
      <c r="K752" s="116"/>
      <c r="L752" s="270"/>
      <c r="M752" s="87"/>
    </row>
    <row r="753" spans="1:13">
      <c r="A753" s="204"/>
      <c r="B753" s="203"/>
      <c r="C753" s="203"/>
      <c r="D753" s="203"/>
      <c r="E753" s="218"/>
      <c r="F753" s="204"/>
      <c r="G753" s="204"/>
      <c r="H753" s="203"/>
      <c r="I753" s="204"/>
      <c r="J753" s="204"/>
      <c r="K753" s="116"/>
      <c r="L753" s="270"/>
      <c r="M753" s="87"/>
    </row>
    <row r="754" spans="1:13">
      <c r="A754" s="1"/>
      <c r="B754" s="1"/>
      <c r="C754" s="1"/>
      <c r="D754" s="1"/>
      <c r="E754" s="1"/>
      <c r="F754" s="1"/>
      <c r="G754" s="1"/>
      <c r="H754" s="1"/>
      <c r="I754" s="1"/>
      <c r="J754" s="1"/>
      <c r="K754" s="1"/>
      <c r="L754" s="1"/>
      <c r="M754" s="1"/>
    </row>
    <row r="755" spans="1:13">
      <c r="A755" s="1"/>
      <c r="B755" s="1"/>
      <c r="C755" s="1"/>
      <c r="D755" s="1"/>
      <c r="E755" s="1"/>
      <c r="F755" s="1"/>
      <c r="G755" s="1"/>
      <c r="H755" s="1"/>
      <c r="I755" s="1"/>
      <c r="J755" s="1"/>
      <c r="K755" s="1"/>
      <c r="L755" s="1"/>
      <c r="M755" s="1"/>
    </row>
    <row r="756" spans="1:13">
      <c r="A756" s="225" t="str">
        <f>M756</f>
        <v>LC-26</v>
      </c>
      <c r="B756" s="24" t="str">
        <f>VLOOKUP(A756,LC_DEF_2!A3:B42,2,FALSE)</f>
        <v>LC-21 + Seismic Sx=0.3,Sz=1,Sy=-0.3 (50% seismic)</v>
      </c>
      <c r="C756" s="24"/>
      <c r="D756" s="24"/>
      <c r="E756" s="21"/>
      <c r="F756" s="1599" t="s">
        <v>742</v>
      </c>
      <c r="G756" s="1635"/>
      <c r="H756" s="1635"/>
      <c r="I756" s="1635"/>
      <c r="J756" s="1600"/>
      <c r="K756" s="73"/>
      <c r="L756" s="272"/>
      <c r="M756" s="384" t="s">
        <v>1163</v>
      </c>
    </row>
    <row r="757" spans="1:13" ht="18">
      <c r="A757" s="25" t="s">
        <v>73</v>
      </c>
      <c r="B757" s="26" t="s">
        <v>74</v>
      </c>
      <c r="C757" s="26"/>
      <c r="D757" s="26"/>
      <c r="E757" s="27"/>
      <c r="F757" s="33" t="s">
        <v>23</v>
      </c>
      <c r="G757" s="33" t="s">
        <v>87</v>
      </c>
      <c r="H757" s="33" t="s">
        <v>212</v>
      </c>
      <c r="I757" s="33" t="s">
        <v>80</v>
      </c>
      <c r="J757" s="33" t="s">
        <v>81</v>
      </c>
      <c r="K757" s="273"/>
      <c r="L757" s="274"/>
      <c r="M757" s="376"/>
    </row>
    <row r="758" spans="1:13">
      <c r="A758" s="25"/>
      <c r="B758" s="26"/>
      <c r="C758" s="26"/>
      <c r="D758" s="26"/>
      <c r="E758" s="27"/>
      <c r="F758" s="36" t="s">
        <v>34</v>
      </c>
      <c r="G758" s="36" t="s">
        <v>34</v>
      </c>
      <c r="H758" s="36" t="s">
        <v>34</v>
      </c>
      <c r="I758" s="36" t="s">
        <v>77</v>
      </c>
      <c r="J758" s="36" t="s">
        <v>77</v>
      </c>
      <c r="K758" s="74"/>
      <c r="L758" s="277"/>
      <c r="M758" s="655"/>
    </row>
    <row r="759" spans="1:13">
      <c r="A759" s="25" t="s">
        <v>88</v>
      </c>
      <c r="B759" s="26" t="s">
        <v>75</v>
      </c>
      <c r="C759" s="26"/>
      <c r="D759" s="26"/>
      <c r="E759" s="27"/>
      <c r="F759" s="195">
        <f>SHF!F14</f>
        <v>165.42303866482536</v>
      </c>
      <c r="G759" s="210"/>
      <c r="H759" s="34"/>
      <c r="I759" s="195">
        <f>SHF!I14</f>
        <v>0</v>
      </c>
      <c r="J759" s="195">
        <f>SHF!J14</f>
        <v>0</v>
      </c>
      <c r="K759" s="273"/>
      <c r="L759" s="274"/>
      <c r="M759" s="268">
        <v>1.35</v>
      </c>
    </row>
    <row r="760" spans="1:13">
      <c r="A760" s="25" t="s">
        <v>250</v>
      </c>
      <c r="B760" s="26" t="s">
        <v>970</v>
      </c>
      <c r="C760" s="26"/>
      <c r="D760" s="26"/>
      <c r="E760" s="27"/>
      <c r="F760" s="195">
        <f>SHF!F21</f>
        <v>230</v>
      </c>
      <c r="G760" s="210"/>
      <c r="H760" s="34"/>
      <c r="I760" s="195">
        <f>SHF!I21</f>
        <v>115</v>
      </c>
      <c r="J760" s="195">
        <f>SHF!J21</f>
        <v>0</v>
      </c>
      <c r="K760" s="273"/>
      <c r="L760" s="274"/>
      <c r="M760" s="376">
        <v>1.35</v>
      </c>
    </row>
    <row r="761" spans="1:13">
      <c r="A761" s="25" t="s">
        <v>251</v>
      </c>
      <c r="B761" s="26" t="s">
        <v>971</v>
      </c>
      <c r="C761" s="26"/>
      <c r="D761" s="26"/>
      <c r="E761" s="27"/>
      <c r="F761" s="195">
        <f>SHF!F22</f>
        <v>20.660000000000004</v>
      </c>
      <c r="G761" s="210"/>
      <c r="H761" s="34"/>
      <c r="I761" s="195">
        <f>SHF!I22</f>
        <v>10.330000000000002</v>
      </c>
      <c r="J761" s="195">
        <f>SHF!J22</f>
        <v>0</v>
      </c>
      <c r="K761" s="273"/>
      <c r="L761" s="274"/>
      <c r="M761" s="376">
        <v>1.35</v>
      </c>
    </row>
    <row r="762" spans="1:13">
      <c r="A762" s="25" t="s">
        <v>97</v>
      </c>
      <c r="B762" s="26" t="s">
        <v>972</v>
      </c>
      <c r="C762" s="26"/>
      <c r="D762" s="26"/>
      <c r="E762" s="27"/>
      <c r="F762" s="195">
        <f>SHF!F23</f>
        <v>42</v>
      </c>
      <c r="G762" s="210"/>
      <c r="H762" s="34"/>
      <c r="I762" s="195">
        <f>SHF!I23</f>
        <v>14.858499999999999</v>
      </c>
      <c r="J762" s="195">
        <f>SHF!J23</f>
        <v>0</v>
      </c>
      <c r="K762" s="273"/>
      <c r="L762" s="274"/>
      <c r="M762" s="376">
        <v>1.75</v>
      </c>
    </row>
    <row r="763" spans="1:13">
      <c r="A763" s="25" t="s">
        <v>987</v>
      </c>
      <c r="B763" s="163" t="s">
        <v>957</v>
      </c>
      <c r="C763" s="26"/>
      <c r="D763" s="26"/>
      <c r="E763" s="27"/>
      <c r="F763" s="34"/>
      <c r="G763" s="195">
        <f>SHF!G38</f>
        <v>14.632999999999999</v>
      </c>
      <c r="H763" s="34"/>
      <c r="I763" s="195">
        <f>SHF!I38</f>
        <v>94.821840000000009</v>
      </c>
      <c r="J763" s="34"/>
      <c r="K763" s="273"/>
      <c r="L763" s="274"/>
      <c r="M763" s="376">
        <v>1.5</v>
      </c>
    </row>
    <row r="764" spans="1:13">
      <c r="A764" s="686" t="s">
        <v>1128</v>
      </c>
      <c r="B764" s="687"/>
      <c r="C764" s="688"/>
      <c r="D764" s="688"/>
      <c r="E764" s="689"/>
      <c r="F764" s="195">
        <f>SHF!F40</f>
        <v>-23.695433333970961</v>
      </c>
      <c r="G764" s="689"/>
      <c r="H764" s="690"/>
      <c r="I764" s="195">
        <f>SHF!I40</f>
        <v>0</v>
      </c>
      <c r="J764" s="195">
        <f>SHF!J40</f>
        <v>0</v>
      </c>
      <c r="K764" s="273"/>
      <c r="L764" s="274"/>
      <c r="M764" s="376">
        <v>0.15</v>
      </c>
    </row>
    <row r="765" spans="1:13">
      <c r="A765" s="686" t="s">
        <v>1131</v>
      </c>
      <c r="B765" s="687"/>
      <c r="C765" s="688"/>
      <c r="D765" s="688"/>
      <c r="E765" s="689"/>
      <c r="F765" s="690"/>
      <c r="G765" s="195">
        <f>SHF!G44</f>
        <v>1.566445545112501</v>
      </c>
      <c r="H765" s="195">
        <f>SHF!H44</f>
        <v>0.77082515176153144</v>
      </c>
      <c r="I765" s="195">
        <f>SHF!I44</f>
        <v>2.5854696423507204</v>
      </c>
      <c r="J765" s="195">
        <f>SHF!J44</f>
        <v>1.2722721422765415</v>
      </c>
      <c r="K765" s="273"/>
      <c r="L765" s="274"/>
      <c r="M765" s="376">
        <v>1</v>
      </c>
    </row>
    <row r="766" spans="1:13">
      <c r="A766" s="278" t="s">
        <v>1132</v>
      </c>
      <c r="B766" s="262"/>
      <c r="C766" s="262"/>
      <c r="D766" s="262"/>
      <c r="E766" s="263"/>
      <c r="F766" s="1052"/>
      <c r="G766" s="1053"/>
      <c r="H766" s="267"/>
      <c r="I766" s="1052"/>
      <c r="J766" s="267"/>
      <c r="K766" s="289"/>
      <c r="L766" s="274"/>
      <c r="M766" s="412">
        <v>0.22499999999999998</v>
      </c>
    </row>
    <row r="767" spans="1:13">
      <c r="A767" s="25" t="s">
        <v>991</v>
      </c>
      <c r="B767" s="26" t="s">
        <v>989</v>
      </c>
      <c r="C767" s="26"/>
      <c r="D767" s="26"/>
      <c r="E767" s="27"/>
      <c r="F767" s="197"/>
      <c r="G767" s="195">
        <f>SHF!G49</f>
        <v>70.238399999999984</v>
      </c>
      <c r="H767" s="34"/>
      <c r="I767" s="195">
        <f>SHF!I49</f>
        <v>455.14483200000001</v>
      </c>
      <c r="J767" s="89"/>
      <c r="K767" s="289"/>
      <c r="L767" s="274"/>
      <c r="M767" s="268">
        <v>0.22499999999999998</v>
      </c>
    </row>
    <row r="768" spans="1:13">
      <c r="A768" s="25" t="s">
        <v>217</v>
      </c>
      <c r="B768" s="26" t="s">
        <v>211</v>
      </c>
      <c r="C768" s="26"/>
      <c r="D768" s="26"/>
      <c r="E768" s="27"/>
      <c r="F768" s="197"/>
      <c r="G768" s="195">
        <f>SHF!G55</f>
        <v>19.850764639779044</v>
      </c>
      <c r="H768" s="34"/>
      <c r="I768" s="195">
        <f>SHF!I55</f>
        <v>73.367744311147007</v>
      </c>
      <c r="J768" s="89"/>
      <c r="K768" s="289"/>
      <c r="L768" s="274"/>
      <c r="M768" s="376">
        <v>0.22499999999999998</v>
      </c>
    </row>
    <row r="769" spans="1:13">
      <c r="A769" s="686" t="s">
        <v>1139</v>
      </c>
      <c r="B769" s="688" t="s">
        <v>1140</v>
      </c>
      <c r="C769" s="688"/>
      <c r="D769" s="688"/>
      <c r="E769" s="689"/>
      <c r="F769" s="620"/>
      <c r="G769" s="195">
        <f>SHF!G58</f>
        <v>7.3173856373850432</v>
      </c>
      <c r="H769" s="690"/>
      <c r="I769" s="195">
        <f>SHF!I58</f>
        <v>8.4456204005780648</v>
      </c>
      <c r="J769" s="269"/>
      <c r="K769" s="289"/>
      <c r="L769" s="274"/>
      <c r="M769" s="376">
        <v>0.15</v>
      </c>
    </row>
    <row r="770" spans="1:13">
      <c r="A770" s="278" t="s">
        <v>1135</v>
      </c>
      <c r="B770" s="262"/>
      <c r="C770" s="262"/>
      <c r="D770" s="262"/>
      <c r="E770" s="263"/>
      <c r="F770" s="279"/>
      <c r="G770" s="280"/>
      <c r="H770" s="264"/>
      <c r="I770" s="279"/>
      <c r="J770" s="264"/>
      <c r="K770" s="289"/>
      <c r="L770" s="274"/>
      <c r="M770" s="708">
        <v>0.75</v>
      </c>
    </row>
    <row r="771" spans="1:13">
      <c r="A771" s="25" t="s">
        <v>998</v>
      </c>
      <c r="B771" s="26" t="s">
        <v>989</v>
      </c>
      <c r="C771" s="26"/>
      <c r="D771" s="26"/>
      <c r="E771" s="27"/>
      <c r="F771" s="197"/>
      <c r="G771" s="211"/>
      <c r="H771" s="195">
        <f>SHF!H63</f>
        <v>35.119199999999992</v>
      </c>
      <c r="I771" s="197"/>
      <c r="J771" s="195">
        <f>SHF!J63</f>
        <v>257.60072117968605</v>
      </c>
      <c r="K771" s="289"/>
      <c r="L771" s="274"/>
      <c r="M771" s="376">
        <v>0.75</v>
      </c>
    </row>
    <row r="772" spans="1:13">
      <c r="A772" s="25" t="s">
        <v>1006</v>
      </c>
      <c r="B772" s="26" t="s">
        <v>211</v>
      </c>
      <c r="C772" s="26"/>
      <c r="D772" s="26"/>
      <c r="E772" s="27"/>
      <c r="F772" s="197"/>
      <c r="G772" s="211"/>
      <c r="H772" s="195">
        <f>SHF!H73</f>
        <v>19.850764639779044</v>
      </c>
      <c r="I772" s="197"/>
      <c r="J772" s="195">
        <f>SHF!J73</f>
        <v>73.367744311147007</v>
      </c>
      <c r="K772" s="289"/>
      <c r="L772" s="274"/>
      <c r="M772" s="376">
        <v>0.75</v>
      </c>
    </row>
    <row r="773" spans="1:13">
      <c r="A773" s="686" t="s">
        <v>1138</v>
      </c>
      <c r="B773" s="688" t="s">
        <v>1141</v>
      </c>
      <c r="C773" s="26"/>
      <c r="D773" s="26"/>
      <c r="E773" s="27"/>
      <c r="F773" s="34"/>
      <c r="G773" s="27"/>
      <c r="H773" s="195">
        <f>SHF!H76</f>
        <v>7.3173856373850432</v>
      </c>
      <c r="I773" s="620"/>
      <c r="J773" s="195">
        <f>SHF!J76</f>
        <v>8.4456204005780648</v>
      </c>
      <c r="K773" s="289"/>
      <c r="L773" s="274"/>
      <c r="M773" s="376">
        <v>0.75</v>
      </c>
    </row>
    <row r="774" spans="1:13">
      <c r="A774" s="290" t="s">
        <v>1137</v>
      </c>
      <c r="B774" s="11"/>
      <c r="C774" s="11"/>
      <c r="D774" s="11"/>
      <c r="E774" s="191"/>
      <c r="F774" s="197"/>
      <c r="G774" s="211"/>
      <c r="H774" s="89"/>
      <c r="I774" s="197"/>
      <c r="J774" s="89"/>
      <c r="K774" s="289"/>
      <c r="L774" s="274"/>
      <c r="M774" s="994">
        <v>0.22499999999999998</v>
      </c>
    </row>
    <row r="775" spans="1:13">
      <c r="A775" s="25" t="s">
        <v>1008</v>
      </c>
      <c r="B775" s="26" t="s">
        <v>989</v>
      </c>
      <c r="C775" s="26"/>
      <c r="D775" s="26"/>
      <c r="E775" s="27"/>
      <c r="F775" s="195">
        <f>SHF!F81</f>
        <v>23.412799999999997</v>
      </c>
      <c r="G775" s="211"/>
      <c r="H775" s="34"/>
      <c r="I775" s="195">
        <f>SHF!I81</f>
        <v>11.21508</v>
      </c>
      <c r="J775" s="195">
        <f>SHF!J81</f>
        <v>0</v>
      </c>
      <c r="K775" s="289"/>
      <c r="L775" s="274"/>
      <c r="M775" s="268">
        <v>-0.22499999999999998</v>
      </c>
    </row>
    <row r="776" spans="1:13">
      <c r="A776" s="25" t="s">
        <v>1011</v>
      </c>
      <c r="B776" s="26" t="s">
        <v>211</v>
      </c>
      <c r="C776" s="26"/>
      <c r="D776" s="26"/>
      <c r="E776" s="27"/>
      <c r="F776" s="195">
        <f>SHF!F91</f>
        <v>13.233843093186028</v>
      </c>
      <c r="G776" s="211"/>
      <c r="H776" s="197"/>
      <c r="I776" s="195">
        <f>SHF!I91</f>
        <v>0</v>
      </c>
      <c r="J776" s="195">
        <f>SHF!J91</f>
        <v>0</v>
      </c>
      <c r="K776" s="289"/>
      <c r="L776" s="274"/>
      <c r="M776" s="268">
        <v>-0.22499999999999998</v>
      </c>
    </row>
    <row r="777" spans="1:13">
      <c r="A777" s="253"/>
      <c r="B777" s="15"/>
      <c r="C777" s="15"/>
      <c r="D777" s="15"/>
      <c r="E777" s="22"/>
      <c r="F777" s="212"/>
      <c r="G777" s="213"/>
      <c r="H777" s="198"/>
      <c r="I777" s="198"/>
      <c r="J777" s="58"/>
      <c r="K777" s="74"/>
      <c r="L777" s="277"/>
      <c r="M777" s="379"/>
    </row>
    <row r="778" spans="1:13">
      <c r="A778" s="46"/>
      <c r="B778" s="46"/>
      <c r="C778" s="46"/>
      <c r="D778" s="46"/>
      <c r="E778" s="46"/>
      <c r="F778" s="46"/>
      <c r="G778" s="46"/>
      <c r="H778" s="46"/>
      <c r="I778" s="46"/>
      <c r="J778" s="46"/>
      <c r="K778" s="116"/>
      <c r="L778" s="270"/>
      <c r="M778" s="87"/>
    </row>
    <row r="779" spans="1:13">
      <c r="A779" s="220" t="s">
        <v>73</v>
      </c>
      <c r="B779" s="220" t="s">
        <v>74</v>
      </c>
      <c r="C779" s="200"/>
      <c r="D779" s="200"/>
      <c r="E779" s="217"/>
      <c r="F779" s="1636" t="s">
        <v>72</v>
      </c>
      <c r="G779" s="1637"/>
      <c r="H779" s="1637"/>
      <c r="I779" s="1637"/>
      <c r="J779" s="1638"/>
      <c r="K779" s="116"/>
      <c r="L779" s="270"/>
      <c r="M779" s="87"/>
    </row>
    <row r="780" spans="1:13" ht="18">
      <c r="A780" s="221"/>
      <c r="B780" s="221"/>
      <c r="C780" s="201"/>
      <c r="D780" s="201"/>
      <c r="E780" s="219"/>
      <c r="F780" s="223" t="s">
        <v>23</v>
      </c>
      <c r="G780" s="223" t="s">
        <v>87</v>
      </c>
      <c r="H780" s="223" t="s">
        <v>212</v>
      </c>
      <c r="I780" s="223" t="s">
        <v>80</v>
      </c>
      <c r="J780" s="223" t="s">
        <v>81</v>
      </c>
      <c r="K780" s="116"/>
      <c r="L780" s="270"/>
      <c r="M780" s="87"/>
    </row>
    <row r="781" spans="1:13">
      <c r="A781" s="222"/>
      <c r="B781" s="222"/>
      <c r="C781" s="203"/>
      <c r="D781" s="203"/>
      <c r="E781" s="218"/>
      <c r="F781" s="204" t="s">
        <v>34</v>
      </c>
      <c r="G781" s="204" t="s">
        <v>34</v>
      </c>
      <c r="H781" s="203" t="s">
        <v>34</v>
      </c>
      <c r="I781" s="204" t="s">
        <v>77</v>
      </c>
      <c r="J781" s="204" t="s">
        <v>77</v>
      </c>
      <c r="K781" s="116"/>
      <c r="L781" s="270"/>
      <c r="M781" s="87"/>
    </row>
    <row r="782" spans="1:13">
      <c r="A782" s="202"/>
      <c r="B782" s="200"/>
      <c r="C782" s="200"/>
      <c r="D782" s="200"/>
      <c r="E782" s="217"/>
      <c r="F782" s="205"/>
      <c r="G782" s="205"/>
      <c r="H782" s="201"/>
      <c r="I782" s="205"/>
      <c r="J782" s="205"/>
      <c r="K782" s="116"/>
      <c r="L782" s="270"/>
      <c r="M782" s="87"/>
    </row>
    <row r="783" spans="1:13">
      <c r="A783" s="205" t="str">
        <f>A756</f>
        <v>LC-26</v>
      </c>
      <c r="B783" s="201" t="str">
        <f>B756</f>
        <v>LC-21 + Seismic Sx=0.3,Sz=1,Sy=-0.3 (50% seismic)</v>
      </c>
      <c r="C783" s="201"/>
      <c r="D783" s="201"/>
      <c r="E783" s="219"/>
      <c r="F783" s="1054">
        <f>SUMPRODUCT(F759:F776,$M$759:$M$776)</f>
        <v>623.4122925014517</v>
      </c>
      <c r="G783" s="1055">
        <f>SUMPRODUCT(G759:G776,$M$759:$M$776)</f>
        <v>44.883615434670531</v>
      </c>
      <c r="H783" s="1055">
        <f>SUMPRODUCT(H759:H776,$M$759:$M$776)</f>
        <v>47.486337859634588</v>
      </c>
      <c r="I783" s="1055">
        <f>SUMPRODUCT(I759:I776,$M$759:$M$776)</f>
        <v>457.67488437244555</v>
      </c>
      <c r="J783" s="1055">
        <f>SUMPRODUCT(J759:J776,$M$759:$M$776)</f>
        <v>255.83283656083486</v>
      </c>
      <c r="K783" s="116"/>
      <c r="L783" s="270"/>
      <c r="M783" s="87"/>
    </row>
    <row r="784" spans="1:13">
      <c r="A784" s="204"/>
      <c r="B784" s="203"/>
      <c r="C784" s="203"/>
      <c r="D784" s="203"/>
      <c r="E784" s="218"/>
      <c r="F784" s="204"/>
      <c r="G784" s="204"/>
      <c r="H784" s="203"/>
      <c r="I784" s="204"/>
      <c r="J784" s="204"/>
      <c r="K784" s="116"/>
      <c r="L784" s="270"/>
      <c r="M784" s="87"/>
    </row>
    <row r="785" spans="1:13">
      <c r="A785" s="1"/>
      <c r="B785" s="1"/>
      <c r="C785" s="1"/>
      <c r="D785" s="1"/>
      <c r="E785" s="1"/>
      <c r="F785" s="1"/>
      <c r="G785" s="1"/>
      <c r="H785" s="1"/>
      <c r="I785" s="1"/>
      <c r="J785" s="1"/>
      <c r="K785" s="1"/>
      <c r="L785" s="1"/>
      <c r="M785" s="1"/>
    </row>
    <row r="786" spans="1:13">
      <c r="A786" s="1"/>
      <c r="B786" s="1"/>
      <c r="C786" s="1"/>
      <c r="D786" s="1"/>
      <c r="E786" s="1"/>
      <c r="F786" s="1"/>
      <c r="G786" s="1"/>
      <c r="H786" s="1"/>
      <c r="I786" s="1"/>
      <c r="J786" s="1"/>
      <c r="K786" s="1"/>
      <c r="L786" s="1"/>
      <c r="M786" s="1"/>
    </row>
    <row r="787" spans="1:13">
      <c r="A787" s="225" t="str">
        <f>M787</f>
        <v>LC-27</v>
      </c>
      <c r="B787" s="24" t="str">
        <f>VLOOKUP(A787,LC_DEF_2!A3:B42,2,FALSE)</f>
        <v>LC-21 + Seismic Sx=1,Sz=0.3,Sy=0.3 (50% seismic)</v>
      </c>
      <c r="C787" s="24"/>
      <c r="D787" s="24"/>
      <c r="E787" s="21"/>
      <c r="F787" s="1599" t="s">
        <v>742</v>
      </c>
      <c r="G787" s="1635"/>
      <c r="H787" s="1635"/>
      <c r="I787" s="1635"/>
      <c r="J787" s="1600"/>
      <c r="K787" s="73"/>
      <c r="L787" s="272"/>
      <c r="M787" s="384" t="s">
        <v>1164</v>
      </c>
    </row>
    <row r="788" spans="1:13" ht="18">
      <c r="A788" s="25" t="s">
        <v>73</v>
      </c>
      <c r="B788" s="26" t="s">
        <v>74</v>
      </c>
      <c r="C788" s="26"/>
      <c r="D788" s="26"/>
      <c r="E788" s="27"/>
      <c r="F788" s="33" t="s">
        <v>23</v>
      </c>
      <c r="G788" s="33" t="s">
        <v>87</v>
      </c>
      <c r="H788" s="33" t="s">
        <v>212</v>
      </c>
      <c r="I788" s="33" t="s">
        <v>80</v>
      </c>
      <c r="J788" s="33" t="s">
        <v>81</v>
      </c>
      <c r="K788" s="273"/>
      <c r="L788" s="274"/>
      <c r="M788" s="376"/>
    </row>
    <row r="789" spans="1:13">
      <c r="A789" s="25"/>
      <c r="B789" s="26"/>
      <c r="C789" s="26"/>
      <c r="D789" s="26"/>
      <c r="E789" s="27"/>
      <c r="F789" s="36" t="s">
        <v>34</v>
      </c>
      <c r="G789" s="36" t="s">
        <v>34</v>
      </c>
      <c r="H789" s="36" t="s">
        <v>34</v>
      </c>
      <c r="I789" s="36" t="s">
        <v>77</v>
      </c>
      <c r="J789" s="36" t="s">
        <v>77</v>
      </c>
      <c r="K789" s="74"/>
      <c r="L789" s="277"/>
      <c r="M789" s="655"/>
    </row>
    <row r="790" spans="1:13">
      <c r="A790" s="25" t="s">
        <v>88</v>
      </c>
      <c r="B790" s="26" t="s">
        <v>75</v>
      </c>
      <c r="C790" s="26"/>
      <c r="D790" s="26"/>
      <c r="E790" s="27"/>
      <c r="F790" s="195">
        <f>SHF!F14</f>
        <v>165.42303866482536</v>
      </c>
      <c r="G790" s="210"/>
      <c r="H790" s="34"/>
      <c r="I790" s="195">
        <f>SHF!I14</f>
        <v>0</v>
      </c>
      <c r="J790" s="195">
        <f>SHF!J14</f>
        <v>0</v>
      </c>
      <c r="K790" s="273"/>
      <c r="L790" s="274"/>
      <c r="M790" s="268">
        <v>1.35</v>
      </c>
    </row>
    <row r="791" spans="1:13">
      <c r="A791" s="25" t="s">
        <v>250</v>
      </c>
      <c r="B791" s="26" t="s">
        <v>970</v>
      </c>
      <c r="C791" s="26"/>
      <c r="D791" s="26"/>
      <c r="E791" s="27"/>
      <c r="F791" s="195">
        <f>SHF!F21</f>
        <v>230</v>
      </c>
      <c r="G791" s="210"/>
      <c r="H791" s="34"/>
      <c r="I791" s="195">
        <f>SHF!I21</f>
        <v>115</v>
      </c>
      <c r="J791" s="195">
        <f>SHF!J21</f>
        <v>0</v>
      </c>
      <c r="K791" s="273"/>
      <c r="L791" s="274"/>
      <c r="M791" s="376">
        <v>1.35</v>
      </c>
    </row>
    <row r="792" spans="1:13">
      <c r="A792" s="25" t="s">
        <v>251</v>
      </c>
      <c r="B792" s="26" t="s">
        <v>971</v>
      </c>
      <c r="C792" s="26"/>
      <c r="D792" s="26"/>
      <c r="E792" s="27"/>
      <c r="F792" s="195">
        <f>SHF!F22</f>
        <v>20.660000000000004</v>
      </c>
      <c r="G792" s="210"/>
      <c r="H792" s="34"/>
      <c r="I792" s="195">
        <f>SHF!I22</f>
        <v>10.330000000000002</v>
      </c>
      <c r="J792" s="195">
        <f>SHF!J22</f>
        <v>0</v>
      </c>
      <c r="K792" s="273"/>
      <c r="L792" s="274"/>
      <c r="M792" s="376">
        <v>1.35</v>
      </c>
    </row>
    <row r="793" spans="1:13">
      <c r="A793" s="25" t="s">
        <v>97</v>
      </c>
      <c r="B793" s="26" t="s">
        <v>972</v>
      </c>
      <c r="C793" s="26"/>
      <c r="D793" s="26"/>
      <c r="E793" s="27"/>
      <c r="F793" s="195">
        <f>SHF!F23</f>
        <v>42</v>
      </c>
      <c r="G793" s="210"/>
      <c r="H793" s="34"/>
      <c r="I793" s="195">
        <f>SHF!I23</f>
        <v>14.858499999999999</v>
      </c>
      <c r="J793" s="195">
        <f>SHF!J23</f>
        <v>0</v>
      </c>
      <c r="K793" s="273"/>
      <c r="L793" s="274"/>
      <c r="M793" s="376">
        <v>1.75</v>
      </c>
    </row>
    <row r="794" spans="1:13">
      <c r="A794" s="25" t="s">
        <v>987</v>
      </c>
      <c r="B794" s="163" t="s">
        <v>957</v>
      </c>
      <c r="C794" s="26"/>
      <c r="D794" s="26"/>
      <c r="E794" s="27"/>
      <c r="F794" s="34"/>
      <c r="G794" s="195">
        <f>SHF!G38</f>
        <v>14.632999999999999</v>
      </c>
      <c r="H794" s="34"/>
      <c r="I794" s="195">
        <f>SHF!I38</f>
        <v>94.821840000000009</v>
      </c>
      <c r="J794" s="34"/>
      <c r="K794" s="273"/>
      <c r="L794" s="274"/>
      <c r="M794" s="376">
        <v>1.5</v>
      </c>
    </row>
    <row r="795" spans="1:13">
      <c r="A795" s="686" t="s">
        <v>1128</v>
      </c>
      <c r="B795" s="687"/>
      <c r="C795" s="688"/>
      <c r="D795" s="688"/>
      <c r="E795" s="689"/>
      <c r="F795" s="195">
        <f>SHF!F40</f>
        <v>-23.695433333970961</v>
      </c>
      <c r="G795" s="689"/>
      <c r="H795" s="690"/>
      <c r="I795" s="195">
        <f>SHF!I40</f>
        <v>0</v>
      </c>
      <c r="J795" s="195">
        <f>SHF!J40</f>
        <v>0</v>
      </c>
      <c r="K795" s="273"/>
      <c r="L795" s="274"/>
      <c r="M795" s="376">
        <v>0.15</v>
      </c>
    </row>
    <row r="796" spans="1:13">
      <c r="A796" s="686" t="s">
        <v>1131</v>
      </c>
      <c r="B796" s="687"/>
      <c r="C796" s="688"/>
      <c r="D796" s="688"/>
      <c r="E796" s="689"/>
      <c r="F796" s="690"/>
      <c r="G796" s="195">
        <f>SHF!G44</f>
        <v>1.566445545112501</v>
      </c>
      <c r="H796" s="195">
        <f>SHF!H44</f>
        <v>0.77082515176153144</v>
      </c>
      <c r="I796" s="195">
        <f>SHF!I44</f>
        <v>2.5854696423507204</v>
      </c>
      <c r="J796" s="195">
        <f>SHF!J44</f>
        <v>1.2722721422765415</v>
      </c>
      <c r="K796" s="273"/>
      <c r="L796" s="274"/>
      <c r="M796" s="376">
        <v>1</v>
      </c>
    </row>
    <row r="797" spans="1:13">
      <c r="A797" s="278" t="s">
        <v>1132</v>
      </c>
      <c r="B797" s="262"/>
      <c r="C797" s="262"/>
      <c r="D797" s="262"/>
      <c r="E797" s="263"/>
      <c r="F797" s="1052"/>
      <c r="G797" s="1053"/>
      <c r="H797" s="267"/>
      <c r="I797" s="1052"/>
      <c r="J797" s="267"/>
      <c r="K797" s="289"/>
      <c r="L797" s="274"/>
      <c r="M797" s="412">
        <v>0.75</v>
      </c>
    </row>
    <row r="798" spans="1:13">
      <c r="A798" s="25" t="s">
        <v>991</v>
      </c>
      <c r="B798" s="26" t="s">
        <v>989</v>
      </c>
      <c r="C798" s="26"/>
      <c r="D798" s="26"/>
      <c r="E798" s="27"/>
      <c r="F798" s="197"/>
      <c r="G798" s="195">
        <f>SHF!G49</f>
        <v>70.238399999999984</v>
      </c>
      <c r="H798" s="34"/>
      <c r="I798" s="195">
        <f>SHF!I49</f>
        <v>455.14483200000001</v>
      </c>
      <c r="J798" s="89"/>
      <c r="K798" s="289"/>
      <c r="L798" s="274"/>
      <c r="M798" s="268">
        <v>0.75</v>
      </c>
    </row>
    <row r="799" spans="1:13">
      <c r="A799" s="25" t="s">
        <v>217</v>
      </c>
      <c r="B799" s="26" t="s">
        <v>211</v>
      </c>
      <c r="C799" s="26"/>
      <c r="D799" s="26"/>
      <c r="E799" s="27"/>
      <c r="F799" s="197"/>
      <c r="G799" s="195">
        <f>SHF!G55</f>
        <v>19.850764639779044</v>
      </c>
      <c r="H799" s="34"/>
      <c r="I799" s="195">
        <f>SHF!I55</f>
        <v>73.367744311147007</v>
      </c>
      <c r="J799" s="89"/>
      <c r="K799" s="289"/>
      <c r="L799" s="274"/>
      <c r="M799" s="376">
        <v>0.75</v>
      </c>
    </row>
    <row r="800" spans="1:13">
      <c r="A800" s="686" t="s">
        <v>1139</v>
      </c>
      <c r="B800" s="688" t="s">
        <v>1140</v>
      </c>
      <c r="C800" s="688"/>
      <c r="D800" s="688"/>
      <c r="E800" s="689"/>
      <c r="F800" s="620"/>
      <c r="G800" s="195">
        <f>SHF!G58</f>
        <v>7.3173856373850432</v>
      </c>
      <c r="H800" s="690"/>
      <c r="I800" s="195">
        <f>SHF!I58</f>
        <v>8.4456204005780648</v>
      </c>
      <c r="J800" s="269"/>
      <c r="K800" s="289"/>
      <c r="L800" s="274"/>
      <c r="M800" s="376">
        <v>0.5</v>
      </c>
    </row>
    <row r="801" spans="1:13">
      <c r="A801" s="278" t="s">
        <v>1135</v>
      </c>
      <c r="B801" s="262"/>
      <c r="C801" s="262"/>
      <c r="D801" s="262"/>
      <c r="E801" s="263"/>
      <c r="F801" s="279"/>
      <c r="G801" s="280"/>
      <c r="H801" s="264"/>
      <c r="I801" s="279"/>
      <c r="J801" s="264"/>
      <c r="K801" s="289"/>
      <c r="L801" s="274"/>
      <c r="M801" s="708">
        <v>0.22499999999999998</v>
      </c>
    </row>
    <row r="802" spans="1:13">
      <c r="A802" s="25" t="s">
        <v>998</v>
      </c>
      <c r="B802" s="26" t="s">
        <v>989</v>
      </c>
      <c r="C802" s="26"/>
      <c r="D802" s="26"/>
      <c r="E802" s="27"/>
      <c r="F802" s="197"/>
      <c r="G802" s="211"/>
      <c r="H802" s="195">
        <f>SHF!H63</f>
        <v>35.119199999999992</v>
      </c>
      <c r="I802" s="197"/>
      <c r="J802" s="195">
        <f>SHF!J63</f>
        <v>257.60072117968605</v>
      </c>
      <c r="K802" s="289"/>
      <c r="L802" s="274"/>
      <c r="M802" s="376">
        <v>0.22499999999999998</v>
      </c>
    </row>
    <row r="803" spans="1:13">
      <c r="A803" s="25" t="s">
        <v>1006</v>
      </c>
      <c r="B803" s="26" t="s">
        <v>211</v>
      </c>
      <c r="C803" s="26"/>
      <c r="D803" s="26"/>
      <c r="E803" s="27"/>
      <c r="F803" s="197"/>
      <c r="G803" s="211"/>
      <c r="H803" s="195">
        <f>SHF!H73</f>
        <v>19.850764639779044</v>
      </c>
      <c r="I803" s="197"/>
      <c r="J803" s="195">
        <f>SHF!J73</f>
        <v>73.367744311147007</v>
      </c>
      <c r="K803" s="289"/>
      <c r="L803" s="274"/>
      <c r="M803" s="376">
        <v>0.22499999999999998</v>
      </c>
    </row>
    <row r="804" spans="1:13">
      <c r="A804" s="686" t="s">
        <v>1138</v>
      </c>
      <c r="B804" s="688" t="s">
        <v>1141</v>
      </c>
      <c r="C804" s="26"/>
      <c r="D804" s="26"/>
      <c r="E804" s="27"/>
      <c r="F804" s="34"/>
      <c r="G804" s="27"/>
      <c r="H804" s="195">
        <f>SHF!H76</f>
        <v>7.3173856373850432</v>
      </c>
      <c r="I804" s="620"/>
      <c r="J804" s="195">
        <f>SHF!J76</f>
        <v>8.4456204005780648</v>
      </c>
      <c r="K804" s="289"/>
      <c r="L804" s="274"/>
      <c r="M804" s="376">
        <v>0.22499999999999998</v>
      </c>
    </row>
    <row r="805" spans="1:13">
      <c r="A805" s="290" t="s">
        <v>1137</v>
      </c>
      <c r="B805" s="11"/>
      <c r="C805" s="11"/>
      <c r="D805" s="11"/>
      <c r="E805" s="191"/>
      <c r="F805" s="197"/>
      <c r="G805" s="211"/>
      <c r="H805" s="89"/>
      <c r="I805" s="197"/>
      <c r="J805" s="89"/>
      <c r="K805" s="289"/>
      <c r="L805" s="274"/>
      <c r="M805" s="994">
        <v>0.22499999999999998</v>
      </c>
    </row>
    <row r="806" spans="1:13">
      <c r="A806" s="25" t="s">
        <v>1008</v>
      </c>
      <c r="B806" s="26" t="s">
        <v>989</v>
      </c>
      <c r="C806" s="26"/>
      <c r="D806" s="26"/>
      <c r="E806" s="27"/>
      <c r="F806" s="195">
        <f>SHF!F81</f>
        <v>23.412799999999997</v>
      </c>
      <c r="G806" s="211"/>
      <c r="H806" s="34"/>
      <c r="I806" s="195">
        <f>SHF!I81</f>
        <v>11.21508</v>
      </c>
      <c r="J806" s="195">
        <f>SHF!J81</f>
        <v>0</v>
      </c>
      <c r="K806" s="289"/>
      <c r="L806" s="274"/>
      <c r="M806" s="268">
        <v>0.22499999999999998</v>
      </c>
    </row>
    <row r="807" spans="1:13">
      <c r="A807" s="25" t="s">
        <v>1011</v>
      </c>
      <c r="B807" s="26" t="s">
        <v>211</v>
      </c>
      <c r="C807" s="26"/>
      <c r="D807" s="26"/>
      <c r="E807" s="27"/>
      <c r="F807" s="195">
        <f>SHF!F91</f>
        <v>13.233843093186028</v>
      </c>
      <c r="G807" s="211"/>
      <c r="H807" s="197"/>
      <c r="I807" s="195">
        <f>SHF!I91</f>
        <v>0</v>
      </c>
      <c r="J807" s="195">
        <f>SHF!J91</f>
        <v>0</v>
      </c>
      <c r="K807" s="289"/>
      <c r="L807" s="274"/>
      <c r="M807" s="268">
        <v>0.22499999999999998</v>
      </c>
    </row>
    <row r="808" spans="1:13">
      <c r="A808" s="253"/>
      <c r="B808" s="15"/>
      <c r="C808" s="15"/>
      <c r="D808" s="15"/>
      <c r="E808" s="22"/>
      <c r="F808" s="212"/>
      <c r="G808" s="213"/>
      <c r="H808" s="198"/>
      <c r="I808" s="198"/>
      <c r="J808" s="58"/>
      <c r="K808" s="74"/>
      <c r="L808" s="277"/>
      <c r="M808" s="379"/>
    </row>
    <row r="809" spans="1:13">
      <c r="A809" s="46"/>
      <c r="B809" s="46"/>
      <c r="C809" s="46"/>
      <c r="D809" s="46"/>
      <c r="E809" s="46"/>
      <c r="F809" s="46"/>
      <c r="G809" s="46"/>
      <c r="H809" s="46"/>
      <c r="I809" s="46"/>
      <c r="J809" s="46"/>
      <c r="K809" s="116"/>
      <c r="L809" s="270"/>
      <c r="M809" s="87"/>
    </row>
    <row r="810" spans="1:13">
      <c r="A810" s="220" t="s">
        <v>73</v>
      </c>
      <c r="B810" s="220" t="s">
        <v>74</v>
      </c>
      <c r="C810" s="200"/>
      <c r="D810" s="200"/>
      <c r="E810" s="217"/>
      <c r="F810" s="1636" t="s">
        <v>72</v>
      </c>
      <c r="G810" s="1637"/>
      <c r="H810" s="1637"/>
      <c r="I810" s="1637"/>
      <c r="J810" s="1638"/>
      <c r="K810" s="116"/>
      <c r="L810" s="270"/>
      <c r="M810" s="87"/>
    </row>
    <row r="811" spans="1:13" ht="18">
      <c r="A811" s="221"/>
      <c r="B811" s="221"/>
      <c r="C811" s="201"/>
      <c r="D811" s="201"/>
      <c r="E811" s="219"/>
      <c r="F811" s="223" t="s">
        <v>23</v>
      </c>
      <c r="G811" s="223" t="s">
        <v>87</v>
      </c>
      <c r="H811" s="223" t="s">
        <v>212</v>
      </c>
      <c r="I811" s="223" t="s">
        <v>80</v>
      </c>
      <c r="J811" s="223" t="s">
        <v>81</v>
      </c>
      <c r="K811" s="116"/>
      <c r="L811" s="270"/>
      <c r="M811" s="87"/>
    </row>
    <row r="812" spans="1:13">
      <c r="A812" s="222"/>
      <c r="B812" s="222"/>
      <c r="C812" s="203"/>
      <c r="D812" s="203"/>
      <c r="E812" s="218"/>
      <c r="F812" s="204" t="s">
        <v>34</v>
      </c>
      <c r="G812" s="204" t="s">
        <v>34</v>
      </c>
      <c r="H812" s="203" t="s">
        <v>34</v>
      </c>
      <c r="I812" s="204" t="s">
        <v>77</v>
      </c>
      <c r="J812" s="204" t="s">
        <v>77</v>
      </c>
      <c r="K812" s="116"/>
      <c r="L812" s="270"/>
      <c r="M812" s="87"/>
    </row>
    <row r="813" spans="1:13">
      <c r="A813" s="202"/>
      <c r="B813" s="200"/>
      <c r="C813" s="200"/>
      <c r="D813" s="200"/>
      <c r="E813" s="217"/>
      <c r="F813" s="205"/>
      <c r="G813" s="205"/>
      <c r="H813" s="201"/>
      <c r="I813" s="205"/>
      <c r="J813" s="205"/>
      <c r="K813" s="116"/>
      <c r="L813" s="270"/>
      <c r="M813" s="87"/>
    </row>
    <row r="814" spans="1:13">
      <c r="A814" s="205" t="str">
        <f>A787</f>
        <v>LC-27</v>
      </c>
      <c r="B814" s="201" t="str">
        <f>B787</f>
        <v>LC-21 + Seismic Sx=1,Sz=0.3,Sy=0.3 (50% seismic)</v>
      </c>
      <c r="C814" s="201"/>
      <c r="D814" s="201"/>
      <c r="E814" s="219"/>
      <c r="F814" s="1054">
        <f>SUMPRODUCT(F790:F807,$M$790:$M$807)</f>
        <v>639.90328189338538</v>
      </c>
      <c r="G814" s="1055">
        <f>SUMPRODUCT(G790:G807,$M$790:$M$807)</f>
        <v>94.741511843639273</v>
      </c>
      <c r="H814" s="1055">
        <f>SUMPRODUCT(H790:H807,$M$790:$M$807)</f>
        <v>14.785478964123449</v>
      </c>
      <c r="I814" s="1055">
        <f>SUMPRODUCT(I790:I807,$M$790:$M$807)</f>
        <v>743.14674007600024</v>
      </c>
      <c r="J814" s="1055">
        <f>SUMPRODUCT(J790:J807,$M$790:$M$807)</f>
        <v>77.640441467844028</v>
      </c>
      <c r="K814" s="116"/>
      <c r="L814" s="270"/>
      <c r="M814" s="87"/>
    </row>
    <row r="815" spans="1:13">
      <c r="A815" s="204"/>
      <c r="B815" s="203"/>
      <c r="C815" s="203"/>
      <c r="D815" s="203"/>
      <c r="E815" s="218"/>
      <c r="F815" s="204"/>
      <c r="G815" s="204"/>
      <c r="H815" s="203"/>
      <c r="I815" s="204"/>
      <c r="J815" s="204"/>
      <c r="K815" s="116"/>
      <c r="L815" s="270"/>
      <c r="M815" s="87"/>
    </row>
    <row r="816" spans="1:13">
      <c r="A816" s="1"/>
      <c r="B816" s="1"/>
      <c r="C816" s="1"/>
      <c r="D816" s="1"/>
      <c r="E816" s="1"/>
      <c r="F816" s="1"/>
      <c r="G816" s="1"/>
      <c r="H816" s="1"/>
      <c r="I816" s="1"/>
      <c r="J816" s="1"/>
      <c r="K816" s="1"/>
      <c r="L816" s="1"/>
      <c r="M816" s="1"/>
    </row>
    <row r="817" spans="1:13">
      <c r="A817" s="1"/>
      <c r="B817" s="1"/>
      <c r="C817" s="1"/>
      <c r="D817" s="1"/>
      <c r="E817" s="1"/>
      <c r="F817" s="1"/>
      <c r="G817" s="1"/>
      <c r="H817" s="1"/>
      <c r="I817" s="1"/>
      <c r="J817" s="1"/>
      <c r="K817" s="1"/>
      <c r="L817" s="1"/>
      <c r="M817" s="1"/>
    </row>
    <row r="818" spans="1:13">
      <c r="A818" s="225" t="str">
        <f>M818</f>
        <v>LC-28</v>
      </c>
      <c r="B818" s="24" t="str">
        <f>VLOOKUP(A818,LC_DEF_2!A3:B42,2,FALSE)</f>
        <v>LC-21 + Seismic Sx=0.3,Sz=1,Sy=0.3 (50% seismic)</v>
      </c>
      <c r="C818" s="24"/>
      <c r="D818" s="24"/>
      <c r="E818" s="21"/>
      <c r="F818" s="1599" t="s">
        <v>742</v>
      </c>
      <c r="G818" s="1635"/>
      <c r="H818" s="1635"/>
      <c r="I818" s="1635"/>
      <c r="J818" s="1600"/>
      <c r="K818" s="73"/>
      <c r="L818" s="272"/>
      <c r="M818" s="384" t="s">
        <v>1165</v>
      </c>
    </row>
    <row r="819" spans="1:13" ht="18">
      <c r="A819" s="25" t="s">
        <v>73</v>
      </c>
      <c r="B819" s="26" t="s">
        <v>74</v>
      </c>
      <c r="C819" s="26"/>
      <c r="D819" s="26"/>
      <c r="E819" s="27"/>
      <c r="F819" s="33" t="s">
        <v>23</v>
      </c>
      <c r="G819" s="33" t="s">
        <v>87</v>
      </c>
      <c r="H819" s="33" t="s">
        <v>212</v>
      </c>
      <c r="I819" s="33" t="s">
        <v>80</v>
      </c>
      <c r="J819" s="33" t="s">
        <v>81</v>
      </c>
      <c r="K819" s="273"/>
      <c r="L819" s="274"/>
      <c r="M819" s="376"/>
    </row>
    <row r="820" spans="1:13">
      <c r="A820" s="25"/>
      <c r="B820" s="26"/>
      <c r="C820" s="26"/>
      <c r="D820" s="26"/>
      <c r="E820" s="27"/>
      <c r="F820" s="36" t="s">
        <v>34</v>
      </c>
      <c r="G820" s="36" t="s">
        <v>34</v>
      </c>
      <c r="H820" s="36" t="s">
        <v>34</v>
      </c>
      <c r="I820" s="36" t="s">
        <v>77</v>
      </c>
      <c r="J820" s="36" t="s">
        <v>77</v>
      </c>
      <c r="K820" s="74"/>
      <c r="L820" s="277"/>
      <c r="M820" s="655"/>
    </row>
    <row r="821" spans="1:13">
      <c r="A821" s="25" t="s">
        <v>88</v>
      </c>
      <c r="B821" s="26" t="s">
        <v>75</v>
      </c>
      <c r="C821" s="26"/>
      <c r="D821" s="26"/>
      <c r="E821" s="27"/>
      <c r="F821" s="195">
        <f>SHF!F14</f>
        <v>165.42303866482536</v>
      </c>
      <c r="G821" s="210"/>
      <c r="H821" s="34"/>
      <c r="I821" s="195">
        <f>SHF!I14</f>
        <v>0</v>
      </c>
      <c r="J821" s="195">
        <f>SHF!J14</f>
        <v>0</v>
      </c>
      <c r="K821" s="273"/>
      <c r="L821" s="274"/>
      <c r="M821" s="268">
        <v>1.35</v>
      </c>
    </row>
    <row r="822" spans="1:13">
      <c r="A822" s="25" t="s">
        <v>250</v>
      </c>
      <c r="B822" s="26" t="s">
        <v>970</v>
      </c>
      <c r="C822" s="26"/>
      <c r="D822" s="26"/>
      <c r="E822" s="27"/>
      <c r="F822" s="195">
        <f>SHF!F21</f>
        <v>230</v>
      </c>
      <c r="G822" s="210"/>
      <c r="H822" s="34"/>
      <c r="I822" s="195">
        <f>SHF!I21</f>
        <v>115</v>
      </c>
      <c r="J822" s="195">
        <f>SHF!J21</f>
        <v>0</v>
      </c>
      <c r="K822" s="273"/>
      <c r="L822" s="274"/>
      <c r="M822" s="376">
        <v>1.35</v>
      </c>
    </row>
    <row r="823" spans="1:13">
      <c r="A823" s="25" t="s">
        <v>251</v>
      </c>
      <c r="B823" s="26" t="s">
        <v>971</v>
      </c>
      <c r="C823" s="26"/>
      <c r="D823" s="26"/>
      <c r="E823" s="27"/>
      <c r="F823" s="195">
        <f>SHF!F22</f>
        <v>20.660000000000004</v>
      </c>
      <c r="G823" s="210"/>
      <c r="H823" s="34"/>
      <c r="I823" s="195">
        <f>SHF!I22</f>
        <v>10.330000000000002</v>
      </c>
      <c r="J823" s="195">
        <f>SHF!J22</f>
        <v>0</v>
      </c>
      <c r="K823" s="273"/>
      <c r="L823" s="274"/>
      <c r="M823" s="376">
        <v>1.35</v>
      </c>
    </row>
    <row r="824" spans="1:13">
      <c r="A824" s="25" t="s">
        <v>97</v>
      </c>
      <c r="B824" s="26" t="s">
        <v>972</v>
      </c>
      <c r="C824" s="26"/>
      <c r="D824" s="26"/>
      <c r="E824" s="27"/>
      <c r="F824" s="195">
        <f>SHF!F23</f>
        <v>42</v>
      </c>
      <c r="G824" s="210"/>
      <c r="H824" s="34"/>
      <c r="I824" s="195">
        <f>SHF!I23</f>
        <v>14.858499999999999</v>
      </c>
      <c r="J824" s="195">
        <f>SHF!J23</f>
        <v>0</v>
      </c>
      <c r="K824" s="273"/>
      <c r="L824" s="274"/>
      <c r="M824" s="376">
        <v>1.75</v>
      </c>
    </row>
    <row r="825" spans="1:13">
      <c r="A825" s="25" t="s">
        <v>987</v>
      </c>
      <c r="B825" s="163" t="s">
        <v>957</v>
      </c>
      <c r="C825" s="26"/>
      <c r="D825" s="26"/>
      <c r="E825" s="27"/>
      <c r="F825" s="34"/>
      <c r="G825" s="195">
        <f>SHF!G38</f>
        <v>14.632999999999999</v>
      </c>
      <c r="H825" s="34"/>
      <c r="I825" s="195">
        <f>SHF!I38</f>
        <v>94.821840000000009</v>
      </c>
      <c r="J825" s="34"/>
      <c r="K825" s="273"/>
      <c r="L825" s="274"/>
      <c r="M825" s="376">
        <v>1.5</v>
      </c>
    </row>
    <row r="826" spans="1:13">
      <c r="A826" s="686" t="s">
        <v>1128</v>
      </c>
      <c r="B826" s="687"/>
      <c r="C826" s="688"/>
      <c r="D826" s="688"/>
      <c r="E826" s="689"/>
      <c r="F826" s="195">
        <f>SHF!F40</f>
        <v>-23.695433333970961</v>
      </c>
      <c r="G826" s="689"/>
      <c r="H826" s="690"/>
      <c r="I826" s="195">
        <f>SHF!I40</f>
        <v>0</v>
      </c>
      <c r="J826" s="195">
        <f>SHF!J40</f>
        <v>0</v>
      </c>
      <c r="K826" s="273"/>
      <c r="L826" s="274"/>
      <c r="M826" s="376">
        <v>0.15</v>
      </c>
    </row>
    <row r="827" spans="1:13">
      <c r="A827" s="686" t="s">
        <v>1131</v>
      </c>
      <c r="B827" s="687"/>
      <c r="C827" s="688"/>
      <c r="D827" s="688"/>
      <c r="E827" s="689"/>
      <c r="F827" s="690"/>
      <c r="G827" s="195">
        <f>SHF!G44</f>
        <v>1.566445545112501</v>
      </c>
      <c r="H827" s="195">
        <f>SHF!H44</f>
        <v>0.77082515176153144</v>
      </c>
      <c r="I827" s="195">
        <f>SHF!I44</f>
        <v>2.5854696423507204</v>
      </c>
      <c r="J827" s="195">
        <f>SHF!J44</f>
        <v>1.2722721422765415</v>
      </c>
      <c r="K827" s="273"/>
      <c r="L827" s="274"/>
      <c r="M827" s="376">
        <v>1</v>
      </c>
    </row>
    <row r="828" spans="1:13">
      <c r="A828" s="278" t="s">
        <v>1132</v>
      </c>
      <c r="B828" s="262"/>
      <c r="C828" s="262"/>
      <c r="D828" s="262"/>
      <c r="E828" s="263"/>
      <c r="F828" s="1052"/>
      <c r="G828" s="1053"/>
      <c r="H828" s="267"/>
      <c r="I828" s="1052"/>
      <c r="J828" s="267"/>
      <c r="K828" s="289"/>
      <c r="L828" s="274"/>
      <c r="M828" s="412">
        <v>0.22499999999999998</v>
      </c>
    </row>
    <row r="829" spans="1:13">
      <c r="A829" s="25" t="s">
        <v>991</v>
      </c>
      <c r="B829" s="26" t="s">
        <v>989</v>
      </c>
      <c r="C829" s="26"/>
      <c r="D829" s="26"/>
      <c r="E829" s="27"/>
      <c r="F829" s="197"/>
      <c r="G829" s="195">
        <f>SHF!G49</f>
        <v>70.238399999999984</v>
      </c>
      <c r="H829" s="34"/>
      <c r="I829" s="195">
        <f>SHF!I49</f>
        <v>455.14483200000001</v>
      </c>
      <c r="J829" s="89"/>
      <c r="K829" s="289"/>
      <c r="L829" s="274"/>
      <c r="M829" s="268">
        <v>0.22499999999999998</v>
      </c>
    </row>
    <row r="830" spans="1:13">
      <c r="A830" s="25" t="s">
        <v>217</v>
      </c>
      <c r="B830" s="26" t="s">
        <v>211</v>
      </c>
      <c r="C830" s="26"/>
      <c r="D830" s="26"/>
      <c r="E830" s="27"/>
      <c r="F830" s="197"/>
      <c r="G830" s="195">
        <f>SHF!G55</f>
        <v>19.850764639779044</v>
      </c>
      <c r="H830" s="34"/>
      <c r="I830" s="195">
        <f>SHF!I55</f>
        <v>73.367744311147007</v>
      </c>
      <c r="J830" s="89"/>
      <c r="K830" s="289"/>
      <c r="L830" s="274"/>
      <c r="M830" s="376">
        <v>0.22499999999999998</v>
      </c>
    </row>
    <row r="831" spans="1:13">
      <c r="A831" s="686" t="s">
        <v>1139</v>
      </c>
      <c r="B831" s="688" t="s">
        <v>1140</v>
      </c>
      <c r="C831" s="688"/>
      <c r="D831" s="688"/>
      <c r="E831" s="689"/>
      <c r="F831" s="620"/>
      <c r="G831" s="195">
        <f>SHF!G58</f>
        <v>7.3173856373850432</v>
      </c>
      <c r="H831" s="690"/>
      <c r="I831" s="195">
        <f>SHF!I58</f>
        <v>8.4456204005780648</v>
      </c>
      <c r="J831" s="269"/>
      <c r="K831" s="289"/>
      <c r="L831" s="274"/>
      <c r="M831" s="376">
        <v>0.15</v>
      </c>
    </row>
    <row r="832" spans="1:13">
      <c r="A832" s="278" t="s">
        <v>1135</v>
      </c>
      <c r="B832" s="262"/>
      <c r="C832" s="262"/>
      <c r="D832" s="262"/>
      <c r="E832" s="263"/>
      <c r="F832" s="279"/>
      <c r="G832" s="280"/>
      <c r="H832" s="264"/>
      <c r="I832" s="279"/>
      <c r="J832" s="264"/>
      <c r="K832" s="289"/>
      <c r="L832" s="274"/>
      <c r="M832" s="708">
        <v>0.75</v>
      </c>
    </row>
    <row r="833" spans="1:13">
      <c r="A833" s="25" t="s">
        <v>998</v>
      </c>
      <c r="B833" s="26" t="s">
        <v>989</v>
      </c>
      <c r="C833" s="26"/>
      <c r="D833" s="26"/>
      <c r="E833" s="27"/>
      <c r="F833" s="197"/>
      <c r="G833" s="211"/>
      <c r="H833" s="195">
        <f>SHF!H63</f>
        <v>35.119199999999992</v>
      </c>
      <c r="I833" s="197"/>
      <c r="J833" s="195">
        <f>SHF!J63</f>
        <v>257.60072117968605</v>
      </c>
      <c r="K833" s="289"/>
      <c r="L833" s="274"/>
      <c r="M833" s="376">
        <v>0.75</v>
      </c>
    </row>
    <row r="834" spans="1:13">
      <c r="A834" s="25" t="s">
        <v>1006</v>
      </c>
      <c r="B834" s="26" t="s">
        <v>211</v>
      </c>
      <c r="C834" s="26"/>
      <c r="D834" s="26"/>
      <c r="E834" s="27"/>
      <c r="F834" s="197"/>
      <c r="G834" s="211"/>
      <c r="H834" s="195">
        <f>SHF!H73</f>
        <v>19.850764639779044</v>
      </c>
      <c r="I834" s="197"/>
      <c r="J834" s="195">
        <f>SHF!J73</f>
        <v>73.367744311147007</v>
      </c>
      <c r="K834" s="289"/>
      <c r="L834" s="274"/>
      <c r="M834" s="376">
        <v>0.75</v>
      </c>
    </row>
    <row r="835" spans="1:13">
      <c r="A835" s="686" t="s">
        <v>1138</v>
      </c>
      <c r="B835" s="688" t="s">
        <v>1141</v>
      </c>
      <c r="C835" s="26"/>
      <c r="D835" s="26"/>
      <c r="E835" s="27"/>
      <c r="F835" s="34"/>
      <c r="G835" s="27"/>
      <c r="H835" s="195">
        <f>SHF!H76</f>
        <v>7.3173856373850432</v>
      </c>
      <c r="I835" s="620"/>
      <c r="J835" s="195">
        <f>SHF!J76</f>
        <v>8.4456204005780648</v>
      </c>
      <c r="K835" s="289"/>
      <c r="L835" s="274"/>
      <c r="M835" s="376">
        <v>0.75</v>
      </c>
    </row>
    <row r="836" spans="1:13">
      <c r="A836" s="290" t="s">
        <v>1137</v>
      </c>
      <c r="B836" s="11"/>
      <c r="C836" s="11"/>
      <c r="D836" s="11"/>
      <c r="E836" s="191"/>
      <c r="F836" s="197"/>
      <c r="G836" s="211"/>
      <c r="H836" s="89"/>
      <c r="I836" s="197"/>
      <c r="J836" s="89"/>
      <c r="K836" s="289"/>
      <c r="L836" s="274"/>
      <c r="M836" s="994">
        <v>0.22499999999999998</v>
      </c>
    </row>
    <row r="837" spans="1:13">
      <c r="A837" s="25" t="s">
        <v>1008</v>
      </c>
      <c r="B837" s="26" t="s">
        <v>989</v>
      </c>
      <c r="C837" s="26"/>
      <c r="D837" s="26"/>
      <c r="E837" s="27"/>
      <c r="F837" s="195">
        <f>SHF!F81</f>
        <v>23.412799999999997</v>
      </c>
      <c r="G837" s="211"/>
      <c r="H837" s="34"/>
      <c r="I837" s="195">
        <f>SHF!I81</f>
        <v>11.21508</v>
      </c>
      <c r="J837" s="195">
        <f>SHF!J81</f>
        <v>0</v>
      </c>
      <c r="K837" s="289"/>
      <c r="L837" s="274"/>
      <c r="M837" s="268">
        <v>0.22499999999999998</v>
      </c>
    </row>
    <row r="838" spans="1:13">
      <c r="A838" s="25" t="s">
        <v>1011</v>
      </c>
      <c r="B838" s="26" t="s">
        <v>211</v>
      </c>
      <c r="C838" s="26"/>
      <c r="D838" s="26"/>
      <c r="E838" s="27"/>
      <c r="F838" s="195">
        <f>SHF!F91</f>
        <v>13.233843093186028</v>
      </c>
      <c r="G838" s="211"/>
      <c r="H838" s="197"/>
      <c r="I838" s="195">
        <f>SHF!I91</f>
        <v>0</v>
      </c>
      <c r="J838" s="195">
        <f>SHF!J91</f>
        <v>0</v>
      </c>
      <c r="K838" s="289"/>
      <c r="L838" s="274"/>
      <c r="M838" s="268">
        <v>0.22499999999999998</v>
      </c>
    </row>
    <row r="839" spans="1:13">
      <c r="A839" s="253"/>
      <c r="B839" s="15"/>
      <c r="C839" s="15"/>
      <c r="D839" s="15"/>
      <c r="E839" s="22"/>
      <c r="F839" s="212"/>
      <c r="G839" s="213"/>
      <c r="H839" s="198"/>
      <c r="I839" s="198"/>
      <c r="J839" s="58"/>
      <c r="K839" s="74"/>
      <c r="L839" s="277"/>
      <c r="M839" s="379"/>
    </row>
    <row r="840" spans="1:13">
      <c r="A840" s="46"/>
      <c r="B840" s="46"/>
      <c r="C840" s="46"/>
      <c r="D840" s="46"/>
      <c r="E840" s="46"/>
      <c r="F840" s="46"/>
      <c r="G840" s="46"/>
      <c r="H840" s="46"/>
      <c r="I840" s="46"/>
      <c r="J840" s="46"/>
      <c r="K840" s="116"/>
      <c r="L840" s="270"/>
      <c r="M840" s="87"/>
    </row>
    <row r="841" spans="1:13">
      <c r="A841" s="220" t="s">
        <v>73</v>
      </c>
      <c r="B841" s="220" t="s">
        <v>74</v>
      </c>
      <c r="C841" s="200"/>
      <c r="D841" s="200"/>
      <c r="E841" s="217"/>
      <c r="F841" s="1636" t="s">
        <v>72</v>
      </c>
      <c r="G841" s="1637"/>
      <c r="H841" s="1637"/>
      <c r="I841" s="1637"/>
      <c r="J841" s="1638"/>
      <c r="K841" s="116"/>
      <c r="L841" s="270"/>
      <c r="M841" s="87"/>
    </row>
    <row r="842" spans="1:13" ht="18">
      <c r="A842" s="221"/>
      <c r="B842" s="221"/>
      <c r="C842" s="201"/>
      <c r="D842" s="201"/>
      <c r="E842" s="219"/>
      <c r="F842" s="223" t="s">
        <v>23</v>
      </c>
      <c r="G842" s="223" t="s">
        <v>87</v>
      </c>
      <c r="H842" s="223" t="s">
        <v>212</v>
      </c>
      <c r="I842" s="223" t="s">
        <v>80</v>
      </c>
      <c r="J842" s="223" t="s">
        <v>81</v>
      </c>
      <c r="K842" s="116"/>
      <c r="L842" s="270"/>
      <c r="M842" s="87"/>
    </row>
    <row r="843" spans="1:13">
      <c r="A843" s="222"/>
      <c r="B843" s="222"/>
      <c r="C843" s="203"/>
      <c r="D843" s="203"/>
      <c r="E843" s="218"/>
      <c r="F843" s="204" t="s">
        <v>34</v>
      </c>
      <c r="G843" s="204" t="s">
        <v>34</v>
      </c>
      <c r="H843" s="203" t="s">
        <v>34</v>
      </c>
      <c r="I843" s="204" t="s">
        <v>77</v>
      </c>
      <c r="J843" s="204" t="s">
        <v>77</v>
      </c>
      <c r="K843" s="116"/>
      <c r="L843" s="270"/>
      <c r="M843" s="87"/>
    </row>
    <row r="844" spans="1:13">
      <c r="A844" s="202"/>
      <c r="B844" s="200"/>
      <c r="C844" s="200"/>
      <c r="D844" s="200"/>
      <c r="E844" s="217"/>
      <c r="F844" s="205"/>
      <c r="G844" s="205"/>
      <c r="H844" s="201"/>
      <c r="I844" s="205"/>
      <c r="J844" s="205"/>
      <c r="K844" s="116"/>
      <c r="L844" s="270"/>
      <c r="M844" s="87"/>
    </row>
    <row r="845" spans="1:13">
      <c r="A845" s="205" t="str">
        <f>A818</f>
        <v>LC-28</v>
      </c>
      <c r="B845" s="201" t="str">
        <f>B818</f>
        <v>LC-21 + Seismic Sx=0.3,Sz=1,Sy=0.3 (50% seismic)</v>
      </c>
      <c r="C845" s="201"/>
      <c r="D845" s="201"/>
      <c r="E845" s="219"/>
      <c r="F845" s="1054">
        <f>SUMPRODUCT(F821:F838,$M$821:$M$838)</f>
        <v>639.90328189338538</v>
      </c>
      <c r="G845" s="1055">
        <f>SUMPRODUCT(G821:G838,$M$821:$M$838)</f>
        <v>44.883615434670531</v>
      </c>
      <c r="H845" s="1055">
        <f>SUMPRODUCT(H821:H838,$M$821:$M$838)</f>
        <v>47.486337859634588</v>
      </c>
      <c r="I845" s="1055">
        <f>SUMPRODUCT(I821:I838,$M$821:$M$838)</f>
        <v>462.72167037244554</v>
      </c>
      <c r="J845" s="1055">
        <f>SUMPRODUCT(J821:J838,$M$821:$M$838)</f>
        <v>255.83283656083486</v>
      </c>
      <c r="K845" s="116"/>
      <c r="L845" s="270"/>
      <c r="M845" s="87"/>
    </row>
    <row r="846" spans="1:13">
      <c r="A846" s="204"/>
      <c r="B846" s="203"/>
      <c r="C846" s="203"/>
      <c r="D846" s="203"/>
      <c r="E846" s="218"/>
      <c r="F846" s="204"/>
      <c r="G846" s="204"/>
      <c r="H846" s="203"/>
      <c r="I846" s="204"/>
      <c r="J846" s="204"/>
      <c r="K846" s="116"/>
      <c r="L846" s="270"/>
      <c r="M846" s="87"/>
    </row>
    <row r="847" spans="1:13">
      <c r="A847" s="1"/>
      <c r="B847" s="1"/>
      <c r="C847" s="1"/>
      <c r="D847" s="1"/>
      <c r="E847" s="1"/>
      <c r="F847" s="1"/>
      <c r="G847" s="1"/>
      <c r="H847" s="1"/>
      <c r="I847" s="1"/>
      <c r="J847" s="1"/>
      <c r="K847" s="1"/>
      <c r="L847" s="1"/>
      <c r="M847" s="1"/>
    </row>
    <row r="848" spans="1:13">
      <c r="A848" s="1"/>
      <c r="B848" s="1"/>
      <c r="C848" s="1"/>
      <c r="D848" s="1"/>
      <c r="E848" s="1"/>
      <c r="F848" s="1"/>
      <c r="G848" s="1"/>
      <c r="H848" s="1"/>
      <c r="I848" s="1"/>
      <c r="J848" s="1"/>
      <c r="K848" s="1"/>
      <c r="L848" s="1"/>
      <c r="M848" s="1"/>
    </row>
    <row r="849" spans="1:13">
      <c r="A849" s="225" t="str">
        <f>M849</f>
        <v>LC-29</v>
      </c>
      <c r="B849" s="24" t="str">
        <f>VLOOKUP(A849,LC_DEF_2!A3:B42,2,FALSE)</f>
        <v>LC-22 + Seismic Sx=1,Sz=0.3,Sy=-0.3</v>
      </c>
      <c r="C849" s="24"/>
      <c r="D849" s="24"/>
      <c r="E849" s="21"/>
      <c r="F849" s="1599" t="s">
        <v>742</v>
      </c>
      <c r="G849" s="1635"/>
      <c r="H849" s="1635"/>
      <c r="I849" s="1635"/>
      <c r="J849" s="1600"/>
      <c r="K849" s="73"/>
      <c r="L849" s="272"/>
      <c r="M849" s="384" t="s">
        <v>1166</v>
      </c>
    </row>
    <row r="850" spans="1:13" ht="18">
      <c r="A850" s="25" t="s">
        <v>73</v>
      </c>
      <c r="B850" s="26" t="s">
        <v>74</v>
      </c>
      <c r="C850" s="26"/>
      <c r="D850" s="26"/>
      <c r="E850" s="27"/>
      <c r="F850" s="33" t="s">
        <v>23</v>
      </c>
      <c r="G850" s="33" t="s">
        <v>87</v>
      </c>
      <c r="H850" s="33" t="s">
        <v>212</v>
      </c>
      <c r="I850" s="33" t="s">
        <v>80</v>
      </c>
      <c r="J850" s="33" t="s">
        <v>81</v>
      </c>
      <c r="K850" s="273"/>
      <c r="L850" s="274"/>
      <c r="M850" s="376"/>
    </row>
    <row r="851" spans="1:13">
      <c r="A851" s="25"/>
      <c r="B851" s="26"/>
      <c r="C851" s="26"/>
      <c r="D851" s="26"/>
      <c r="E851" s="27"/>
      <c r="F851" s="36" t="s">
        <v>34</v>
      </c>
      <c r="G851" s="36" t="s">
        <v>34</v>
      </c>
      <c r="H851" s="36" t="s">
        <v>34</v>
      </c>
      <c r="I851" s="36" t="s">
        <v>77</v>
      </c>
      <c r="J851" s="36" t="s">
        <v>77</v>
      </c>
      <c r="K851" s="74"/>
      <c r="L851" s="277"/>
      <c r="M851" s="655"/>
    </row>
    <row r="852" spans="1:13">
      <c r="A852" s="25" t="s">
        <v>88</v>
      </c>
      <c r="B852" s="26" t="s">
        <v>75</v>
      </c>
      <c r="C852" s="26"/>
      <c r="D852" s="26"/>
      <c r="E852" s="27"/>
      <c r="F852" s="195">
        <f>SHF!F14</f>
        <v>165.42303866482536</v>
      </c>
      <c r="G852" s="210"/>
      <c r="H852" s="34"/>
      <c r="I852" s="195">
        <f>SHF!I14</f>
        <v>0</v>
      </c>
      <c r="J852" s="195">
        <f>SHF!J14</f>
        <v>0</v>
      </c>
      <c r="K852" s="273"/>
      <c r="L852" s="274"/>
      <c r="M852" s="268">
        <v>1.35</v>
      </c>
    </row>
    <row r="853" spans="1:13">
      <c r="A853" s="25" t="s">
        <v>250</v>
      </c>
      <c r="B853" s="26" t="s">
        <v>967</v>
      </c>
      <c r="C853" s="26"/>
      <c r="D853" s="26"/>
      <c r="E853" s="27"/>
      <c r="F853" s="195">
        <f>SHF!F17</f>
        <v>230</v>
      </c>
      <c r="G853" s="210"/>
      <c r="H853" s="34"/>
      <c r="I853" s="195">
        <f>SHF!I17</f>
        <v>-115</v>
      </c>
      <c r="J853" s="195">
        <f>SHF!J17</f>
        <v>0</v>
      </c>
      <c r="K853" s="273"/>
      <c r="L853" s="274"/>
      <c r="M853" s="268">
        <v>1.35</v>
      </c>
    </row>
    <row r="854" spans="1:13">
      <c r="A854" s="25" t="s">
        <v>251</v>
      </c>
      <c r="B854" s="26" t="s">
        <v>968</v>
      </c>
      <c r="C854" s="26"/>
      <c r="D854" s="26"/>
      <c r="E854" s="27"/>
      <c r="F854" s="195">
        <f>SHF!F18</f>
        <v>20.660000000000004</v>
      </c>
      <c r="G854" s="210"/>
      <c r="H854" s="34"/>
      <c r="I854" s="195">
        <f>SHF!I18</f>
        <v>-10.330000000000002</v>
      </c>
      <c r="J854" s="195">
        <f>SHF!J18</f>
        <v>0</v>
      </c>
      <c r="K854" s="273"/>
      <c r="L854" s="274"/>
      <c r="M854" s="268">
        <v>1.35</v>
      </c>
    </row>
    <row r="855" spans="1:13">
      <c r="A855" s="25" t="s">
        <v>97</v>
      </c>
      <c r="B855" s="26" t="s">
        <v>969</v>
      </c>
      <c r="C855" s="26"/>
      <c r="D855" s="26"/>
      <c r="E855" s="27"/>
      <c r="F855" s="195">
        <f>SHF!F19</f>
        <v>42</v>
      </c>
      <c r="G855" s="210"/>
      <c r="H855" s="34"/>
      <c r="I855" s="195">
        <f>SHF!I19</f>
        <v>-14.858499999999999</v>
      </c>
      <c r="J855" s="195">
        <f>SHF!J19</f>
        <v>0</v>
      </c>
      <c r="K855" s="273"/>
      <c r="L855" s="274"/>
      <c r="M855" s="268">
        <v>1.35</v>
      </c>
    </row>
    <row r="856" spans="1:13">
      <c r="A856" s="25" t="s">
        <v>250</v>
      </c>
      <c r="B856" s="26" t="s">
        <v>970</v>
      </c>
      <c r="C856" s="26"/>
      <c r="D856" s="26"/>
      <c r="E856" s="27"/>
      <c r="F856" s="195">
        <f>SHF!F21</f>
        <v>230</v>
      </c>
      <c r="G856" s="210"/>
      <c r="H856" s="34"/>
      <c r="I856" s="195">
        <f>SHF!I21</f>
        <v>115</v>
      </c>
      <c r="J856" s="195">
        <f>SHF!J21</f>
        <v>0</v>
      </c>
      <c r="K856" s="273"/>
      <c r="L856" s="274"/>
      <c r="M856" s="376">
        <v>1.35</v>
      </c>
    </row>
    <row r="857" spans="1:13">
      <c r="A857" s="25" t="s">
        <v>251</v>
      </c>
      <c r="B857" s="26" t="s">
        <v>971</v>
      </c>
      <c r="C857" s="26"/>
      <c r="D857" s="26"/>
      <c r="E857" s="27"/>
      <c r="F857" s="195">
        <f>SHF!F22</f>
        <v>20.660000000000004</v>
      </c>
      <c r="G857" s="210"/>
      <c r="H857" s="34"/>
      <c r="I857" s="195">
        <f>SHF!I22</f>
        <v>10.330000000000002</v>
      </c>
      <c r="J857" s="195">
        <f>SHF!J22</f>
        <v>0</v>
      </c>
      <c r="K857" s="273"/>
      <c r="L857" s="274"/>
      <c r="M857" s="376">
        <v>1.35</v>
      </c>
    </row>
    <row r="858" spans="1:13">
      <c r="A858" s="25" t="s">
        <v>97</v>
      </c>
      <c r="B858" s="26" t="s">
        <v>972</v>
      </c>
      <c r="C858" s="26"/>
      <c r="D858" s="26"/>
      <c r="E858" s="27"/>
      <c r="F858" s="195">
        <f>SHF!F23</f>
        <v>42</v>
      </c>
      <c r="G858" s="210"/>
      <c r="H858" s="34"/>
      <c r="I858" s="195">
        <f>SHF!I23</f>
        <v>14.858499999999999</v>
      </c>
      <c r="J858" s="195">
        <f>SHF!J23</f>
        <v>0</v>
      </c>
      <c r="K858" s="273"/>
      <c r="L858" s="274"/>
      <c r="M858" s="376">
        <v>1.75</v>
      </c>
    </row>
    <row r="859" spans="1:13">
      <c r="A859" s="25" t="s">
        <v>986</v>
      </c>
      <c r="B859" s="163" t="s">
        <v>955</v>
      </c>
      <c r="C859" s="26"/>
      <c r="D859" s="26"/>
      <c r="E859" s="27"/>
      <c r="F859" s="34"/>
      <c r="G859" s="195">
        <f>SHF!G37</f>
        <v>5.8532000000000011</v>
      </c>
      <c r="H859" s="34"/>
      <c r="I859" s="195">
        <f>SHF!I37</f>
        <v>37.928736000000015</v>
      </c>
      <c r="J859" s="34"/>
      <c r="K859" s="273"/>
      <c r="L859" s="274"/>
      <c r="M859" s="376">
        <v>1.5</v>
      </c>
    </row>
    <row r="860" spans="1:13">
      <c r="A860" s="686" t="s">
        <v>1128</v>
      </c>
      <c r="B860" s="687"/>
      <c r="C860" s="688"/>
      <c r="D860" s="688"/>
      <c r="E860" s="689"/>
      <c r="F860" s="195">
        <f>SHF!F40</f>
        <v>-23.695433333970961</v>
      </c>
      <c r="G860" s="689"/>
      <c r="H860" s="690"/>
      <c r="I860" s="195">
        <f>SHF!I40</f>
        <v>0</v>
      </c>
      <c r="J860" s="195">
        <f>SHF!J40</f>
        <v>0</v>
      </c>
      <c r="K860" s="273"/>
      <c r="L860" s="274"/>
      <c r="M860" s="376">
        <v>0.15</v>
      </c>
    </row>
    <row r="861" spans="1:13">
      <c r="A861" s="686" t="s">
        <v>1131</v>
      </c>
      <c r="B861" s="687"/>
      <c r="C861" s="688"/>
      <c r="D861" s="688"/>
      <c r="E861" s="689"/>
      <c r="F861" s="690"/>
      <c r="G861" s="195">
        <f>SHF!G44</f>
        <v>1.566445545112501</v>
      </c>
      <c r="H861" s="195">
        <f>SHF!H44</f>
        <v>0.77082515176153144</v>
      </c>
      <c r="I861" s="195">
        <f>SHF!I44</f>
        <v>2.5854696423507204</v>
      </c>
      <c r="J861" s="195">
        <f>SHF!J44</f>
        <v>1.2722721422765415</v>
      </c>
      <c r="K861" s="273"/>
      <c r="L861" s="274"/>
      <c r="M861" s="376">
        <v>1</v>
      </c>
    </row>
    <row r="862" spans="1:13">
      <c r="A862" s="278" t="s">
        <v>1132</v>
      </c>
      <c r="B862" s="262"/>
      <c r="C862" s="262"/>
      <c r="D862" s="262"/>
      <c r="E862" s="263"/>
      <c r="F862" s="1052"/>
      <c r="G862" s="1053"/>
      <c r="H862" s="267"/>
      <c r="I862" s="1052"/>
      <c r="J862" s="267"/>
      <c r="K862" s="289"/>
      <c r="L862" s="274"/>
      <c r="M862" s="412">
        <v>1.5</v>
      </c>
    </row>
    <row r="863" spans="1:13">
      <c r="A863" s="25" t="s">
        <v>991</v>
      </c>
      <c r="B863" s="26" t="s">
        <v>989</v>
      </c>
      <c r="C863" s="26"/>
      <c r="D863" s="26"/>
      <c r="E863" s="27"/>
      <c r="F863" s="197"/>
      <c r="G863" s="195">
        <f>SHF!G49</f>
        <v>70.238399999999984</v>
      </c>
      <c r="H863" s="34"/>
      <c r="I863" s="195">
        <f>SHF!I49</f>
        <v>455.14483200000001</v>
      </c>
      <c r="J863" s="89"/>
      <c r="K863" s="289"/>
      <c r="L863" s="274"/>
      <c r="M863" s="268">
        <v>1.5</v>
      </c>
    </row>
    <row r="864" spans="1:13">
      <c r="A864" s="25" t="s">
        <v>217</v>
      </c>
      <c r="B864" s="26" t="s">
        <v>211</v>
      </c>
      <c r="C864" s="26"/>
      <c r="D864" s="26"/>
      <c r="E864" s="27"/>
      <c r="F864" s="197"/>
      <c r="G864" s="195">
        <f>SHF!G55</f>
        <v>19.850764639779044</v>
      </c>
      <c r="H864" s="34"/>
      <c r="I864" s="195">
        <f>SHF!I55</f>
        <v>73.367744311147007</v>
      </c>
      <c r="J864" s="89"/>
      <c r="K864" s="289"/>
      <c r="L864" s="274"/>
      <c r="M864" s="376">
        <v>1.5</v>
      </c>
    </row>
    <row r="865" spans="1:13">
      <c r="A865" s="686" t="s">
        <v>1139</v>
      </c>
      <c r="B865" s="688" t="s">
        <v>1140</v>
      </c>
      <c r="C865" s="688"/>
      <c r="D865" s="688"/>
      <c r="E865" s="689"/>
      <c r="F865" s="620"/>
      <c r="G865" s="195">
        <f>SHF!G58</f>
        <v>7.3173856373850432</v>
      </c>
      <c r="H865" s="690"/>
      <c r="I865" s="195">
        <f>SHF!I58</f>
        <v>8.4456204005780648</v>
      </c>
      <c r="J865" s="269"/>
      <c r="K865" s="289"/>
      <c r="L865" s="274"/>
      <c r="M865" s="376">
        <v>1</v>
      </c>
    </row>
    <row r="866" spans="1:13">
      <c r="A866" s="278" t="s">
        <v>1135</v>
      </c>
      <c r="B866" s="262"/>
      <c r="C866" s="262"/>
      <c r="D866" s="262"/>
      <c r="E866" s="263"/>
      <c r="F866" s="279"/>
      <c r="G866" s="280"/>
      <c r="H866" s="264"/>
      <c r="I866" s="279"/>
      <c r="J866" s="264"/>
      <c r="K866" s="289"/>
      <c r="L866" s="274"/>
      <c r="M866" s="708">
        <v>0.44999999999999996</v>
      </c>
    </row>
    <row r="867" spans="1:13">
      <c r="A867" s="25" t="s">
        <v>997</v>
      </c>
      <c r="B867" s="26" t="s">
        <v>988</v>
      </c>
      <c r="C867" s="26"/>
      <c r="D867" s="26"/>
      <c r="E867" s="27"/>
      <c r="F867" s="197"/>
      <c r="G867" s="211"/>
      <c r="H867" s="195">
        <f>SHF!H62</f>
        <v>35.119199999999992</v>
      </c>
      <c r="I867" s="197"/>
      <c r="J867" s="195">
        <f>SHF!J62</f>
        <v>257.60072117968605</v>
      </c>
      <c r="K867" s="289"/>
      <c r="L867" s="274"/>
      <c r="M867" s="268">
        <v>0.44999999999999996</v>
      </c>
    </row>
    <row r="868" spans="1:13">
      <c r="A868" s="25" t="s">
        <v>998</v>
      </c>
      <c r="B868" s="26" t="s">
        <v>989</v>
      </c>
      <c r="C868" s="26"/>
      <c r="D868" s="26"/>
      <c r="E868" s="27"/>
      <c r="F868" s="197"/>
      <c r="G868" s="211"/>
      <c r="H868" s="195">
        <f>SHF!H63</f>
        <v>35.119199999999992</v>
      </c>
      <c r="I868" s="197"/>
      <c r="J868" s="195">
        <f>SHF!J63</f>
        <v>257.60072117968605</v>
      </c>
      <c r="K868" s="289"/>
      <c r="L868" s="274"/>
      <c r="M868" s="376">
        <v>0.44999999999999996</v>
      </c>
    </row>
    <row r="869" spans="1:13">
      <c r="A869" s="25" t="s">
        <v>1006</v>
      </c>
      <c r="B869" s="26" t="s">
        <v>211</v>
      </c>
      <c r="C869" s="26"/>
      <c r="D869" s="26"/>
      <c r="E869" s="27"/>
      <c r="F869" s="197"/>
      <c r="G869" s="211"/>
      <c r="H869" s="195">
        <f>SHF!H73</f>
        <v>19.850764639779044</v>
      </c>
      <c r="I869" s="197"/>
      <c r="J869" s="195">
        <f>SHF!J73</f>
        <v>73.367744311147007</v>
      </c>
      <c r="K869" s="289"/>
      <c r="L869" s="274"/>
      <c r="M869" s="376">
        <v>0.44999999999999996</v>
      </c>
    </row>
    <row r="870" spans="1:13">
      <c r="A870" s="686" t="s">
        <v>1138</v>
      </c>
      <c r="B870" s="688" t="s">
        <v>1141</v>
      </c>
      <c r="C870" s="26"/>
      <c r="D870" s="26"/>
      <c r="E870" s="27"/>
      <c r="F870" s="34"/>
      <c r="G870" s="27"/>
      <c r="H870" s="195">
        <f>SHF!H76</f>
        <v>7.3173856373850432</v>
      </c>
      <c r="I870" s="620"/>
      <c r="J870" s="195">
        <f>SHF!J76</f>
        <v>8.4456204005780648</v>
      </c>
      <c r="K870" s="289"/>
      <c r="L870" s="274"/>
      <c r="M870" s="376">
        <v>0.3</v>
      </c>
    </row>
    <row r="871" spans="1:13">
      <c r="A871" s="290" t="s">
        <v>1137</v>
      </c>
      <c r="B871" s="11"/>
      <c r="C871" s="11"/>
      <c r="D871" s="11"/>
      <c r="E871" s="191"/>
      <c r="F871" s="197"/>
      <c r="G871" s="211"/>
      <c r="H871" s="89"/>
      <c r="I871" s="197"/>
      <c r="J871" s="89"/>
      <c r="K871" s="289"/>
      <c r="L871" s="274"/>
      <c r="M871" s="994">
        <v>0.44999999999999996</v>
      </c>
    </row>
    <row r="872" spans="1:13">
      <c r="A872" s="25" t="s">
        <v>1007</v>
      </c>
      <c r="B872" s="26" t="s">
        <v>988</v>
      </c>
      <c r="C872" s="26"/>
      <c r="D872" s="26"/>
      <c r="E872" s="27"/>
      <c r="F872" s="195">
        <f>SHF!F80</f>
        <v>23.412799999999997</v>
      </c>
      <c r="G872" s="211"/>
      <c r="H872" s="34"/>
      <c r="I872" s="195">
        <f>SHF!I80</f>
        <v>-11.21508</v>
      </c>
      <c r="J872" s="195">
        <f>SHF!J80</f>
        <v>0</v>
      </c>
      <c r="K872" s="289"/>
      <c r="L872" s="274"/>
      <c r="M872" s="376">
        <v>-0.44999999999999996</v>
      </c>
    </row>
    <row r="873" spans="1:13">
      <c r="A873" s="25" t="s">
        <v>1008</v>
      </c>
      <c r="B873" s="26" t="s">
        <v>989</v>
      </c>
      <c r="C873" s="26"/>
      <c r="D873" s="26"/>
      <c r="E873" s="27"/>
      <c r="F873" s="195">
        <f>SHF!F81</f>
        <v>23.412799999999997</v>
      </c>
      <c r="G873" s="211"/>
      <c r="H873" s="34"/>
      <c r="I873" s="195">
        <f>SHF!I81</f>
        <v>11.21508</v>
      </c>
      <c r="J873" s="195">
        <f>SHF!J81</f>
        <v>0</v>
      </c>
      <c r="K873" s="289"/>
      <c r="L873" s="274"/>
      <c r="M873" s="268">
        <v>-0.44999999999999996</v>
      </c>
    </row>
    <row r="874" spans="1:13">
      <c r="A874" s="25" t="s">
        <v>1011</v>
      </c>
      <c r="B874" s="26" t="s">
        <v>211</v>
      </c>
      <c r="C874" s="26"/>
      <c r="D874" s="26"/>
      <c r="E874" s="27"/>
      <c r="F874" s="195">
        <f>SHF!F91</f>
        <v>13.233843093186028</v>
      </c>
      <c r="G874" s="211"/>
      <c r="H874" s="197"/>
      <c r="I874" s="195">
        <f>SHF!I91</f>
        <v>0</v>
      </c>
      <c r="J874" s="195">
        <f>SHF!J91</f>
        <v>0</v>
      </c>
      <c r="K874" s="289"/>
      <c r="L874" s="274"/>
      <c r="M874" s="268">
        <v>-0.44999999999999996</v>
      </c>
    </row>
    <row r="875" spans="1:13">
      <c r="A875" s="253"/>
      <c r="B875" s="15"/>
      <c r="C875" s="15"/>
      <c r="D875" s="15"/>
      <c r="E875" s="22"/>
      <c r="F875" s="212"/>
      <c r="G875" s="213"/>
      <c r="H875" s="198"/>
      <c r="I875" s="198"/>
      <c r="J875" s="58"/>
      <c r="K875" s="74"/>
      <c r="L875" s="277"/>
      <c r="M875" s="379"/>
    </row>
    <row r="876" spans="1:13">
      <c r="A876" s="46"/>
      <c r="B876" s="46"/>
      <c r="C876" s="46"/>
      <c r="D876" s="46"/>
      <c r="E876" s="46"/>
      <c r="F876" s="46"/>
      <c r="G876" s="46"/>
      <c r="H876" s="46"/>
      <c r="I876" s="46"/>
      <c r="J876" s="46"/>
      <c r="K876" s="116"/>
      <c r="L876" s="270"/>
      <c r="M876" s="87"/>
    </row>
    <row r="877" spans="1:13">
      <c r="A877" s="220" t="s">
        <v>73</v>
      </c>
      <c r="B877" s="220" t="s">
        <v>74</v>
      </c>
      <c r="C877" s="200"/>
      <c r="D877" s="200"/>
      <c r="E877" s="217"/>
      <c r="F877" s="1636" t="s">
        <v>72</v>
      </c>
      <c r="G877" s="1637"/>
      <c r="H877" s="1637"/>
      <c r="I877" s="1637"/>
      <c r="J877" s="1638"/>
      <c r="K877" s="116"/>
      <c r="L877" s="270"/>
      <c r="M877" s="87"/>
    </row>
    <row r="878" spans="1:13" ht="18">
      <c r="A878" s="221"/>
      <c r="B878" s="221"/>
      <c r="C878" s="201"/>
      <c r="D878" s="201"/>
      <c r="E878" s="219"/>
      <c r="F878" s="223" t="s">
        <v>23</v>
      </c>
      <c r="G878" s="223" t="s">
        <v>87</v>
      </c>
      <c r="H878" s="223" t="s">
        <v>212</v>
      </c>
      <c r="I878" s="223" t="s">
        <v>80</v>
      </c>
      <c r="J878" s="223" t="s">
        <v>81</v>
      </c>
      <c r="K878" s="116"/>
      <c r="L878" s="270"/>
      <c r="M878" s="87"/>
    </row>
    <row r="879" spans="1:13">
      <c r="A879" s="222"/>
      <c r="B879" s="222"/>
      <c r="C879" s="203"/>
      <c r="D879" s="203"/>
      <c r="E879" s="218"/>
      <c r="F879" s="204" t="s">
        <v>34</v>
      </c>
      <c r="G879" s="204" t="s">
        <v>34</v>
      </c>
      <c r="H879" s="203" t="s">
        <v>34</v>
      </c>
      <c r="I879" s="204" t="s">
        <v>77</v>
      </c>
      <c r="J879" s="204" t="s">
        <v>77</v>
      </c>
      <c r="K879" s="116"/>
      <c r="L879" s="270"/>
      <c r="M879" s="87"/>
    </row>
    <row r="880" spans="1:13">
      <c r="A880" s="202"/>
      <c r="B880" s="200"/>
      <c r="C880" s="200"/>
      <c r="D880" s="200"/>
      <c r="E880" s="217"/>
      <c r="F880" s="205"/>
      <c r="G880" s="205"/>
      <c r="H880" s="201"/>
      <c r="I880" s="205"/>
      <c r="J880" s="205"/>
      <c r="K880" s="116"/>
      <c r="L880" s="270"/>
      <c r="M880" s="87"/>
    </row>
    <row r="881" spans="1:13">
      <c r="A881" s="205" t="str">
        <f>A849</f>
        <v>LC-29</v>
      </c>
      <c r="B881" s="201" t="str">
        <f>B849</f>
        <v>LC-22 + Seismic Sx=1,Sz=0.3,Sy=-0.3</v>
      </c>
      <c r="C881" s="201"/>
      <c r="D881" s="201"/>
      <c r="E881" s="219"/>
      <c r="F881" s="1054">
        <f>SUMPRODUCT(F852:F874,$M$852:$M$874)</f>
        <v>999.72203780548512</v>
      </c>
      <c r="G881" s="1055">
        <f>SUMPRODUCT(G852:G874,$M$852:$M$874)</f>
        <v>152.79737814216605</v>
      </c>
      <c r="H881" s="1055">
        <f>SUMPRODUCT(H852:H874,$M$852:$M$874)</f>
        <v>43.506164930877603</v>
      </c>
      <c r="I881" s="1055">
        <f>SUMPRODUCT(I852:I874,$M$852:$M$874)</f>
        <v>866.63645850964929</v>
      </c>
      <c r="J881" s="1055">
        <f>SUMPRODUCT(J852:J874,$M$852:$M$874)</f>
        <v>268.66209226418351</v>
      </c>
      <c r="K881" s="116"/>
      <c r="L881" s="270"/>
      <c r="M881" s="87"/>
    </row>
    <row r="882" spans="1:13">
      <c r="A882" s="204"/>
      <c r="B882" s="203"/>
      <c r="C882" s="203"/>
      <c r="D882" s="203"/>
      <c r="E882" s="218"/>
      <c r="F882" s="204"/>
      <c r="G882" s="204"/>
      <c r="H882" s="203"/>
      <c r="I882" s="204"/>
      <c r="J882" s="204"/>
      <c r="K882" s="116"/>
      <c r="L882" s="270"/>
      <c r="M882" s="87"/>
    </row>
    <row r="883" spans="1:13">
      <c r="A883" s="1"/>
      <c r="B883" s="1"/>
      <c r="C883" s="1"/>
      <c r="D883" s="1"/>
      <c r="E883" s="1"/>
      <c r="F883" s="1"/>
      <c r="G883" s="1"/>
      <c r="H883" s="1"/>
      <c r="I883" s="1"/>
      <c r="J883" s="1"/>
      <c r="K883" s="1"/>
      <c r="L883" s="1"/>
      <c r="M883" s="1"/>
    </row>
    <row r="884" spans="1:13">
      <c r="A884" s="1"/>
      <c r="B884" s="1"/>
      <c r="C884" s="1"/>
      <c r="D884" s="1"/>
      <c r="E884" s="1"/>
      <c r="F884" s="1"/>
      <c r="G884" s="1"/>
      <c r="H884" s="1"/>
      <c r="I884" s="1"/>
      <c r="J884" s="1"/>
      <c r="K884" s="1"/>
      <c r="L884" s="1"/>
      <c r="M884" s="1"/>
    </row>
    <row r="885" spans="1:13">
      <c r="A885" s="225" t="str">
        <f>M885</f>
        <v>LC-30</v>
      </c>
      <c r="B885" s="24" t="str">
        <f>VLOOKUP(A885,LC_DEF_2!A3:B42,2,FALSE)</f>
        <v>LC-22 + Seismic Sx=0.3,Sz=1,Sy=-0.3</v>
      </c>
      <c r="C885" s="24"/>
      <c r="D885" s="24"/>
      <c r="E885" s="21"/>
      <c r="F885" s="1599" t="s">
        <v>742</v>
      </c>
      <c r="G885" s="1635"/>
      <c r="H885" s="1635"/>
      <c r="I885" s="1635"/>
      <c r="J885" s="1600"/>
      <c r="K885" s="73"/>
      <c r="L885" s="272"/>
      <c r="M885" s="384" t="s">
        <v>1167</v>
      </c>
    </row>
    <row r="886" spans="1:13" ht="18">
      <c r="A886" s="25" t="s">
        <v>73</v>
      </c>
      <c r="B886" s="26" t="s">
        <v>74</v>
      </c>
      <c r="C886" s="26"/>
      <c r="D886" s="26"/>
      <c r="E886" s="27"/>
      <c r="F886" s="33" t="s">
        <v>23</v>
      </c>
      <c r="G886" s="33" t="s">
        <v>87</v>
      </c>
      <c r="H886" s="33" t="s">
        <v>212</v>
      </c>
      <c r="I886" s="33" t="s">
        <v>80</v>
      </c>
      <c r="J886" s="33" t="s">
        <v>81</v>
      </c>
      <c r="K886" s="273"/>
      <c r="L886" s="274"/>
      <c r="M886" s="376"/>
    </row>
    <row r="887" spans="1:13">
      <c r="A887" s="25"/>
      <c r="B887" s="26"/>
      <c r="C887" s="26"/>
      <c r="D887" s="26"/>
      <c r="E887" s="27"/>
      <c r="F887" s="36" t="s">
        <v>34</v>
      </c>
      <c r="G887" s="36" t="s">
        <v>34</v>
      </c>
      <c r="H887" s="36" t="s">
        <v>34</v>
      </c>
      <c r="I887" s="36" t="s">
        <v>77</v>
      </c>
      <c r="J887" s="36" t="s">
        <v>77</v>
      </c>
      <c r="K887" s="74"/>
      <c r="L887" s="277"/>
      <c r="M887" s="655"/>
    </row>
    <row r="888" spans="1:13">
      <c r="A888" s="25" t="s">
        <v>88</v>
      </c>
      <c r="B888" s="26" t="s">
        <v>75</v>
      </c>
      <c r="C888" s="26"/>
      <c r="D888" s="26"/>
      <c r="E888" s="27"/>
      <c r="F888" s="195">
        <f>SHF!F14</f>
        <v>165.42303866482536</v>
      </c>
      <c r="G888" s="210"/>
      <c r="H888" s="34"/>
      <c r="I888" s="195">
        <f>SHF!I14</f>
        <v>0</v>
      </c>
      <c r="J888" s="195">
        <f>SHF!J14</f>
        <v>0</v>
      </c>
      <c r="K888" s="273"/>
      <c r="L888" s="274"/>
      <c r="M888" s="268">
        <v>1.35</v>
      </c>
    </row>
    <row r="889" spans="1:13">
      <c r="A889" s="25" t="s">
        <v>250</v>
      </c>
      <c r="B889" s="26" t="s">
        <v>967</v>
      </c>
      <c r="C889" s="26"/>
      <c r="D889" s="26"/>
      <c r="E889" s="27"/>
      <c r="F889" s="195">
        <f>SHF!F17</f>
        <v>230</v>
      </c>
      <c r="G889" s="210"/>
      <c r="H889" s="34"/>
      <c r="I889" s="195">
        <f>SHF!I17</f>
        <v>-115</v>
      </c>
      <c r="J889" s="195">
        <f>SHF!J17</f>
        <v>0</v>
      </c>
      <c r="K889" s="273"/>
      <c r="L889" s="274"/>
      <c r="M889" s="268">
        <v>1.35</v>
      </c>
    </row>
    <row r="890" spans="1:13">
      <c r="A890" s="25" t="s">
        <v>251</v>
      </c>
      <c r="B890" s="26" t="s">
        <v>968</v>
      </c>
      <c r="C890" s="26"/>
      <c r="D890" s="26"/>
      <c r="E890" s="27"/>
      <c r="F890" s="195">
        <f>SHF!F18</f>
        <v>20.660000000000004</v>
      </c>
      <c r="G890" s="210"/>
      <c r="H890" s="34"/>
      <c r="I890" s="195">
        <f>SHF!I18</f>
        <v>-10.330000000000002</v>
      </c>
      <c r="J890" s="195">
        <f>SHF!J18</f>
        <v>0</v>
      </c>
      <c r="K890" s="273"/>
      <c r="L890" s="274"/>
      <c r="M890" s="268">
        <v>1.35</v>
      </c>
    </row>
    <row r="891" spans="1:13">
      <c r="A891" s="25" t="s">
        <v>97</v>
      </c>
      <c r="B891" s="26" t="s">
        <v>969</v>
      </c>
      <c r="C891" s="26"/>
      <c r="D891" s="26"/>
      <c r="E891" s="27"/>
      <c r="F891" s="195">
        <f>SHF!F19</f>
        <v>42</v>
      </c>
      <c r="G891" s="210"/>
      <c r="H891" s="34"/>
      <c r="I891" s="195">
        <f>SHF!I19</f>
        <v>-14.858499999999999</v>
      </c>
      <c r="J891" s="195">
        <f>SHF!J19</f>
        <v>0</v>
      </c>
      <c r="K891" s="273"/>
      <c r="L891" s="274"/>
      <c r="M891" s="268">
        <v>1.35</v>
      </c>
    </row>
    <row r="892" spans="1:13">
      <c r="A892" s="25" t="s">
        <v>250</v>
      </c>
      <c r="B892" s="26" t="s">
        <v>970</v>
      </c>
      <c r="C892" s="26"/>
      <c r="D892" s="26"/>
      <c r="E892" s="27"/>
      <c r="F892" s="195">
        <f>SHF!F21</f>
        <v>230</v>
      </c>
      <c r="G892" s="210"/>
      <c r="H892" s="34"/>
      <c r="I892" s="195">
        <f>SHF!I21</f>
        <v>115</v>
      </c>
      <c r="J892" s="195">
        <f>SHF!J21</f>
        <v>0</v>
      </c>
      <c r="K892" s="273"/>
      <c r="L892" s="274"/>
      <c r="M892" s="376">
        <v>1.35</v>
      </c>
    </row>
    <row r="893" spans="1:13">
      <c r="A893" s="25" t="s">
        <v>251</v>
      </c>
      <c r="B893" s="26" t="s">
        <v>971</v>
      </c>
      <c r="C893" s="26"/>
      <c r="D893" s="26"/>
      <c r="E893" s="27"/>
      <c r="F893" s="195">
        <f>SHF!F22</f>
        <v>20.660000000000004</v>
      </c>
      <c r="G893" s="210"/>
      <c r="H893" s="34"/>
      <c r="I893" s="195">
        <f>SHF!I22</f>
        <v>10.330000000000002</v>
      </c>
      <c r="J893" s="195">
        <f>SHF!J22</f>
        <v>0</v>
      </c>
      <c r="K893" s="273"/>
      <c r="L893" s="274"/>
      <c r="M893" s="376">
        <v>1.35</v>
      </c>
    </row>
    <row r="894" spans="1:13">
      <c r="A894" s="25" t="s">
        <v>97</v>
      </c>
      <c r="B894" s="26" t="s">
        <v>972</v>
      </c>
      <c r="C894" s="26"/>
      <c r="D894" s="26"/>
      <c r="E894" s="27"/>
      <c r="F894" s="195">
        <f>SHF!F23</f>
        <v>42</v>
      </c>
      <c r="G894" s="210"/>
      <c r="H894" s="34"/>
      <c r="I894" s="195">
        <f>SHF!I23</f>
        <v>14.858499999999999</v>
      </c>
      <c r="J894" s="195">
        <f>SHF!J23</f>
        <v>0</v>
      </c>
      <c r="K894" s="273"/>
      <c r="L894" s="274"/>
      <c r="M894" s="376">
        <v>1.75</v>
      </c>
    </row>
    <row r="895" spans="1:13">
      <c r="A895" s="25" t="s">
        <v>986</v>
      </c>
      <c r="B895" s="163" t="s">
        <v>955</v>
      </c>
      <c r="C895" s="26"/>
      <c r="D895" s="26"/>
      <c r="E895" s="27"/>
      <c r="F895" s="34"/>
      <c r="G895" s="195">
        <f>SHF!G37</f>
        <v>5.8532000000000011</v>
      </c>
      <c r="H895" s="34"/>
      <c r="I895" s="195">
        <f>SHF!I37</f>
        <v>37.928736000000015</v>
      </c>
      <c r="J895" s="34"/>
      <c r="K895" s="273"/>
      <c r="L895" s="274"/>
      <c r="M895" s="376">
        <v>1.5</v>
      </c>
    </row>
    <row r="896" spans="1:13">
      <c r="A896" s="686" t="s">
        <v>1128</v>
      </c>
      <c r="B896" s="687"/>
      <c r="C896" s="688"/>
      <c r="D896" s="688"/>
      <c r="E896" s="689"/>
      <c r="F896" s="195">
        <f>SHF!F40</f>
        <v>-23.695433333970961</v>
      </c>
      <c r="G896" s="689"/>
      <c r="H896" s="690"/>
      <c r="I896" s="195">
        <f>SHF!I40</f>
        <v>0</v>
      </c>
      <c r="J896" s="195">
        <f>SHF!J40</f>
        <v>0</v>
      </c>
      <c r="K896" s="273"/>
      <c r="L896" s="274"/>
      <c r="M896" s="376">
        <v>0.15</v>
      </c>
    </row>
    <row r="897" spans="1:13">
      <c r="A897" s="686" t="s">
        <v>1131</v>
      </c>
      <c r="B897" s="687"/>
      <c r="C897" s="688"/>
      <c r="D897" s="688"/>
      <c r="E897" s="689"/>
      <c r="F897" s="690"/>
      <c r="G897" s="195">
        <f>SHF!G44</f>
        <v>1.566445545112501</v>
      </c>
      <c r="H897" s="195">
        <f>SHF!H44</f>
        <v>0.77082515176153144</v>
      </c>
      <c r="I897" s="195">
        <f>SHF!I44</f>
        <v>2.5854696423507204</v>
      </c>
      <c r="J897" s="195">
        <f>SHF!J44</f>
        <v>1.2722721422765415</v>
      </c>
      <c r="K897" s="273"/>
      <c r="L897" s="274"/>
      <c r="M897" s="376">
        <v>1</v>
      </c>
    </row>
    <row r="898" spans="1:13">
      <c r="A898" s="278" t="s">
        <v>1132</v>
      </c>
      <c r="B898" s="262"/>
      <c r="C898" s="262"/>
      <c r="D898" s="262"/>
      <c r="E898" s="263"/>
      <c r="F898" s="1052"/>
      <c r="G898" s="1053"/>
      <c r="H898" s="267"/>
      <c r="I898" s="1052"/>
      <c r="J898" s="267"/>
      <c r="K898" s="289"/>
      <c r="L898" s="274"/>
      <c r="M898" s="412">
        <v>0.44999999999999996</v>
      </c>
    </row>
    <row r="899" spans="1:13">
      <c r="A899" s="25" t="s">
        <v>991</v>
      </c>
      <c r="B899" s="26" t="s">
        <v>989</v>
      </c>
      <c r="C899" s="26"/>
      <c r="D899" s="26"/>
      <c r="E899" s="27"/>
      <c r="F899" s="197"/>
      <c r="G899" s="195">
        <f>SHF!G49</f>
        <v>70.238399999999984</v>
      </c>
      <c r="H899" s="34"/>
      <c r="I899" s="195">
        <f>SHF!I49</f>
        <v>455.14483200000001</v>
      </c>
      <c r="J899" s="89"/>
      <c r="K899" s="289"/>
      <c r="L899" s="274"/>
      <c r="M899" s="268">
        <v>0.44999999999999996</v>
      </c>
    </row>
    <row r="900" spans="1:13">
      <c r="A900" s="25" t="s">
        <v>217</v>
      </c>
      <c r="B900" s="26" t="s">
        <v>211</v>
      </c>
      <c r="C900" s="26"/>
      <c r="D900" s="26"/>
      <c r="E900" s="27"/>
      <c r="F900" s="197"/>
      <c r="G900" s="195">
        <f>SHF!G55</f>
        <v>19.850764639779044</v>
      </c>
      <c r="H900" s="34"/>
      <c r="I900" s="195">
        <f>SHF!I55</f>
        <v>73.367744311147007</v>
      </c>
      <c r="J900" s="89"/>
      <c r="K900" s="289"/>
      <c r="L900" s="274"/>
      <c r="M900" s="376">
        <v>0.44999999999999996</v>
      </c>
    </row>
    <row r="901" spans="1:13">
      <c r="A901" s="686" t="s">
        <v>1139</v>
      </c>
      <c r="B901" s="688" t="s">
        <v>1140</v>
      </c>
      <c r="C901" s="688"/>
      <c r="D901" s="688"/>
      <c r="E901" s="689"/>
      <c r="F901" s="620"/>
      <c r="G901" s="195">
        <f>SHF!G58</f>
        <v>7.3173856373850432</v>
      </c>
      <c r="H901" s="690"/>
      <c r="I901" s="195">
        <f>SHF!I58</f>
        <v>8.4456204005780648</v>
      </c>
      <c r="J901" s="269"/>
      <c r="K901" s="289"/>
      <c r="L901" s="274"/>
      <c r="M901" s="376">
        <v>0.3</v>
      </c>
    </row>
    <row r="902" spans="1:13">
      <c r="A902" s="278" t="s">
        <v>1135</v>
      </c>
      <c r="B902" s="262"/>
      <c r="C902" s="262"/>
      <c r="D902" s="262"/>
      <c r="E902" s="263"/>
      <c r="F902" s="279"/>
      <c r="G902" s="280"/>
      <c r="H902" s="264"/>
      <c r="I902" s="279"/>
      <c r="J902" s="264"/>
      <c r="K902" s="289"/>
      <c r="L902" s="274"/>
      <c r="M902" s="708">
        <v>1.5</v>
      </c>
    </row>
    <row r="903" spans="1:13">
      <c r="A903" s="25" t="s">
        <v>997</v>
      </c>
      <c r="B903" s="26" t="s">
        <v>988</v>
      </c>
      <c r="C903" s="26"/>
      <c r="D903" s="26"/>
      <c r="E903" s="27"/>
      <c r="F903" s="197"/>
      <c r="G903" s="211"/>
      <c r="H903" s="195">
        <f>SHF!H62</f>
        <v>35.119199999999992</v>
      </c>
      <c r="I903" s="197"/>
      <c r="J903" s="195">
        <f>SHF!J62</f>
        <v>257.60072117968605</v>
      </c>
      <c r="K903" s="289"/>
      <c r="L903" s="274"/>
      <c r="M903" s="268">
        <v>1.5</v>
      </c>
    </row>
    <row r="904" spans="1:13">
      <c r="A904" s="25" t="s">
        <v>998</v>
      </c>
      <c r="B904" s="26" t="s">
        <v>989</v>
      </c>
      <c r="C904" s="26"/>
      <c r="D904" s="26"/>
      <c r="E904" s="27"/>
      <c r="F904" s="197"/>
      <c r="G904" s="211"/>
      <c r="H904" s="195">
        <f>SHF!H63</f>
        <v>35.119199999999992</v>
      </c>
      <c r="I904" s="197"/>
      <c r="J904" s="195">
        <f>SHF!J63</f>
        <v>257.60072117968605</v>
      </c>
      <c r="K904" s="289"/>
      <c r="L904" s="274"/>
      <c r="M904" s="376">
        <v>1.5</v>
      </c>
    </row>
    <row r="905" spans="1:13">
      <c r="A905" s="25" t="s">
        <v>1006</v>
      </c>
      <c r="B905" s="26" t="s">
        <v>211</v>
      </c>
      <c r="C905" s="26"/>
      <c r="D905" s="26"/>
      <c r="E905" s="27"/>
      <c r="F905" s="197"/>
      <c r="G905" s="211"/>
      <c r="H905" s="195">
        <f>SHF!H73</f>
        <v>19.850764639779044</v>
      </c>
      <c r="I905" s="197"/>
      <c r="J905" s="195">
        <f>SHF!J73</f>
        <v>73.367744311147007</v>
      </c>
      <c r="K905" s="289"/>
      <c r="L905" s="274"/>
      <c r="M905" s="376">
        <v>1.5</v>
      </c>
    </row>
    <row r="906" spans="1:13">
      <c r="A906" s="686" t="s">
        <v>1138</v>
      </c>
      <c r="B906" s="688" t="s">
        <v>1141</v>
      </c>
      <c r="C906" s="26"/>
      <c r="D906" s="26"/>
      <c r="E906" s="27"/>
      <c r="F906" s="34"/>
      <c r="G906" s="27"/>
      <c r="H906" s="195">
        <f>SHF!H76</f>
        <v>7.3173856373850432</v>
      </c>
      <c r="I906" s="620"/>
      <c r="J906" s="195">
        <f>SHF!J76</f>
        <v>8.4456204005780648</v>
      </c>
      <c r="K906" s="289"/>
      <c r="L906" s="274"/>
      <c r="M906" s="376">
        <v>1</v>
      </c>
    </row>
    <row r="907" spans="1:13">
      <c r="A907" s="290" t="s">
        <v>1137</v>
      </c>
      <c r="B907" s="11"/>
      <c r="C907" s="11"/>
      <c r="D907" s="11"/>
      <c r="E907" s="191"/>
      <c r="F907" s="197"/>
      <c r="G907" s="211"/>
      <c r="H907" s="89"/>
      <c r="I907" s="197"/>
      <c r="J907" s="89"/>
      <c r="K907" s="289"/>
      <c r="L907" s="274"/>
      <c r="M907" s="994">
        <v>0.44999999999999996</v>
      </c>
    </row>
    <row r="908" spans="1:13">
      <c r="A908" s="25" t="s">
        <v>1007</v>
      </c>
      <c r="B908" s="26" t="s">
        <v>988</v>
      </c>
      <c r="C908" s="26"/>
      <c r="D908" s="26"/>
      <c r="E908" s="27"/>
      <c r="F908" s="195">
        <f>SHF!F80</f>
        <v>23.412799999999997</v>
      </c>
      <c r="G908" s="211"/>
      <c r="H908" s="34"/>
      <c r="I908" s="195">
        <f>SHF!I80</f>
        <v>-11.21508</v>
      </c>
      <c r="J908" s="195">
        <f>SHF!J80</f>
        <v>0</v>
      </c>
      <c r="K908" s="289"/>
      <c r="L908" s="274"/>
      <c r="M908" s="376">
        <v>-0.44999999999999996</v>
      </c>
    </row>
    <row r="909" spans="1:13">
      <c r="A909" s="25" t="s">
        <v>1008</v>
      </c>
      <c r="B909" s="26" t="s">
        <v>989</v>
      </c>
      <c r="C909" s="26"/>
      <c r="D909" s="26"/>
      <c r="E909" s="27"/>
      <c r="F909" s="195">
        <f>SHF!F81</f>
        <v>23.412799999999997</v>
      </c>
      <c r="G909" s="211"/>
      <c r="H909" s="34"/>
      <c r="I909" s="195">
        <f>SHF!I81</f>
        <v>11.21508</v>
      </c>
      <c r="J909" s="195">
        <f>SHF!J81</f>
        <v>0</v>
      </c>
      <c r="K909" s="289"/>
      <c r="L909" s="274"/>
      <c r="M909" s="268">
        <v>-0.44999999999999996</v>
      </c>
    </row>
    <row r="910" spans="1:13">
      <c r="A910" s="25" t="s">
        <v>1011</v>
      </c>
      <c r="B910" s="26" t="s">
        <v>211</v>
      </c>
      <c r="C910" s="26"/>
      <c r="D910" s="26"/>
      <c r="E910" s="27"/>
      <c r="F910" s="195">
        <f>SHF!F91</f>
        <v>13.233843093186028</v>
      </c>
      <c r="G910" s="211"/>
      <c r="H910" s="197"/>
      <c r="I910" s="195">
        <f>SHF!I91</f>
        <v>0</v>
      </c>
      <c r="J910" s="195">
        <f>SHF!J91</f>
        <v>0</v>
      </c>
      <c r="K910" s="289"/>
      <c r="L910" s="274"/>
      <c r="M910" s="268">
        <v>-0.44999999999999996</v>
      </c>
    </row>
    <row r="911" spans="1:13">
      <c r="A911" s="253"/>
      <c r="B911" s="15"/>
      <c r="C911" s="15"/>
      <c r="D911" s="15"/>
      <c r="E911" s="22"/>
      <c r="F911" s="212"/>
      <c r="G911" s="213"/>
      <c r="H911" s="198"/>
      <c r="I911" s="198"/>
      <c r="J911" s="58"/>
      <c r="K911" s="74"/>
      <c r="L911" s="277"/>
      <c r="M911" s="379"/>
    </row>
    <row r="912" spans="1:13">
      <c r="A912" s="46"/>
      <c r="B912" s="46"/>
      <c r="C912" s="46"/>
      <c r="D912" s="46"/>
      <c r="E912" s="46"/>
      <c r="F912" s="46"/>
      <c r="G912" s="46"/>
      <c r="H912" s="46"/>
      <c r="I912" s="46"/>
      <c r="J912" s="46"/>
      <c r="K912" s="116"/>
      <c r="L912" s="270"/>
      <c r="M912" s="87"/>
    </row>
    <row r="913" spans="1:13">
      <c r="A913" s="220" t="s">
        <v>73</v>
      </c>
      <c r="B913" s="220" t="s">
        <v>74</v>
      </c>
      <c r="C913" s="200"/>
      <c r="D913" s="200"/>
      <c r="E913" s="217"/>
      <c r="F913" s="1636" t="s">
        <v>72</v>
      </c>
      <c r="G913" s="1637"/>
      <c r="H913" s="1637"/>
      <c r="I913" s="1637"/>
      <c r="J913" s="1638"/>
      <c r="K913" s="116"/>
      <c r="L913" s="270"/>
      <c r="M913" s="87"/>
    </row>
    <row r="914" spans="1:13" ht="18">
      <c r="A914" s="221"/>
      <c r="B914" s="221"/>
      <c r="C914" s="201"/>
      <c r="D914" s="201"/>
      <c r="E914" s="219"/>
      <c r="F914" s="223" t="s">
        <v>23</v>
      </c>
      <c r="G914" s="223" t="s">
        <v>87</v>
      </c>
      <c r="H914" s="223" t="s">
        <v>212</v>
      </c>
      <c r="I914" s="223" t="s">
        <v>80</v>
      </c>
      <c r="J914" s="223" t="s">
        <v>81</v>
      </c>
      <c r="K914" s="116"/>
      <c r="L914" s="270"/>
      <c r="M914" s="87"/>
    </row>
    <row r="915" spans="1:13">
      <c r="A915" s="222"/>
      <c r="B915" s="222"/>
      <c r="C915" s="203"/>
      <c r="D915" s="203"/>
      <c r="E915" s="218"/>
      <c r="F915" s="204" t="s">
        <v>34</v>
      </c>
      <c r="G915" s="204" t="s">
        <v>34</v>
      </c>
      <c r="H915" s="203" t="s">
        <v>34</v>
      </c>
      <c r="I915" s="204" t="s">
        <v>77</v>
      </c>
      <c r="J915" s="204" t="s">
        <v>77</v>
      </c>
      <c r="K915" s="116"/>
      <c r="L915" s="270"/>
      <c r="M915" s="87"/>
    </row>
    <row r="916" spans="1:13">
      <c r="A916" s="202"/>
      <c r="B916" s="200"/>
      <c r="C916" s="200"/>
      <c r="D916" s="200"/>
      <c r="E916" s="217"/>
      <c r="F916" s="205"/>
      <c r="G916" s="205"/>
      <c r="H916" s="201"/>
      <c r="I916" s="205"/>
      <c r="J916" s="205"/>
      <c r="K916" s="116"/>
      <c r="L916" s="270"/>
      <c r="M916" s="87"/>
    </row>
    <row r="917" spans="1:13">
      <c r="A917" s="205" t="str">
        <f>A885</f>
        <v>LC-30</v>
      </c>
      <c r="B917" s="201" t="str">
        <f>B885</f>
        <v>LC-22 + Seismic Sx=0.3,Sz=1,Sy=-0.3</v>
      </c>
      <c r="C917" s="201"/>
      <c r="D917" s="201"/>
      <c r="E917" s="219"/>
      <c r="F917" s="1054">
        <f>SUMPRODUCT(F888:F910,$M$888:$M$910)</f>
        <v>999.72203780548512</v>
      </c>
      <c r="G917" s="1055">
        <f>SUMPRODUCT(G888:G910,$M$888:$M$910)</f>
        <v>53.081585324228577</v>
      </c>
      <c r="H917" s="1055">
        <f>SUMPRODUCT(H888:H910,$M$888:$M$910)</f>
        <v>143.2219577488151</v>
      </c>
      <c r="I917" s="1055">
        <f>SUMPRODUCT(I888:I910,$M$888:$M$910)</f>
        <v>305.78631910254029</v>
      </c>
      <c r="J917" s="1055">
        <f>SUMPRODUCT(J888:J910,$M$888:$M$910)</f>
        <v>892.57167254863327</v>
      </c>
      <c r="K917" s="116"/>
      <c r="L917" s="270"/>
      <c r="M917" s="87"/>
    </row>
    <row r="918" spans="1:13">
      <c r="A918" s="204"/>
      <c r="B918" s="203"/>
      <c r="C918" s="203"/>
      <c r="D918" s="203"/>
      <c r="E918" s="218"/>
      <c r="F918" s="204"/>
      <c r="G918" s="204"/>
      <c r="H918" s="203"/>
      <c r="I918" s="204"/>
      <c r="J918" s="204"/>
      <c r="K918" s="116"/>
      <c r="L918" s="270"/>
      <c r="M918" s="87"/>
    </row>
    <row r="919" spans="1:13">
      <c r="A919" s="1"/>
      <c r="B919" s="1"/>
      <c r="C919" s="1"/>
      <c r="D919" s="1"/>
      <c r="E919" s="1"/>
      <c r="F919" s="1"/>
      <c r="G919" s="1"/>
      <c r="H919" s="1"/>
      <c r="I919" s="1"/>
      <c r="J919" s="1"/>
      <c r="K919" s="1"/>
      <c r="L919" s="1"/>
      <c r="M919" s="1"/>
    </row>
    <row r="920" spans="1:13">
      <c r="A920" s="1"/>
      <c r="B920" s="1"/>
      <c r="C920" s="1"/>
      <c r="D920" s="1"/>
      <c r="E920" s="1"/>
      <c r="F920" s="1"/>
      <c r="G920" s="1"/>
      <c r="H920" s="1"/>
      <c r="I920" s="1"/>
      <c r="J920" s="1"/>
      <c r="K920" s="1"/>
      <c r="L920" s="1"/>
      <c r="M920" s="1"/>
    </row>
    <row r="921" spans="1:13">
      <c r="A921" s="225" t="str">
        <f>M921</f>
        <v>LC-31</v>
      </c>
      <c r="B921" s="24" t="str">
        <f>VLOOKUP(A921,LC_DEF_2!A3:B42,2,FALSE)</f>
        <v>LC-22 + Seismic Sx=1,Sz=0.3,Sy=0.3</v>
      </c>
      <c r="C921" s="24"/>
      <c r="D921" s="24"/>
      <c r="E921" s="21"/>
      <c r="F921" s="1599" t="s">
        <v>742</v>
      </c>
      <c r="G921" s="1635"/>
      <c r="H921" s="1635"/>
      <c r="I921" s="1635"/>
      <c r="J921" s="1600"/>
      <c r="K921" s="73"/>
      <c r="L921" s="272"/>
      <c r="M921" s="384" t="s">
        <v>1168</v>
      </c>
    </row>
    <row r="922" spans="1:13" ht="18">
      <c r="A922" s="25" t="s">
        <v>73</v>
      </c>
      <c r="B922" s="26" t="s">
        <v>74</v>
      </c>
      <c r="C922" s="26"/>
      <c r="D922" s="26"/>
      <c r="E922" s="27"/>
      <c r="F922" s="33" t="s">
        <v>23</v>
      </c>
      <c r="G922" s="33" t="s">
        <v>87</v>
      </c>
      <c r="H922" s="33" t="s">
        <v>212</v>
      </c>
      <c r="I922" s="33" t="s">
        <v>80</v>
      </c>
      <c r="J922" s="33" t="s">
        <v>81</v>
      </c>
      <c r="K922" s="273"/>
      <c r="L922" s="274"/>
      <c r="M922" s="376"/>
    </row>
    <row r="923" spans="1:13">
      <c r="A923" s="25"/>
      <c r="B923" s="26"/>
      <c r="C923" s="26"/>
      <c r="D923" s="26"/>
      <c r="E923" s="27"/>
      <c r="F923" s="36" t="s">
        <v>34</v>
      </c>
      <c r="G923" s="36" t="s">
        <v>34</v>
      </c>
      <c r="H923" s="36" t="s">
        <v>34</v>
      </c>
      <c r="I923" s="36" t="s">
        <v>77</v>
      </c>
      <c r="J923" s="36" t="s">
        <v>77</v>
      </c>
      <c r="K923" s="74"/>
      <c r="L923" s="277"/>
      <c r="M923" s="655"/>
    </row>
    <row r="924" spans="1:13">
      <c r="A924" s="25" t="s">
        <v>88</v>
      </c>
      <c r="B924" s="26" t="s">
        <v>75</v>
      </c>
      <c r="C924" s="26"/>
      <c r="D924" s="26"/>
      <c r="E924" s="27"/>
      <c r="F924" s="195">
        <f>SHF!F14</f>
        <v>165.42303866482536</v>
      </c>
      <c r="G924" s="210"/>
      <c r="H924" s="34"/>
      <c r="I924" s="195">
        <f>SHF!I14</f>
        <v>0</v>
      </c>
      <c r="J924" s="195">
        <f>SHF!J14</f>
        <v>0</v>
      </c>
      <c r="K924" s="273"/>
      <c r="L924" s="274"/>
      <c r="M924" s="268">
        <v>1.35</v>
      </c>
    </row>
    <row r="925" spans="1:13">
      <c r="A925" s="25" t="s">
        <v>250</v>
      </c>
      <c r="B925" s="26" t="s">
        <v>967</v>
      </c>
      <c r="C925" s="26"/>
      <c r="D925" s="26"/>
      <c r="E925" s="27"/>
      <c r="F925" s="195">
        <f>SHF!F17</f>
        <v>230</v>
      </c>
      <c r="G925" s="210"/>
      <c r="H925" s="34"/>
      <c r="I925" s="195">
        <f>SHF!I17</f>
        <v>-115</v>
      </c>
      <c r="J925" s="195">
        <f>SHF!J17</f>
        <v>0</v>
      </c>
      <c r="K925" s="273"/>
      <c r="L925" s="274"/>
      <c r="M925" s="268">
        <v>1.35</v>
      </c>
    </row>
    <row r="926" spans="1:13">
      <c r="A926" s="25" t="s">
        <v>251</v>
      </c>
      <c r="B926" s="26" t="s">
        <v>968</v>
      </c>
      <c r="C926" s="26"/>
      <c r="D926" s="26"/>
      <c r="E926" s="27"/>
      <c r="F926" s="195">
        <f>SHF!F18</f>
        <v>20.660000000000004</v>
      </c>
      <c r="G926" s="210"/>
      <c r="H926" s="34"/>
      <c r="I926" s="195">
        <f>SHF!I18</f>
        <v>-10.330000000000002</v>
      </c>
      <c r="J926" s="195">
        <f>SHF!J18</f>
        <v>0</v>
      </c>
      <c r="K926" s="273"/>
      <c r="L926" s="274"/>
      <c r="M926" s="268">
        <v>1.35</v>
      </c>
    </row>
    <row r="927" spans="1:13">
      <c r="A927" s="25" t="s">
        <v>97</v>
      </c>
      <c r="B927" s="26" t="s">
        <v>969</v>
      </c>
      <c r="C927" s="26"/>
      <c r="D927" s="26"/>
      <c r="E927" s="27"/>
      <c r="F927" s="195">
        <f>SHF!F19</f>
        <v>42</v>
      </c>
      <c r="G927" s="210"/>
      <c r="H927" s="34"/>
      <c r="I927" s="195">
        <f>SHF!I19</f>
        <v>-14.858499999999999</v>
      </c>
      <c r="J927" s="195">
        <f>SHF!J19</f>
        <v>0</v>
      </c>
      <c r="K927" s="273"/>
      <c r="L927" s="274"/>
      <c r="M927" s="268">
        <v>1.35</v>
      </c>
    </row>
    <row r="928" spans="1:13">
      <c r="A928" s="25" t="s">
        <v>250</v>
      </c>
      <c r="B928" s="26" t="s">
        <v>970</v>
      </c>
      <c r="C928" s="26"/>
      <c r="D928" s="26"/>
      <c r="E928" s="27"/>
      <c r="F928" s="195">
        <f>SHF!F21</f>
        <v>230</v>
      </c>
      <c r="G928" s="210"/>
      <c r="H928" s="34"/>
      <c r="I928" s="195">
        <f>SHF!I21</f>
        <v>115</v>
      </c>
      <c r="J928" s="195">
        <f>SHF!J21</f>
        <v>0</v>
      </c>
      <c r="K928" s="273"/>
      <c r="L928" s="274"/>
      <c r="M928" s="376">
        <v>1.35</v>
      </c>
    </row>
    <row r="929" spans="1:13">
      <c r="A929" s="25" t="s">
        <v>251</v>
      </c>
      <c r="B929" s="26" t="s">
        <v>971</v>
      </c>
      <c r="C929" s="26"/>
      <c r="D929" s="26"/>
      <c r="E929" s="27"/>
      <c r="F929" s="195">
        <f>SHF!F22</f>
        <v>20.660000000000004</v>
      </c>
      <c r="G929" s="210"/>
      <c r="H929" s="34"/>
      <c r="I929" s="195">
        <f>SHF!I22</f>
        <v>10.330000000000002</v>
      </c>
      <c r="J929" s="195">
        <f>SHF!J22</f>
        <v>0</v>
      </c>
      <c r="K929" s="273"/>
      <c r="L929" s="274"/>
      <c r="M929" s="376">
        <v>1.35</v>
      </c>
    </row>
    <row r="930" spans="1:13">
      <c r="A930" s="25" t="s">
        <v>97</v>
      </c>
      <c r="B930" s="26" t="s">
        <v>972</v>
      </c>
      <c r="C930" s="26"/>
      <c r="D930" s="26"/>
      <c r="E930" s="27"/>
      <c r="F930" s="195">
        <f>SHF!F23</f>
        <v>42</v>
      </c>
      <c r="G930" s="210"/>
      <c r="H930" s="34"/>
      <c r="I930" s="195">
        <f>SHF!I23</f>
        <v>14.858499999999999</v>
      </c>
      <c r="J930" s="195">
        <f>SHF!J23</f>
        <v>0</v>
      </c>
      <c r="K930" s="273"/>
      <c r="L930" s="274"/>
      <c r="M930" s="376">
        <v>1.75</v>
      </c>
    </row>
    <row r="931" spans="1:13">
      <c r="A931" s="25" t="s">
        <v>986</v>
      </c>
      <c r="B931" s="163" t="s">
        <v>955</v>
      </c>
      <c r="C931" s="26"/>
      <c r="D931" s="26"/>
      <c r="E931" s="27"/>
      <c r="F931" s="34"/>
      <c r="G931" s="195">
        <f>SHF!G37</f>
        <v>5.8532000000000011</v>
      </c>
      <c r="H931" s="34"/>
      <c r="I931" s="195">
        <f>SHF!I37</f>
        <v>37.928736000000015</v>
      </c>
      <c r="J931" s="34"/>
      <c r="K931" s="273"/>
      <c r="L931" s="274"/>
      <c r="M931" s="376">
        <v>1.5</v>
      </c>
    </row>
    <row r="932" spans="1:13">
      <c r="A932" s="686" t="s">
        <v>1128</v>
      </c>
      <c r="B932" s="687"/>
      <c r="C932" s="688"/>
      <c r="D932" s="688"/>
      <c r="E932" s="689"/>
      <c r="F932" s="195">
        <f>SHF!F40</f>
        <v>-23.695433333970961</v>
      </c>
      <c r="G932" s="689"/>
      <c r="H932" s="690"/>
      <c r="I932" s="195">
        <f>SHF!I40</f>
        <v>0</v>
      </c>
      <c r="J932" s="195">
        <f>SHF!J40</f>
        <v>0</v>
      </c>
      <c r="K932" s="273"/>
      <c r="L932" s="274"/>
      <c r="M932" s="376">
        <v>0.15</v>
      </c>
    </row>
    <row r="933" spans="1:13">
      <c r="A933" s="686" t="s">
        <v>1131</v>
      </c>
      <c r="B933" s="687"/>
      <c r="C933" s="688"/>
      <c r="D933" s="688"/>
      <c r="E933" s="689"/>
      <c r="F933" s="690"/>
      <c r="G933" s="195">
        <f>SHF!G44</f>
        <v>1.566445545112501</v>
      </c>
      <c r="H933" s="195">
        <f>SHF!H44</f>
        <v>0.77082515176153144</v>
      </c>
      <c r="I933" s="195">
        <f>SHF!I44</f>
        <v>2.5854696423507204</v>
      </c>
      <c r="J933" s="195">
        <f>SHF!J44</f>
        <v>1.2722721422765415</v>
      </c>
      <c r="K933" s="273"/>
      <c r="L933" s="274"/>
      <c r="M933" s="376">
        <v>1</v>
      </c>
    </row>
    <row r="934" spans="1:13">
      <c r="A934" s="278" t="s">
        <v>1132</v>
      </c>
      <c r="B934" s="262"/>
      <c r="C934" s="262"/>
      <c r="D934" s="262"/>
      <c r="E934" s="263"/>
      <c r="F934" s="1052"/>
      <c r="G934" s="1053"/>
      <c r="H934" s="267"/>
      <c r="I934" s="1052"/>
      <c r="J934" s="267"/>
      <c r="K934" s="289"/>
      <c r="L934" s="274"/>
      <c r="M934" s="412">
        <v>1.5</v>
      </c>
    </row>
    <row r="935" spans="1:13">
      <c r="A935" s="25" t="s">
        <v>991</v>
      </c>
      <c r="B935" s="26" t="s">
        <v>989</v>
      </c>
      <c r="C935" s="26"/>
      <c r="D935" s="26"/>
      <c r="E935" s="27"/>
      <c r="F935" s="197"/>
      <c r="G935" s="195">
        <f>SHF!G49</f>
        <v>70.238399999999984</v>
      </c>
      <c r="H935" s="34"/>
      <c r="I935" s="195">
        <f>SHF!I49</f>
        <v>455.14483200000001</v>
      </c>
      <c r="J935" s="89"/>
      <c r="K935" s="289"/>
      <c r="L935" s="274"/>
      <c r="M935" s="268">
        <v>1.5</v>
      </c>
    </row>
    <row r="936" spans="1:13">
      <c r="A936" s="25" t="s">
        <v>217</v>
      </c>
      <c r="B936" s="26" t="s">
        <v>211</v>
      </c>
      <c r="C936" s="26"/>
      <c r="D936" s="26"/>
      <c r="E936" s="27"/>
      <c r="F936" s="197"/>
      <c r="G936" s="195">
        <f>SHF!G55</f>
        <v>19.850764639779044</v>
      </c>
      <c r="H936" s="34"/>
      <c r="I936" s="195">
        <f>SHF!I55</f>
        <v>73.367744311147007</v>
      </c>
      <c r="J936" s="89"/>
      <c r="K936" s="289"/>
      <c r="L936" s="274"/>
      <c r="M936" s="376">
        <v>1.5</v>
      </c>
    </row>
    <row r="937" spans="1:13">
      <c r="A937" s="686" t="s">
        <v>1139</v>
      </c>
      <c r="B937" s="688" t="s">
        <v>1140</v>
      </c>
      <c r="C937" s="688"/>
      <c r="D937" s="688"/>
      <c r="E937" s="689"/>
      <c r="F937" s="620"/>
      <c r="G937" s="195">
        <f>SHF!G58</f>
        <v>7.3173856373850432</v>
      </c>
      <c r="H937" s="690"/>
      <c r="I937" s="195">
        <f>SHF!I58</f>
        <v>8.4456204005780648</v>
      </c>
      <c r="J937" s="269"/>
      <c r="K937" s="289"/>
      <c r="L937" s="274"/>
      <c r="M937" s="376">
        <v>1</v>
      </c>
    </row>
    <row r="938" spans="1:13">
      <c r="A938" s="278" t="s">
        <v>1135</v>
      </c>
      <c r="B938" s="262"/>
      <c r="C938" s="262"/>
      <c r="D938" s="262"/>
      <c r="E938" s="263"/>
      <c r="F938" s="279"/>
      <c r="G938" s="280"/>
      <c r="H938" s="264"/>
      <c r="I938" s="279"/>
      <c r="J938" s="264"/>
      <c r="K938" s="289"/>
      <c r="L938" s="274"/>
      <c r="M938" s="708">
        <v>0.44999999999999996</v>
      </c>
    </row>
    <row r="939" spans="1:13">
      <c r="A939" s="25" t="s">
        <v>997</v>
      </c>
      <c r="B939" s="26" t="s">
        <v>988</v>
      </c>
      <c r="C939" s="26"/>
      <c r="D939" s="26"/>
      <c r="E939" s="27"/>
      <c r="F939" s="197"/>
      <c r="G939" s="211"/>
      <c r="H939" s="195">
        <f>SHF!H62</f>
        <v>35.119199999999992</v>
      </c>
      <c r="I939" s="197"/>
      <c r="J939" s="195">
        <f>SHF!J62</f>
        <v>257.60072117968605</v>
      </c>
      <c r="K939" s="289"/>
      <c r="L939" s="274"/>
      <c r="M939" s="268">
        <v>0.44999999999999996</v>
      </c>
    </row>
    <row r="940" spans="1:13">
      <c r="A940" s="25" t="s">
        <v>998</v>
      </c>
      <c r="B940" s="26" t="s">
        <v>989</v>
      </c>
      <c r="C940" s="26"/>
      <c r="D940" s="26"/>
      <c r="E940" s="27"/>
      <c r="F940" s="197"/>
      <c r="G940" s="211"/>
      <c r="H940" s="195">
        <f>SHF!H63</f>
        <v>35.119199999999992</v>
      </c>
      <c r="I940" s="197"/>
      <c r="J940" s="195">
        <f>SHF!J63</f>
        <v>257.60072117968605</v>
      </c>
      <c r="K940" s="289"/>
      <c r="L940" s="274"/>
      <c r="M940" s="376">
        <v>0.44999999999999996</v>
      </c>
    </row>
    <row r="941" spans="1:13">
      <c r="A941" s="25" t="s">
        <v>1006</v>
      </c>
      <c r="B941" s="26" t="s">
        <v>211</v>
      </c>
      <c r="C941" s="26"/>
      <c r="D941" s="26"/>
      <c r="E941" s="27"/>
      <c r="F941" s="197"/>
      <c r="G941" s="211"/>
      <c r="H941" s="195">
        <f>SHF!H73</f>
        <v>19.850764639779044</v>
      </c>
      <c r="I941" s="197"/>
      <c r="J941" s="195">
        <f>SHF!J73</f>
        <v>73.367744311147007</v>
      </c>
      <c r="K941" s="289"/>
      <c r="L941" s="274"/>
      <c r="M941" s="376">
        <v>0.44999999999999996</v>
      </c>
    </row>
    <row r="942" spans="1:13">
      <c r="A942" s="686" t="s">
        <v>1138</v>
      </c>
      <c r="B942" s="688" t="s">
        <v>1141</v>
      </c>
      <c r="C942" s="26"/>
      <c r="D942" s="26"/>
      <c r="E942" s="27"/>
      <c r="F942" s="34"/>
      <c r="G942" s="27"/>
      <c r="H942" s="195">
        <f>SHF!H76</f>
        <v>7.3173856373850432</v>
      </c>
      <c r="I942" s="620"/>
      <c r="J942" s="195">
        <f>SHF!J76</f>
        <v>8.4456204005780648</v>
      </c>
      <c r="K942" s="289"/>
      <c r="L942" s="274"/>
      <c r="M942" s="376">
        <v>0.3</v>
      </c>
    </row>
    <row r="943" spans="1:13">
      <c r="A943" s="290" t="s">
        <v>1137</v>
      </c>
      <c r="B943" s="11"/>
      <c r="C943" s="11"/>
      <c r="D943" s="11"/>
      <c r="E943" s="191"/>
      <c r="F943" s="197"/>
      <c r="G943" s="211"/>
      <c r="H943" s="89"/>
      <c r="I943" s="197"/>
      <c r="J943" s="89"/>
      <c r="K943" s="289"/>
      <c r="L943" s="274"/>
      <c r="M943" s="994">
        <v>0.44999999999999996</v>
      </c>
    </row>
    <row r="944" spans="1:13">
      <c r="A944" s="25" t="s">
        <v>1007</v>
      </c>
      <c r="B944" s="26" t="s">
        <v>988</v>
      </c>
      <c r="C944" s="26"/>
      <c r="D944" s="26"/>
      <c r="E944" s="27"/>
      <c r="F944" s="195">
        <f>SHF!F80</f>
        <v>23.412799999999997</v>
      </c>
      <c r="G944" s="211"/>
      <c r="H944" s="34"/>
      <c r="I944" s="195">
        <f>SHF!I80</f>
        <v>-11.21508</v>
      </c>
      <c r="J944" s="195">
        <f>SHF!J80</f>
        <v>0</v>
      </c>
      <c r="K944" s="289"/>
      <c r="L944" s="274"/>
      <c r="M944" s="376">
        <v>0.44999999999999996</v>
      </c>
    </row>
    <row r="945" spans="1:13">
      <c r="A945" s="25" t="s">
        <v>1008</v>
      </c>
      <c r="B945" s="26" t="s">
        <v>989</v>
      </c>
      <c r="C945" s="26"/>
      <c r="D945" s="26"/>
      <c r="E945" s="27"/>
      <c r="F945" s="195">
        <f>SHF!F81</f>
        <v>23.412799999999997</v>
      </c>
      <c r="G945" s="211"/>
      <c r="H945" s="34"/>
      <c r="I945" s="195">
        <f>SHF!I81</f>
        <v>11.21508</v>
      </c>
      <c r="J945" s="195">
        <f>SHF!J81</f>
        <v>0</v>
      </c>
      <c r="K945" s="289"/>
      <c r="L945" s="274"/>
      <c r="M945" s="268">
        <v>0.44999999999999996</v>
      </c>
    </row>
    <row r="946" spans="1:13">
      <c r="A946" s="25" t="s">
        <v>1011</v>
      </c>
      <c r="B946" s="26" t="s">
        <v>211</v>
      </c>
      <c r="C946" s="26"/>
      <c r="D946" s="26"/>
      <c r="E946" s="27"/>
      <c r="F946" s="195">
        <f>SHF!F91</f>
        <v>13.233843093186028</v>
      </c>
      <c r="G946" s="211"/>
      <c r="H946" s="197"/>
      <c r="I946" s="195">
        <f>SHF!I91</f>
        <v>0</v>
      </c>
      <c r="J946" s="195">
        <f>SHF!J91</f>
        <v>0</v>
      </c>
      <c r="K946" s="289"/>
      <c r="L946" s="274"/>
      <c r="M946" s="268">
        <v>0.44999999999999996</v>
      </c>
    </row>
    <row r="947" spans="1:13">
      <c r="A947" s="253"/>
      <c r="B947" s="15"/>
      <c r="C947" s="15"/>
      <c r="D947" s="15"/>
      <c r="E947" s="22"/>
      <c r="F947" s="212"/>
      <c r="G947" s="213"/>
      <c r="H947" s="198"/>
      <c r="I947" s="198"/>
      <c r="J947" s="58"/>
      <c r="K947" s="74"/>
      <c r="L947" s="277"/>
      <c r="M947" s="379"/>
    </row>
    <row r="948" spans="1:13">
      <c r="A948" s="46"/>
      <c r="B948" s="46"/>
      <c r="C948" s="46"/>
      <c r="D948" s="46"/>
      <c r="E948" s="46"/>
      <c r="F948" s="46"/>
      <c r="G948" s="46"/>
      <c r="H948" s="46"/>
      <c r="I948" s="46"/>
      <c r="J948" s="46"/>
      <c r="K948" s="116"/>
      <c r="L948" s="270"/>
      <c r="M948" s="87"/>
    </row>
    <row r="949" spans="1:13">
      <c r="A949" s="220" t="s">
        <v>73</v>
      </c>
      <c r="B949" s="220" t="s">
        <v>74</v>
      </c>
      <c r="C949" s="200"/>
      <c r="D949" s="200"/>
      <c r="E949" s="217"/>
      <c r="F949" s="1636" t="s">
        <v>72</v>
      </c>
      <c r="G949" s="1637"/>
      <c r="H949" s="1637"/>
      <c r="I949" s="1637"/>
      <c r="J949" s="1638"/>
      <c r="K949" s="116"/>
      <c r="L949" s="270"/>
      <c r="M949" s="87"/>
    </row>
    <row r="950" spans="1:13" ht="18">
      <c r="A950" s="221"/>
      <c r="B950" s="221"/>
      <c r="C950" s="201"/>
      <c r="D950" s="201"/>
      <c r="E950" s="219"/>
      <c r="F950" s="223" t="s">
        <v>23</v>
      </c>
      <c r="G950" s="223" t="s">
        <v>87</v>
      </c>
      <c r="H950" s="223" t="s">
        <v>212</v>
      </c>
      <c r="I950" s="223" t="s">
        <v>80</v>
      </c>
      <c r="J950" s="223" t="s">
        <v>81</v>
      </c>
      <c r="K950" s="116"/>
      <c r="L950" s="270"/>
      <c r="M950" s="87"/>
    </row>
    <row r="951" spans="1:13">
      <c r="A951" s="222"/>
      <c r="B951" s="222"/>
      <c r="C951" s="203"/>
      <c r="D951" s="203"/>
      <c r="E951" s="218"/>
      <c r="F951" s="204" t="s">
        <v>34</v>
      </c>
      <c r="G951" s="204" t="s">
        <v>34</v>
      </c>
      <c r="H951" s="203" t="s">
        <v>34</v>
      </c>
      <c r="I951" s="204" t="s">
        <v>77</v>
      </c>
      <c r="J951" s="204" t="s">
        <v>77</v>
      </c>
      <c r="K951" s="116"/>
      <c r="L951" s="270"/>
      <c r="M951" s="87"/>
    </row>
    <row r="952" spans="1:13">
      <c r="A952" s="202"/>
      <c r="B952" s="200"/>
      <c r="C952" s="200"/>
      <c r="D952" s="200"/>
      <c r="E952" s="217"/>
      <c r="F952" s="205"/>
      <c r="G952" s="205"/>
      <c r="H952" s="201"/>
      <c r="I952" s="205"/>
      <c r="J952" s="205"/>
      <c r="K952" s="116"/>
      <c r="L952" s="270"/>
      <c r="M952" s="87"/>
    </row>
    <row r="953" spans="1:13">
      <c r="A953" s="205" t="str">
        <f>A921</f>
        <v>LC-31</v>
      </c>
      <c r="B953" s="201" t="str">
        <f>B921</f>
        <v>LC-22 + Seismic Sx=1,Sz=0.3,Sy=0.3</v>
      </c>
      <c r="C953" s="201"/>
      <c r="D953" s="201"/>
      <c r="E953" s="219"/>
      <c r="F953" s="1054">
        <f>SUMPRODUCT(F924:F946,$M$924:$M$946)</f>
        <v>1053.7755365893524</v>
      </c>
      <c r="G953" s="1055">
        <f>SUMPRODUCT(G924:G946,$M$924:$M$946)</f>
        <v>152.79737814216605</v>
      </c>
      <c r="H953" s="1055">
        <f>SUMPRODUCT(H924:H946,$M$924:$M$946)</f>
        <v>43.506164930877603</v>
      </c>
      <c r="I953" s="1055">
        <f>SUMPRODUCT(I924:I946,$M$924:$M$946)</f>
        <v>866.63645850964929</v>
      </c>
      <c r="J953" s="1055">
        <f>SUMPRODUCT(J924:J946,$M$924:$M$946)</f>
        <v>268.66209226418351</v>
      </c>
      <c r="K953" s="116"/>
      <c r="L953" s="270"/>
      <c r="M953" s="87"/>
    </row>
    <row r="954" spans="1:13">
      <c r="A954" s="204"/>
      <c r="B954" s="203"/>
      <c r="C954" s="203"/>
      <c r="D954" s="203"/>
      <c r="E954" s="218"/>
      <c r="F954" s="204"/>
      <c r="G954" s="204"/>
      <c r="H954" s="203"/>
      <c r="I954" s="204"/>
      <c r="J954" s="204"/>
      <c r="K954" s="116"/>
      <c r="L954" s="270"/>
      <c r="M954" s="87"/>
    </row>
    <row r="955" spans="1:13">
      <c r="A955" s="1"/>
      <c r="B955" s="1"/>
      <c r="C955" s="1"/>
      <c r="D955" s="1"/>
      <c r="E955" s="1"/>
      <c r="F955" s="1"/>
      <c r="G955" s="1"/>
      <c r="H955" s="1"/>
      <c r="I955" s="1"/>
      <c r="J955" s="1"/>
      <c r="K955" s="1"/>
      <c r="L955" s="1"/>
      <c r="M955" s="1"/>
    </row>
    <row r="956" spans="1:13">
      <c r="A956" s="1"/>
      <c r="B956" s="1"/>
      <c r="C956" s="1"/>
      <c r="D956" s="1"/>
      <c r="E956" s="1"/>
      <c r="F956" s="1"/>
      <c r="G956" s="1"/>
      <c r="H956" s="1"/>
      <c r="I956" s="1"/>
      <c r="J956" s="1"/>
      <c r="K956" s="1"/>
      <c r="L956" s="1"/>
      <c r="M956" s="1"/>
    </row>
    <row r="957" spans="1:13">
      <c r="A957" s="225" t="str">
        <f>M957</f>
        <v>LC-32</v>
      </c>
      <c r="B957" s="24" t="str">
        <f>VLOOKUP(A957,LC_DEF_2!A3:B42,2,FALSE)</f>
        <v>LC-22 + Seismic Sx=0.3,Sz=1,Sy=0.3</v>
      </c>
      <c r="C957" s="24"/>
      <c r="D957" s="24"/>
      <c r="E957" s="21"/>
      <c r="F957" s="1599" t="s">
        <v>742</v>
      </c>
      <c r="G957" s="1635"/>
      <c r="H957" s="1635"/>
      <c r="I957" s="1635"/>
      <c r="J957" s="1600"/>
      <c r="K957" s="73"/>
      <c r="L957" s="272"/>
      <c r="M957" s="384" t="s">
        <v>1169</v>
      </c>
    </row>
    <row r="958" spans="1:13" ht="18">
      <c r="A958" s="25" t="s">
        <v>73</v>
      </c>
      <c r="B958" s="26" t="s">
        <v>74</v>
      </c>
      <c r="C958" s="26"/>
      <c r="D958" s="26"/>
      <c r="E958" s="27"/>
      <c r="F958" s="33" t="s">
        <v>23</v>
      </c>
      <c r="G958" s="33" t="s">
        <v>87</v>
      </c>
      <c r="H958" s="33" t="s">
        <v>212</v>
      </c>
      <c r="I958" s="33" t="s">
        <v>80</v>
      </c>
      <c r="J958" s="33" t="s">
        <v>81</v>
      </c>
      <c r="K958" s="273"/>
      <c r="L958" s="274"/>
      <c r="M958" s="376"/>
    </row>
    <row r="959" spans="1:13">
      <c r="A959" s="25"/>
      <c r="B959" s="26"/>
      <c r="C959" s="26"/>
      <c r="D959" s="26"/>
      <c r="E959" s="27"/>
      <c r="F959" s="36" t="s">
        <v>34</v>
      </c>
      <c r="G959" s="36" t="s">
        <v>34</v>
      </c>
      <c r="H959" s="36" t="s">
        <v>34</v>
      </c>
      <c r="I959" s="36" t="s">
        <v>77</v>
      </c>
      <c r="J959" s="36" t="s">
        <v>77</v>
      </c>
      <c r="K959" s="74"/>
      <c r="L959" s="277"/>
      <c r="M959" s="655"/>
    </row>
    <row r="960" spans="1:13">
      <c r="A960" s="25" t="s">
        <v>88</v>
      </c>
      <c r="B960" s="26" t="s">
        <v>75</v>
      </c>
      <c r="C960" s="26"/>
      <c r="D960" s="26"/>
      <c r="E960" s="27"/>
      <c r="F960" s="195">
        <f>SHF!F14</f>
        <v>165.42303866482536</v>
      </c>
      <c r="G960" s="210"/>
      <c r="H960" s="34"/>
      <c r="I960" s="195">
        <f>SHF!I14</f>
        <v>0</v>
      </c>
      <c r="J960" s="195">
        <f>SHF!J14</f>
        <v>0</v>
      </c>
      <c r="K960" s="273"/>
      <c r="L960" s="274"/>
      <c r="M960" s="268">
        <v>1.35</v>
      </c>
    </row>
    <row r="961" spans="1:13">
      <c r="A961" s="25" t="s">
        <v>250</v>
      </c>
      <c r="B961" s="26" t="s">
        <v>967</v>
      </c>
      <c r="C961" s="26"/>
      <c r="D961" s="26"/>
      <c r="E961" s="27"/>
      <c r="F961" s="195">
        <f>SHF!F17</f>
        <v>230</v>
      </c>
      <c r="G961" s="210"/>
      <c r="H961" s="34"/>
      <c r="I961" s="195">
        <f>SHF!I17</f>
        <v>-115</v>
      </c>
      <c r="J961" s="195">
        <f>SHF!J17</f>
        <v>0</v>
      </c>
      <c r="K961" s="273"/>
      <c r="L961" s="274"/>
      <c r="M961" s="268">
        <v>1.35</v>
      </c>
    </row>
    <row r="962" spans="1:13">
      <c r="A962" s="25" t="s">
        <v>251</v>
      </c>
      <c r="B962" s="26" t="s">
        <v>968</v>
      </c>
      <c r="C962" s="26"/>
      <c r="D962" s="26"/>
      <c r="E962" s="27"/>
      <c r="F962" s="195">
        <f>SHF!F18</f>
        <v>20.660000000000004</v>
      </c>
      <c r="G962" s="210"/>
      <c r="H962" s="34"/>
      <c r="I962" s="195">
        <f>SHF!I18</f>
        <v>-10.330000000000002</v>
      </c>
      <c r="J962" s="195">
        <f>SHF!J18</f>
        <v>0</v>
      </c>
      <c r="K962" s="273"/>
      <c r="L962" s="274"/>
      <c r="M962" s="268">
        <v>1.35</v>
      </c>
    </row>
    <row r="963" spans="1:13">
      <c r="A963" s="25" t="s">
        <v>97</v>
      </c>
      <c r="B963" s="26" t="s">
        <v>969</v>
      </c>
      <c r="C963" s="26"/>
      <c r="D963" s="26"/>
      <c r="E963" s="27"/>
      <c r="F963" s="195">
        <f>SHF!F19</f>
        <v>42</v>
      </c>
      <c r="G963" s="210"/>
      <c r="H963" s="34"/>
      <c r="I963" s="195">
        <f>SHF!I19</f>
        <v>-14.858499999999999</v>
      </c>
      <c r="J963" s="195">
        <f>SHF!J19</f>
        <v>0</v>
      </c>
      <c r="K963" s="273"/>
      <c r="L963" s="274"/>
      <c r="M963" s="268">
        <v>1.35</v>
      </c>
    </row>
    <row r="964" spans="1:13">
      <c r="A964" s="25" t="s">
        <v>250</v>
      </c>
      <c r="B964" s="26" t="s">
        <v>970</v>
      </c>
      <c r="C964" s="26"/>
      <c r="D964" s="26"/>
      <c r="E964" s="27"/>
      <c r="F964" s="195">
        <f>SHF!F21</f>
        <v>230</v>
      </c>
      <c r="G964" s="210"/>
      <c r="H964" s="34"/>
      <c r="I964" s="195">
        <f>SHF!I21</f>
        <v>115</v>
      </c>
      <c r="J964" s="195">
        <f>SHF!J21</f>
        <v>0</v>
      </c>
      <c r="K964" s="273"/>
      <c r="L964" s="274"/>
      <c r="M964" s="376">
        <v>1.35</v>
      </c>
    </row>
    <row r="965" spans="1:13">
      <c r="A965" s="25" t="s">
        <v>251</v>
      </c>
      <c r="B965" s="26" t="s">
        <v>971</v>
      </c>
      <c r="C965" s="26"/>
      <c r="D965" s="26"/>
      <c r="E965" s="27"/>
      <c r="F965" s="195">
        <f>SHF!F22</f>
        <v>20.660000000000004</v>
      </c>
      <c r="G965" s="210"/>
      <c r="H965" s="34"/>
      <c r="I965" s="195">
        <f>SHF!I22</f>
        <v>10.330000000000002</v>
      </c>
      <c r="J965" s="195">
        <f>SHF!J22</f>
        <v>0</v>
      </c>
      <c r="K965" s="273"/>
      <c r="L965" s="274"/>
      <c r="M965" s="376">
        <v>1.35</v>
      </c>
    </row>
    <row r="966" spans="1:13">
      <c r="A966" s="25" t="s">
        <v>97</v>
      </c>
      <c r="B966" s="26" t="s">
        <v>972</v>
      </c>
      <c r="C966" s="26"/>
      <c r="D966" s="26"/>
      <c r="E966" s="27"/>
      <c r="F966" s="195">
        <f>SHF!F23</f>
        <v>42</v>
      </c>
      <c r="G966" s="210"/>
      <c r="H966" s="34"/>
      <c r="I966" s="195">
        <f>SHF!I23</f>
        <v>14.858499999999999</v>
      </c>
      <c r="J966" s="195">
        <f>SHF!J23</f>
        <v>0</v>
      </c>
      <c r="K966" s="273"/>
      <c r="L966" s="274"/>
      <c r="M966" s="376">
        <v>1.75</v>
      </c>
    </row>
    <row r="967" spans="1:13">
      <c r="A967" s="25" t="s">
        <v>986</v>
      </c>
      <c r="B967" s="163" t="s">
        <v>955</v>
      </c>
      <c r="C967" s="26"/>
      <c r="D967" s="26"/>
      <c r="E967" s="27"/>
      <c r="F967" s="34"/>
      <c r="G967" s="195">
        <f>SHF!G37</f>
        <v>5.8532000000000011</v>
      </c>
      <c r="H967" s="34"/>
      <c r="I967" s="195">
        <f>SHF!I37</f>
        <v>37.928736000000015</v>
      </c>
      <c r="J967" s="34"/>
      <c r="K967" s="273"/>
      <c r="L967" s="274"/>
      <c r="M967" s="376">
        <v>1.5</v>
      </c>
    </row>
    <row r="968" spans="1:13">
      <c r="A968" s="686" t="s">
        <v>1128</v>
      </c>
      <c r="B968" s="687"/>
      <c r="C968" s="688"/>
      <c r="D968" s="688"/>
      <c r="E968" s="689"/>
      <c r="F968" s="195">
        <f>SHF!F40</f>
        <v>-23.695433333970961</v>
      </c>
      <c r="G968" s="689"/>
      <c r="H968" s="690"/>
      <c r="I968" s="195">
        <f>SHF!I40</f>
        <v>0</v>
      </c>
      <c r="J968" s="195">
        <f>SHF!J40</f>
        <v>0</v>
      </c>
      <c r="K968" s="273"/>
      <c r="L968" s="274"/>
      <c r="M968" s="376">
        <v>0.15</v>
      </c>
    </row>
    <row r="969" spans="1:13">
      <c r="A969" s="686" t="s">
        <v>1131</v>
      </c>
      <c r="B969" s="687"/>
      <c r="C969" s="688"/>
      <c r="D969" s="688"/>
      <c r="E969" s="689"/>
      <c r="F969" s="690"/>
      <c r="G969" s="195">
        <f>SHF!G44</f>
        <v>1.566445545112501</v>
      </c>
      <c r="H969" s="195">
        <f>SHF!H44</f>
        <v>0.77082515176153144</v>
      </c>
      <c r="I969" s="195">
        <f>SHF!I44</f>
        <v>2.5854696423507204</v>
      </c>
      <c r="J969" s="195">
        <f>SHF!J44</f>
        <v>1.2722721422765415</v>
      </c>
      <c r="K969" s="273"/>
      <c r="L969" s="274"/>
      <c r="M969" s="376">
        <v>1</v>
      </c>
    </row>
    <row r="970" spans="1:13">
      <c r="A970" s="278" t="s">
        <v>1132</v>
      </c>
      <c r="B970" s="262"/>
      <c r="C970" s="262"/>
      <c r="D970" s="262"/>
      <c r="E970" s="263"/>
      <c r="F970" s="1052"/>
      <c r="G970" s="1053"/>
      <c r="H970" s="267"/>
      <c r="I970" s="1052"/>
      <c r="J970" s="267"/>
      <c r="K970" s="289"/>
      <c r="L970" s="274"/>
      <c r="M970" s="412">
        <v>0.44999999999999996</v>
      </c>
    </row>
    <row r="971" spans="1:13">
      <c r="A971" s="25" t="s">
        <v>991</v>
      </c>
      <c r="B971" s="26" t="s">
        <v>989</v>
      </c>
      <c r="C971" s="26"/>
      <c r="D971" s="26"/>
      <c r="E971" s="27"/>
      <c r="F971" s="197"/>
      <c r="G971" s="195">
        <f>SHF!G49</f>
        <v>70.238399999999984</v>
      </c>
      <c r="H971" s="34"/>
      <c r="I971" s="195">
        <f>SHF!I49</f>
        <v>455.14483200000001</v>
      </c>
      <c r="J971" s="89"/>
      <c r="K971" s="289"/>
      <c r="L971" s="274"/>
      <c r="M971" s="268">
        <v>0.44999999999999996</v>
      </c>
    </row>
    <row r="972" spans="1:13">
      <c r="A972" s="25" t="s">
        <v>217</v>
      </c>
      <c r="B972" s="26" t="s">
        <v>211</v>
      </c>
      <c r="C972" s="26"/>
      <c r="D972" s="26"/>
      <c r="E972" s="27"/>
      <c r="F972" s="197"/>
      <c r="G972" s="195">
        <f>SHF!G55</f>
        <v>19.850764639779044</v>
      </c>
      <c r="H972" s="34"/>
      <c r="I972" s="195">
        <f>SHF!I55</f>
        <v>73.367744311147007</v>
      </c>
      <c r="J972" s="89"/>
      <c r="K972" s="289"/>
      <c r="L972" s="274"/>
      <c r="M972" s="376">
        <v>0.44999999999999996</v>
      </c>
    </row>
    <row r="973" spans="1:13">
      <c r="A973" s="686" t="s">
        <v>1139</v>
      </c>
      <c r="B973" s="688" t="s">
        <v>1140</v>
      </c>
      <c r="C973" s="688"/>
      <c r="D973" s="688"/>
      <c r="E973" s="689"/>
      <c r="F973" s="620"/>
      <c r="G973" s="195">
        <f>SHF!G58</f>
        <v>7.3173856373850432</v>
      </c>
      <c r="H973" s="690"/>
      <c r="I973" s="195">
        <f>SHF!I58</f>
        <v>8.4456204005780648</v>
      </c>
      <c r="J973" s="269"/>
      <c r="K973" s="289"/>
      <c r="L973" s="274"/>
      <c r="M973" s="376">
        <v>0.3</v>
      </c>
    </row>
    <row r="974" spans="1:13">
      <c r="A974" s="278" t="s">
        <v>1135</v>
      </c>
      <c r="B974" s="262"/>
      <c r="C974" s="262"/>
      <c r="D974" s="262"/>
      <c r="E974" s="263"/>
      <c r="F974" s="279"/>
      <c r="G974" s="280"/>
      <c r="H974" s="264"/>
      <c r="I974" s="279"/>
      <c r="J974" s="264"/>
      <c r="K974" s="289"/>
      <c r="L974" s="274"/>
      <c r="M974" s="708">
        <v>1.5</v>
      </c>
    </row>
    <row r="975" spans="1:13">
      <c r="A975" s="25" t="s">
        <v>997</v>
      </c>
      <c r="B975" s="26" t="s">
        <v>988</v>
      </c>
      <c r="C975" s="26"/>
      <c r="D975" s="26"/>
      <c r="E975" s="27"/>
      <c r="F975" s="197"/>
      <c r="G975" s="211"/>
      <c r="H975" s="195">
        <f>SHF!H62</f>
        <v>35.119199999999992</v>
      </c>
      <c r="I975" s="197"/>
      <c r="J975" s="195">
        <f>SHF!J62</f>
        <v>257.60072117968605</v>
      </c>
      <c r="K975" s="289"/>
      <c r="L975" s="274"/>
      <c r="M975" s="268">
        <v>1.5</v>
      </c>
    </row>
    <row r="976" spans="1:13">
      <c r="A976" s="25" t="s">
        <v>998</v>
      </c>
      <c r="B976" s="26" t="s">
        <v>989</v>
      </c>
      <c r="C976" s="26"/>
      <c r="D976" s="26"/>
      <c r="E976" s="27"/>
      <c r="F976" s="197"/>
      <c r="G976" s="211"/>
      <c r="H976" s="195">
        <f>SHF!H63</f>
        <v>35.119199999999992</v>
      </c>
      <c r="I976" s="197"/>
      <c r="J976" s="195">
        <f>SHF!J63</f>
        <v>257.60072117968605</v>
      </c>
      <c r="K976" s="289"/>
      <c r="L976" s="274"/>
      <c r="M976" s="376">
        <v>1.5</v>
      </c>
    </row>
    <row r="977" spans="1:13">
      <c r="A977" s="25" t="s">
        <v>1006</v>
      </c>
      <c r="B977" s="26" t="s">
        <v>211</v>
      </c>
      <c r="C977" s="26"/>
      <c r="D977" s="26"/>
      <c r="E977" s="27"/>
      <c r="F977" s="197"/>
      <c r="G977" s="211"/>
      <c r="H977" s="195">
        <f>SHF!H73</f>
        <v>19.850764639779044</v>
      </c>
      <c r="I977" s="197"/>
      <c r="J977" s="195">
        <f>SHF!J73</f>
        <v>73.367744311147007</v>
      </c>
      <c r="K977" s="289"/>
      <c r="L977" s="274"/>
      <c r="M977" s="376">
        <v>1.5</v>
      </c>
    </row>
    <row r="978" spans="1:13">
      <c r="A978" s="686" t="s">
        <v>1138</v>
      </c>
      <c r="B978" s="688" t="s">
        <v>1141</v>
      </c>
      <c r="C978" s="26"/>
      <c r="D978" s="26"/>
      <c r="E978" s="27"/>
      <c r="F978" s="34"/>
      <c r="G978" s="27"/>
      <c r="H978" s="195">
        <f>SHF!H76</f>
        <v>7.3173856373850432</v>
      </c>
      <c r="I978" s="620"/>
      <c r="J978" s="195">
        <f>SHF!J76</f>
        <v>8.4456204005780648</v>
      </c>
      <c r="K978" s="289"/>
      <c r="L978" s="274"/>
      <c r="M978" s="376">
        <v>1</v>
      </c>
    </row>
    <row r="979" spans="1:13">
      <c r="A979" s="290" t="s">
        <v>1137</v>
      </c>
      <c r="B979" s="11"/>
      <c r="C979" s="11"/>
      <c r="D979" s="11"/>
      <c r="E979" s="191"/>
      <c r="F979" s="197"/>
      <c r="G979" s="211"/>
      <c r="H979" s="89"/>
      <c r="I979" s="197"/>
      <c r="J979" s="89"/>
      <c r="K979" s="289"/>
      <c r="L979" s="274"/>
      <c r="M979" s="994">
        <v>0.44999999999999996</v>
      </c>
    </row>
    <row r="980" spans="1:13">
      <c r="A980" s="25" t="s">
        <v>1007</v>
      </c>
      <c r="B980" s="26" t="s">
        <v>988</v>
      </c>
      <c r="C980" s="26"/>
      <c r="D980" s="26"/>
      <c r="E980" s="27"/>
      <c r="F980" s="195">
        <f>SHF!F80</f>
        <v>23.412799999999997</v>
      </c>
      <c r="G980" s="211"/>
      <c r="H980" s="34"/>
      <c r="I980" s="195">
        <f>SHF!I80</f>
        <v>-11.21508</v>
      </c>
      <c r="J980" s="195">
        <f>SHF!J80</f>
        <v>0</v>
      </c>
      <c r="K980" s="289"/>
      <c r="L980" s="274"/>
      <c r="M980" s="376">
        <v>0.44999999999999996</v>
      </c>
    </row>
    <row r="981" spans="1:13">
      <c r="A981" s="25" t="s">
        <v>1008</v>
      </c>
      <c r="B981" s="26" t="s">
        <v>989</v>
      </c>
      <c r="C981" s="26"/>
      <c r="D981" s="26"/>
      <c r="E981" s="27"/>
      <c r="F981" s="195">
        <f>SHF!F81</f>
        <v>23.412799999999997</v>
      </c>
      <c r="G981" s="211"/>
      <c r="H981" s="34"/>
      <c r="I981" s="195">
        <f>SHF!I81</f>
        <v>11.21508</v>
      </c>
      <c r="J981" s="195">
        <f>SHF!J81</f>
        <v>0</v>
      </c>
      <c r="K981" s="289"/>
      <c r="L981" s="274"/>
      <c r="M981" s="268">
        <v>0.44999999999999996</v>
      </c>
    </row>
    <row r="982" spans="1:13">
      <c r="A982" s="25" t="s">
        <v>1011</v>
      </c>
      <c r="B982" s="26" t="s">
        <v>211</v>
      </c>
      <c r="C982" s="26"/>
      <c r="D982" s="26"/>
      <c r="E982" s="27"/>
      <c r="F982" s="195">
        <f>SHF!F91</f>
        <v>13.233843093186028</v>
      </c>
      <c r="G982" s="211"/>
      <c r="H982" s="197"/>
      <c r="I982" s="195">
        <f>SHF!I91</f>
        <v>0</v>
      </c>
      <c r="J982" s="195">
        <f>SHF!J91</f>
        <v>0</v>
      </c>
      <c r="K982" s="289"/>
      <c r="L982" s="274"/>
      <c r="M982" s="268">
        <v>0.44999999999999996</v>
      </c>
    </row>
    <row r="983" spans="1:13">
      <c r="A983" s="253"/>
      <c r="B983" s="15"/>
      <c r="C983" s="15"/>
      <c r="D983" s="15"/>
      <c r="E983" s="22"/>
      <c r="F983" s="212"/>
      <c r="G983" s="213"/>
      <c r="H983" s="198"/>
      <c r="I983" s="198"/>
      <c r="J983" s="58"/>
      <c r="K983" s="74"/>
      <c r="L983" s="277"/>
      <c r="M983" s="379"/>
    </row>
    <row r="984" spans="1:13">
      <c r="A984" s="46"/>
      <c r="B984" s="46"/>
      <c r="C984" s="46"/>
      <c r="D984" s="46"/>
      <c r="E984" s="46"/>
      <c r="F984" s="46"/>
      <c r="G984" s="46"/>
      <c r="H984" s="46"/>
      <c r="I984" s="46"/>
      <c r="J984" s="46"/>
      <c r="K984" s="116"/>
      <c r="L984" s="270"/>
      <c r="M984" s="87"/>
    </row>
    <row r="985" spans="1:13">
      <c r="A985" s="220" t="s">
        <v>73</v>
      </c>
      <c r="B985" s="220" t="s">
        <v>74</v>
      </c>
      <c r="C985" s="200"/>
      <c r="D985" s="200"/>
      <c r="E985" s="217"/>
      <c r="F985" s="1636" t="s">
        <v>72</v>
      </c>
      <c r="G985" s="1637"/>
      <c r="H985" s="1637"/>
      <c r="I985" s="1637"/>
      <c r="J985" s="1638"/>
      <c r="K985" s="116"/>
      <c r="L985" s="270"/>
      <c r="M985" s="87"/>
    </row>
    <row r="986" spans="1:13" ht="18">
      <c r="A986" s="221"/>
      <c r="B986" s="221"/>
      <c r="C986" s="201"/>
      <c r="D986" s="201"/>
      <c r="E986" s="219"/>
      <c r="F986" s="223" t="s">
        <v>23</v>
      </c>
      <c r="G986" s="223" t="s">
        <v>87</v>
      </c>
      <c r="H986" s="223" t="s">
        <v>212</v>
      </c>
      <c r="I986" s="223" t="s">
        <v>80</v>
      </c>
      <c r="J986" s="223" t="s">
        <v>81</v>
      </c>
      <c r="K986" s="116"/>
      <c r="L986" s="270"/>
      <c r="M986" s="87"/>
    </row>
    <row r="987" spans="1:13">
      <c r="A987" s="222"/>
      <c r="B987" s="222"/>
      <c r="C987" s="203"/>
      <c r="D987" s="203"/>
      <c r="E987" s="218"/>
      <c r="F987" s="204" t="s">
        <v>34</v>
      </c>
      <c r="G987" s="204" t="s">
        <v>34</v>
      </c>
      <c r="H987" s="203" t="s">
        <v>34</v>
      </c>
      <c r="I987" s="204" t="s">
        <v>77</v>
      </c>
      <c r="J987" s="204" t="s">
        <v>77</v>
      </c>
      <c r="K987" s="116"/>
      <c r="L987" s="270"/>
      <c r="M987" s="87"/>
    </row>
    <row r="988" spans="1:13">
      <c r="A988" s="202"/>
      <c r="B988" s="200"/>
      <c r="C988" s="200"/>
      <c r="D988" s="200"/>
      <c r="E988" s="217"/>
      <c r="F988" s="205"/>
      <c r="G988" s="205"/>
      <c r="H988" s="201"/>
      <c r="I988" s="205"/>
      <c r="J988" s="205"/>
      <c r="K988" s="116"/>
      <c r="L988" s="270"/>
      <c r="M988" s="87"/>
    </row>
    <row r="989" spans="1:13">
      <c r="A989" s="205" t="str">
        <f>A957</f>
        <v>LC-32</v>
      </c>
      <c r="B989" s="201" t="str">
        <f>B957</f>
        <v>LC-22 + Seismic Sx=0.3,Sz=1,Sy=0.3</v>
      </c>
      <c r="C989" s="201"/>
      <c r="D989" s="201"/>
      <c r="E989" s="219"/>
      <c r="F989" s="1054">
        <f>SUMPRODUCT(F960:F982,$M$960:$M$982)</f>
        <v>1053.7755365893524</v>
      </c>
      <c r="G989" s="1055">
        <f>SUMPRODUCT(G960:G982,$M$960:$M$982)</f>
        <v>53.081585324228577</v>
      </c>
      <c r="H989" s="1055">
        <f>SUMPRODUCT(H960:H982,$M$960:$M$982)</f>
        <v>143.2219577488151</v>
      </c>
      <c r="I989" s="1055">
        <f>SUMPRODUCT(I960:I982,$M$960:$M$982)</f>
        <v>305.78631910254029</v>
      </c>
      <c r="J989" s="1055">
        <f>SUMPRODUCT(J960:J982,$M$960:$M$982)</f>
        <v>892.57167254863327</v>
      </c>
      <c r="K989" s="116"/>
      <c r="L989" s="270"/>
      <c r="M989" s="87"/>
    </row>
    <row r="990" spans="1:13">
      <c r="A990" s="204"/>
      <c r="B990" s="203"/>
      <c r="C990" s="203"/>
      <c r="D990" s="203"/>
      <c r="E990" s="218"/>
      <c r="F990" s="204"/>
      <c r="G990" s="204"/>
      <c r="H990" s="203"/>
      <c r="I990" s="204"/>
      <c r="J990" s="204"/>
      <c r="K990" s="116"/>
      <c r="L990" s="270"/>
      <c r="M990" s="87"/>
    </row>
    <row r="991" spans="1:13">
      <c r="A991" s="1"/>
      <c r="B991" s="1"/>
      <c r="C991" s="1"/>
      <c r="D991" s="1"/>
      <c r="E991" s="1"/>
      <c r="F991" s="1"/>
      <c r="G991" s="1"/>
      <c r="H991" s="1"/>
      <c r="I991" s="1"/>
      <c r="J991" s="1"/>
      <c r="K991" s="1"/>
      <c r="L991" s="1"/>
      <c r="M991" s="1"/>
    </row>
    <row r="992" spans="1:13">
      <c r="A992" s="1"/>
      <c r="B992" s="1"/>
      <c r="C992" s="1"/>
      <c r="D992" s="1"/>
      <c r="E992" s="1"/>
      <c r="F992" s="1"/>
      <c r="G992" s="1"/>
      <c r="H992" s="1"/>
      <c r="I992" s="1"/>
      <c r="J992" s="1"/>
      <c r="K992" s="1"/>
      <c r="L992" s="1"/>
      <c r="M992" s="1"/>
    </row>
    <row r="993" spans="1:13">
      <c r="A993" s="225" t="str">
        <f>M993</f>
        <v>LC-33</v>
      </c>
      <c r="B993" s="24" t="str">
        <f>VLOOKUP(A993,LC_DEF_2!A3:B42,2,FALSE)</f>
        <v>LC-23 + Seismic Sx=1,Sz=0.3,Sy=-0.3</v>
      </c>
      <c r="C993" s="24"/>
      <c r="D993" s="24"/>
      <c r="E993" s="21"/>
      <c r="F993" s="1599" t="s">
        <v>742</v>
      </c>
      <c r="G993" s="1635"/>
      <c r="H993" s="1635"/>
      <c r="I993" s="1635"/>
      <c r="J993" s="1600"/>
      <c r="K993" s="73"/>
      <c r="L993" s="272"/>
      <c r="M993" s="384" t="s">
        <v>1170</v>
      </c>
    </row>
    <row r="994" spans="1:13" ht="18">
      <c r="A994" s="25" t="s">
        <v>73</v>
      </c>
      <c r="B994" s="26" t="s">
        <v>74</v>
      </c>
      <c r="C994" s="26"/>
      <c r="D994" s="26"/>
      <c r="E994" s="27"/>
      <c r="F994" s="33" t="s">
        <v>23</v>
      </c>
      <c r="G994" s="33" t="s">
        <v>87</v>
      </c>
      <c r="H994" s="33" t="s">
        <v>212</v>
      </c>
      <c r="I994" s="33" t="s">
        <v>80</v>
      </c>
      <c r="J994" s="33" t="s">
        <v>81</v>
      </c>
      <c r="K994" s="273"/>
      <c r="L994" s="274"/>
      <c r="M994" s="376"/>
    </row>
    <row r="995" spans="1:13">
      <c r="A995" s="25"/>
      <c r="B995" s="26"/>
      <c r="C995" s="26"/>
      <c r="D995" s="26"/>
      <c r="E995" s="27"/>
      <c r="F995" s="36" t="s">
        <v>34</v>
      </c>
      <c r="G995" s="36" t="s">
        <v>34</v>
      </c>
      <c r="H995" s="36" t="s">
        <v>34</v>
      </c>
      <c r="I995" s="36" t="s">
        <v>77</v>
      </c>
      <c r="J995" s="36" t="s">
        <v>77</v>
      </c>
      <c r="K995" s="74"/>
      <c r="L995" s="277"/>
      <c r="M995" s="655"/>
    </row>
    <row r="996" spans="1:13">
      <c r="A996" s="25" t="s">
        <v>88</v>
      </c>
      <c r="B996" s="26" t="s">
        <v>75</v>
      </c>
      <c r="C996" s="26"/>
      <c r="D996" s="26"/>
      <c r="E996" s="27"/>
      <c r="F996" s="195">
        <f>SHF!F14</f>
        <v>165.42303866482536</v>
      </c>
      <c r="G996" s="210"/>
      <c r="H996" s="34"/>
      <c r="I996" s="195">
        <f>SHF!I14</f>
        <v>0</v>
      </c>
      <c r="J996" s="195">
        <f>SHF!J14</f>
        <v>0</v>
      </c>
      <c r="K996" s="273"/>
      <c r="L996" s="274"/>
      <c r="M996" s="268">
        <v>1.35</v>
      </c>
    </row>
    <row r="997" spans="1:13">
      <c r="A997" s="25" t="s">
        <v>250</v>
      </c>
      <c r="B997" s="26" t="s">
        <v>967</v>
      </c>
      <c r="C997" s="26"/>
      <c r="D997" s="26"/>
      <c r="E997" s="27"/>
      <c r="F997" s="195">
        <f>SHF!F17</f>
        <v>230</v>
      </c>
      <c r="G997" s="210"/>
      <c r="H997" s="34"/>
      <c r="I997" s="195">
        <f>SHF!I17</f>
        <v>-115</v>
      </c>
      <c r="J997" s="195">
        <f>SHF!J17</f>
        <v>0</v>
      </c>
      <c r="K997" s="273"/>
      <c r="L997" s="274"/>
      <c r="M997" s="268">
        <v>1.35</v>
      </c>
    </row>
    <row r="998" spans="1:13">
      <c r="A998" s="25" t="s">
        <v>251</v>
      </c>
      <c r="B998" s="26" t="s">
        <v>968</v>
      </c>
      <c r="C998" s="26"/>
      <c r="D998" s="26"/>
      <c r="E998" s="27"/>
      <c r="F998" s="195">
        <f>SHF!F18</f>
        <v>20.660000000000004</v>
      </c>
      <c r="G998" s="210"/>
      <c r="H998" s="34"/>
      <c r="I998" s="195">
        <f>SHF!I18</f>
        <v>-10.330000000000002</v>
      </c>
      <c r="J998" s="195">
        <f>SHF!J18</f>
        <v>0</v>
      </c>
      <c r="K998" s="273"/>
      <c r="L998" s="274"/>
      <c r="M998" s="268">
        <v>1.35</v>
      </c>
    </row>
    <row r="999" spans="1:13">
      <c r="A999" s="25" t="s">
        <v>97</v>
      </c>
      <c r="B999" s="26" t="s">
        <v>969</v>
      </c>
      <c r="C999" s="26"/>
      <c r="D999" s="26"/>
      <c r="E999" s="27"/>
      <c r="F999" s="195">
        <f>SHF!F19</f>
        <v>42</v>
      </c>
      <c r="G999" s="210"/>
      <c r="H999" s="34"/>
      <c r="I999" s="195">
        <f>SHF!I19</f>
        <v>-14.858499999999999</v>
      </c>
      <c r="J999" s="195">
        <f>SHF!J19</f>
        <v>0</v>
      </c>
      <c r="K999" s="273"/>
      <c r="L999" s="274"/>
      <c r="M999" s="268">
        <v>1.35</v>
      </c>
    </row>
    <row r="1000" spans="1:13">
      <c r="A1000" s="25" t="s">
        <v>250</v>
      </c>
      <c r="B1000" s="26" t="s">
        <v>970</v>
      </c>
      <c r="C1000" s="26"/>
      <c r="D1000" s="26"/>
      <c r="E1000" s="27"/>
      <c r="F1000" s="195">
        <f>SHF!F21</f>
        <v>230</v>
      </c>
      <c r="G1000" s="210"/>
      <c r="H1000" s="34"/>
      <c r="I1000" s="195">
        <f>SHF!I21</f>
        <v>115</v>
      </c>
      <c r="J1000" s="195">
        <f>SHF!J21</f>
        <v>0</v>
      </c>
      <c r="K1000" s="273"/>
      <c r="L1000" s="274"/>
      <c r="M1000" s="376">
        <v>1.35</v>
      </c>
    </row>
    <row r="1001" spans="1:13">
      <c r="A1001" s="25" t="s">
        <v>251</v>
      </c>
      <c r="B1001" s="26" t="s">
        <v>971</v>
      </c>
      <c r="C1001" s="26"/>
      <c r="D1001" s="26"/>
      <c r="E1001" s="27"/>
      <c r="F1001" s="195">
        <f>SHF!F22</f>
        <v>20.660000000000004</v>
      </c>
      <c r="G1001" s="210"/>
      <c r="H1001" s="34"/>
      <c r="I1001" s="195">
        <f>SHF!I22</f>
        <v>10.330000000000002</v>
      </c>
      <c r="J1001" s="195">
        <f>SHF!J22</f>
        <v>0</v>
      </c>
      <c r="K1001" s="273"/>
      <c r="L1001" s="274"/>
      <c r="M1001" s="376">
        <v>1.35</v>
      </c>
    </row>
    <row r="1002" spans="1:13">
      <c r="A1002" s="25" t="s">
        <v>97</v>
      </c>
      <c r="B1002" s="26" t="s">
        <v>972</v>
      </c>
      <c r="C1002" s="26"/>
      <c r="D1002" s="26"/>
      <c r="E1002" s="27"/>
      <c r="F1002" s="195">
        <f>SHF!F23</f>
        <v>42</v>
      </c>
      <c r="G1002" s="210"/>
      <c r="H1002" s="34"/>
      <c r="I1002" s="195">
        <f>SHF!I23</f>
        <v>14.858499999999999</v>
      </c>
      <c r="J1002" s="195">
        <f>SHF!J23</f>
        <v>0</v>
      </c>
      <c r="K1002" s="273"/>
      <c r="L1002" s="274"/>
      <c r="M1002" s="376">
        <v>1.75</v>
      </c>
    </row>
    <row r="1003" spans="1:13">
      <c r="A1003" s="25" t="s">
        <v>976</v>
      </c>
      <c r="B1003" s="26" t="s">
        <v>978</v>
      </c>
      <c r="C1003" s="26"/>
      <c r="D1003" s="26"/>
      <c r="E1003" s="27"/>
      <c r="F1003" s="195">
        <f>SHF!F27</f>
        <v>65.160399999999996</v>
      </c>
      <c r="G1003" s="210"/>
      <c r="H1003" s="34"/>
      <c r="I1003" s="195">
        <f>SHF!I27</f>
        <v>-32.580199999999998</v>
      </c>
      <c r="J1003" s="195">
        <f>SHF!J27</f>
        <v>-10.105732306306301</v>
      </c>
      <c r="K1003" s="273"/>
      <c r="L1003" s="274"/>
      <c r="M1003" s="268">
        <v>0.2</v>
      </c>
    </row>
    <row r="1004" spans="1:13">
      <c r="A1004" s="25" t="s">
        <v>977</v>
      </c>
      <c r="B1004" s="26" t="s">
        <v>979</v>
      </c>
      <c r="C1004" s="26"/>
      <c r="D1004" s="26"/>
      <c r="E1004" s="27"/>
      <c r="F1004" s="195">
        <f>SHF!F28</f>
        <v>75.185314285714313</v>
      </c>
      <c r="G1004" s="210"/>
      <c r="H1004" s="34"/>
      <c r="I1004" s="195">
        <f>SHF!I28</f>
        <v>37.592657142857156</v>
      </c>
      <c r="J1004" s="195">
        <f>SHF!J28</f>
        <v>-11.660497166023164</v>
      </c>
      <c r="K1004" s="273"/>
      <c r="L1004" s="274"/>
      <c r="M1004" s="268">
        <v>0.2</v>
      </c>
    </row>
    <row r="1005" spans="1:13">
      <c r="A1005" s="686" t="s">
        <v>1128</v>
      </c>
      <c r="B1005" s="687"/>
      <c r="C1005" s="688"/>
      <c r="D1005" s="688"/>
      <c r="E1005" s="689"/>
      <c r="F1005" s="195">
        <f>SHF!F40</f>
        <v>-23.695433333970961</v>
      </c>
      <c r="G1005" s="689"/>
      <c r="H1005" s="690"/>
      <c r="I1005" s="195">
        <f>SHF!I40</f>
        <v>0</v>
      </c>
      <c r="J1005" s="195">
        <f>SHF!J40</f>
        <v>0</v>
      </c>
      <c r="K1005" s="273"/>
      <c r="L1005" s="274"/>
      <c r="M1005" s="376">
        <v>0.15</v>
      </c>
    </row>
    <row r="1006" spans="1:13">
      <c r="A1006" s="686" t="s">
        <v>1131</v>
      </c>
      <c r="B1006" s="687"/>
      <c r="C1006" s="688"/>
      <c r="D1006" s="688"/>
      <c r="E1006" s="689"/>
      <c r="F1006" s="690"/>
      <c r="G1006" s="195">
        <f>SHF!G44</f>
        <v>1.566445545112501</v>
      </c>
      <c r="H1006" s="195">
        <f>SHF!H44</f>
        <v>0.77082515176153144</v>
      </c>
      <c r="I1006" s="195">
        <f>SHF!I44</f>
        <v>2.5854696423507204</v>
      </c>
      <c r="J1006" s="195">
        <f>SHF!J44</f>
        <v>1.2722721422765415</v>
      </c>
      <c r="K1006" s="273"/>
      <c r="L1006" s="274"/>
      <c r="M1006" s="376">
        <v>1</v>
      </c>
    </row>
    <row r="1007" spans="1:13">
      <c r="A1007" s="278" t="s">
        <v>1132</v>
      </c>
      <c r="B1007" s="262"/>
      <c r="C1007" s="262"/>
      <c r="D1007" s="262"/>
      <c r="E1007" s="263"/>
      <c r="F1007" s="1052"/>
      <c r="G1007" s="1053"/>
      <c r="H1007" s="267"/>
      <c r="I1007" s="1052"/>
      <c r="J1007" s="267"/>
      <c r="K1007" s="289"/>
      <c r="L1007" s="274"/>
      <c r="M1007" s="412">
        <v>1.5</v>
      </c>
    </row>
    <row r="1008" spans="1:13">
      <c r="A1008" s="25" t="s">
        <v>991</v>
      </c>
      <c r="B1008" s="26" t="s">
        <v>989</v>
      </c>
      <c r="C1008" s="26"/>
      <c r="D1008" s="26"/>
      <c r="E1008" s="27"/>
      <c r="F1008" s="197"/>
      <c r="G1008" s="195">
        <f>SHF!G49</f>
        <v>70.238399999999984</v>
      </c>
      <c r="H1008" s="34"/>
      <c r="I1008" s="195">
        <f>SHF!I49</f>
        <v>455.14483200000001</v>
      </c>
      <c r="J1008" s="89"/>
      <c r="K1008" s="289"/>
      <c r="L1008" s="274"/>
      <c r="M1008" s="268">
        <v>1.5</v>
      </c>
    </row>
    <row r="1009" spans="1:13">
      <c r="A1009" s="25" t="s">
        <v>994</v>
      </c>
      <c r="B1009" s="26" t="s">
        <v>996</v>
      </c>
      <c r="C1009" s="26"/>
      <c r="D1009" s="26"/>
      <c r="E1009" s="27"/>
      <c r="F1009" s="197"/>
      <c r="G1009" s="195">
        <f>SHF!G53</f>
        <v>4.5540000000000003</v>
      </c>
      <c r="H1009" s="34"/>
      <c r="I1009" s="195">
        <f>SHF!I53</f>
        <v>29.509920000000008</v>
      </c>
      <c r="J1009" s="89"/>
      <c r="K1009" s="289"/>
      <c r="L1009" s="274"/>
      <c r="M1009" s="376">
        <v>1.5</v>
      </c>
    </row>
    <row r="1010" spans="1:13">
      <c r="A1010" s="25" t="s">
        <v>217</v>
      </c>
      <c r="B1010" s="26" t="s">
        <v>211</v>
      </c>
      <c r="C1010" s="26"/>
      <c r="D1010" s="26"/>
      <c r="E1010" s="27"/>
      <c r="F1010" s="197"/>
      <c r="G1010" s="195">
        <f>SHF!G55</f>
        <v>19.850764639779044</v>
      </c>
      <c r="H1010" s="34"/>
      <c r="I1010" s="195">
        <f>SHF!I55</f>
        <v>73.367744311147007</v>
      </c>
      <c r="J1010" s="89"/>
      <c r="K1010" s="289"/>
      <c r="L1010" s="274"/>
      <c r="M1010" s="376">
        <v>1.5</v>
      </c>
    </row>
    <row r="1011" spans="1:13">
      <c r="A1011" s="686" t="s">
        <v>1139</v>
      </c>
      <c r="B1011" s="688" t="s">
        <v>1140</v>
      </c>
      <c r="C1011" s="688"/>
      <c r="D1011" s="688"/>
      <c r="E1011" s="689"/>
      <c r="F1011" s="620"/>
      <c r="G1011" s="195">
        <f>SHF!G58</f>
        <v>7.3173856373850432</v>
      </c>
      <c r="H1011" s="690"/>
      <c r="I1011" s="195">
        <f>SHF!I58</f>
        <v>8.4456204005780648</v>
      </c>
      <c r="J1011" s="269"/>
      <c r="K1011" s="289"/>
      <c r="L1011" s="274"/>
      <c r="M1011" s="376">
        <v>1</v>
      </c>
    </row>
    <row r="1012" spans="1:13">
      <c r="A1012" s="278" t="s">
        <v>1135</v>
      </c>
      <c r="B1012" s="262"/>
      <c r="C1012" s="262"/>
      <c r="D1012" s="262"/>
      <c r="E1012" s="263"/>
      <c r="F1012" s="279"/>
      <c r="G1012" s="280"/>
      <c r="H1012" s="264"/>
      <c r="I1012" s="279"/>
      <c r="J1012" s="264"/>
      <c r="K1012" s="289"/>
      <c r="L1012" s="274"/>
      <c r="M1012" s="708">
        <v>0.44999999999999996</v>
      </c>
    </row>
    <row r="1013" spans="1:13">
      <c r="A1013" s="25" t="s">
        <v>997</v>
      </c>
      <c r="B1013" s="26" t="s">
        <v>988</v>
      </c>
      <c r="C1013" s="26"/>
      <c r="D1013" s="26"/>
      <c r="E1013" s="27"/>
      <c r="F1013" s="197"/>
      <c r="G1013" s="211"/>
      <c r="H1013" s="195">
        <f>SHF!H62</f>
        <v>35.119199999999992</v>
      </c>
      <c r="I1013" s="197"/>
      <c r="J1013" s="195">
        <f>SHF!J62</f>
        <v>257.60072117968605</v>
      </c>
      <c r="K1013" s="289"/>
      <c r="L1013" s="274"/>
      <c r="M1013" s="268">
        <v>0.44999999999999996</v>
      </c>
    </row>
    <row r="1014" spans="1:13">
      <c r="A1014" s="25" t="s">
        <v>998</v>
      </c>
      <c r="B1014" s="26" t="s">
        <v>989</v>
      </c>
      <c r="C1014" s="26"/>
      <c r="D1014" s="26"/>
      <c r="E1014" s="27"/>
      <c r="F1014" s="197"/>
      <c r="G1014" s="211"/>
      <c r="H1014" s="195">
        <f>SHF!H63</f>
        <v>35.119199999999992</v>
      </c>
      <c r="I1014" s="197"/>
      <c r="J1014" s="195">
        <f>SHF!J63</f>
        <v>257.60072117968605</v>
      </c>
      <c r="K1014" s="289"/>
      <c r="L1014" s="274"/>
      <c r="M1014" s="376">
        <v>0.44999999999999996</v>
      </c>
    </row>
    <row r="1015" spans="1:13">
      <c r="A1015" s="25" t="s">
        <v>1004</v>
      </c>
      <c r="B1015" s="26" t="s">
        <v>1000</v>
      </c>
      <c r="C1015" s="26"/>
      <c r="D1015" s="26"/>
      <c r="E1015" s="27"/>
      <c r="F1015" s="197"/>
      <c r="G1015" s="211"/>
      <c r="H1015" s="195">
        <f>SHF!H67</f>
        <v>7.8192479999999991</v>
      </c>
      <c r="I1015" s="197"/>
      <c r="J1015" s="195">
        <f>SHF!J67</f>
        <v>71.663407919999983</v>
      </c>
      <c r="K1015" s="289"/>
      <c r="L1015" s="274"/>
      <c r="M1015" s="376">
        <v>0.09</v>
      </c>
    </row>
    <row r="1016" spans="1:13">
      <c r="A1016" s="25" t="s">
        <v>1005</v>
      </c>
      <c r="B1016" s="26" t="s">
        <v>1001</v>
      </c>
      <c r="C1016" s="26"/>
      <c r="D1016" s="26"/>
      <c r="E1016" s="27"/>
      <c r="F1016" s="197"/>
      <c r="G1016" s="211"/>
      <c r="H1016" s="195">
        <f>SHF!H68</f>
        <v>9.0222377142857191</v>
      </c>
      <c r="I1016" s="197"/>
      <c r="J1016" s="195">
        <f>SHF!J68</f>
        <v>82.688808651428602</v>
      </c>
      <c r="K1016" s="289"/>
      <c r="L1016" s="274"/>
      <c r="M1016" s="376">
        <v>0.09</v>
      </c>
    </row>
    <row r="1017" spans="1:13">
      <c r="A1017" s="25" t="s">
        <v>1006</v>
      </c>
      <c r="B1017" s="26" t="s">
        <v>211</v>
      </c>
      <c r="C1017" s="26"/>
      <c r="D1017" s="26"/>
      <c r="E1017" s="27"/>
      <c r="F1017" s="197"/>
      <c r="G1017" s="211"/>
      <c r="H1017" s="195">
        <f>SHF!H73</f>
        <v>19.850764639779044</v>
      </c>
      <c r="I1017" s="197"/>
      <c r="J1017" s="195">
        <f>SHF!J73</f>
        <v>73.367744311147007</v>
      </c>
      <c r="K1017" s="289"/>
      <c r="L1017" s="274"/>
      <c r="M1017" s="376">
        <v>0.44999999999999996</v>
      </c>
    </row>
    <row r="1018" spans="1:13">
      <c r="A1018" s="686" t="s">
        <v>1138</v>
      </c>
      <c r="B1018" s="688" t="s">
        <v>1141</v>
      </c>
      <c r="C1018" s="26"/>
      <c r="D1018" s="26"/>
      <c r="E1018" s="27"/>
      <c r="F1018" s="34"/>
      <c r="G1018" s="27"/>
      <c r="H1018" s="195">
        <f>SHF!H76</f>
        <v>7.3173856373850432</v>
      </c>
      <c r="I1018" s="620"/>
      <c r="J1018" s="195">
        <f>SHF!J76</f>
        <v>8.4456204005780648</v>
      </c>
      <c r="K1018" s="289"/>
      <c r="L1018" s="274"/>
      <c r="M1018" s="376">
        <v>0.3</v>
      </c>
    </row>
    <row r="1019" spans="1:13">
      <c r="A1019" s="290" t="s">
        <v>1137</v>
      </c>
      <c r="B1019" s="11"/>
      <c r="C1019" s="11"/>
      <c r="D1019" s="11"/>
      <c r="E1019" s="191"/>
      <c r="F1019" s="197"/>
      <c r="G1019" s="211"/>
      <c r="H1019" s="89"/>
      <c r="I1019" s="197"/>
      <c r="J1019" s="89"/>
      <c r="K1019" s="289"/>
      <c r="L1019" s="274"/>
      <c r="M1019" s="994">
        <v>0.44999999999999996</v>
      </c>
    </row>
    <row r="1020" spans="1:13">
      <c r="A1020" s="25" t="s">
        <v>1007</v>
      </c>
      <c r="B1020" s="26" t="s">
        <v>988</v>
      </c>
      <c r="C1020" s="26"/>
      <c r="D1020" s="26"/>
      <c r="E1020" s="27"/>
      <c r="F1020" s="195">
        <f>SHF!F80</f>
        <v>23.412799999999997</v>
      </c>
      <c r="G1020" s="211"/>
      <c r="H1020" s="34"/>
      <c r="I1020" s="195">
        <f>SHF!I80</f>
        <v>-11.21508</v>
      </c>
      <c r="J1020" s="195">
        <f>SHF!J80</f>
        <v>0</v>
      </c>
      <c r="K1020" s="289"/>
      <c r="L1020" s="274"/>
      <c r="M1020" s="376">
        <v>-0.44999999999999996</v>
      </c>
    </row>
    <row r="1021" spans="1:13">
      <c r="A1021" s="25" t="s">
        <v>1008</v>
      </c>
      <c r="B1021" s="26" t="s">
        <v>989</v>
      </c>
      <c r="C1021" s="26"/>
      <c r="D1021" s="26"/>
      <c r="E1021" s="27"/>
      <c r="F1021" s="195">
        <f>SHF!F81</f>
        <v>23.412799999999997</v>
      </c>
      <c r="G1021" s="211"/>
      <c r="H1021" s="34"/>
      <c r="I1021" s="195">
        <f>SHF!I81</f>
        <v>11.21508</v>
      </c>
      <c r="J1021" s="195">
        <f>SHF!J81</f>
        <v>0</v>
      </c>
      <c r="K1021" s="289"/>
      <c r="L1021" s="274"/>
      <c r="M1021" s="268">
        <v>-0.44999999999999996</v>
      </c>
    </row>
    <row r="1022" spans="1:13">
      <c r="A1022" s="25" t="s">
        <v>1009</v>
      </c>
      <c r="B1022" s="26" t="s">
        <v>1000</v>
      </c>
      <c r="C1022" s="26"/>
      <c r="D1022" s="26"/>
      <c r="E1022" s="27"/>
      <c r="F1022" s="195">
        <f>SHF!F85</f>
        <v>5.2128319999999997</v>
      </c>
      <c r="G1022" s="211"/>
      <c r="H1022" s="34"/>
      <c r="I1022" s="195">
        <f>SHF!I85</f>
        <v>-2.6064159999999998</v>
      </c>
      <c r="J1022" s="195">
        <f>SHF!J85</f>
        <v>-0.80845858450450414</v>
      </c>
      <c r="K1022" s="289"/>
      <c r="L1022" s="274"/>
      <c r="M1022" s="268">
        <v>-0.09</v>
      </c>
    </row>
    <row r="1023" spans="1:13">
      <c r="A1023" s="25" t="s">
        <v>1010</v>
      </c>
      <c r="B1023" s="26" t="s">
        <v>1001</v>
      </c>
      <c r="C1023" s="26"/>
      <c r="D1023" s="26"/>
      <c r="E1023" s="27"/>
      <c r="F1023" s="195">
        <f>SHF!F86</f>
        <v>6.0148251428571458</v>
      </c>
      <c r="G1023" s="211"/>
      <c r="H1023" s="34"/>
      <c r="I1023" s="195">
        <f>SHF!I86</f>
        <v>3.0074125714285729</v>
      </c>
      <c r="J1023" s="195">
        <f>SHF!J86</f>
        <v>-0.93283977328185319</v>
      </c>
      <c r="K1023" s="289"/>
      <c r="L1023" s="274"/>
      <c r="M1023" s="268">
        <v>-0.09</v>
      </c>
    </row>
    <row r="1024" spans="1:13">
      <c r="A1024" s="25" t="s">
        <v>1011</v>
      </c>
      <c r="B1024" s="26" t="s">
        <v>211</v>
      </c>
      <c r="C1024" s="26"/>
      <c r="D1024" s="26"/>
      <c r="E1024" s="27"/>
      <c r="F1024" s="195">
        <f>SHF!F91</f>
        <v>13.233843093186028</v>
      </c>
      <c r="G1024" s="211"/>
      <c r="H1024" s="197"/>
      <c r="I1024" s="195">
        <f>SHF!I91</f>
        <v>0</v>
      </c>
      <c r="J1024" s="195">
        <f>SHF!J91</f>
        <v>0</v>
      </c>
      <c r="K1024" s="289"/>
      <c r="L1024" s="274"/>
      <c r="M1024" s="268">
        <v>-0.44999999999999996</v>
      </c>
    </row>
    <row r="1025" spans="1:13">
      <c r="A1025" s="253"/>
      <c r="B1025" s="15"/>
      <c r="C1025" s="15"/>
      <c r="D1025" s="15"/>
      <c r="E1025" s="22"/>
      <c r="F1025" s="212"/>
      <c r="G1025" s="213"/>
      <c r="H1025" s="198"/>
      <c r="I1025" s="198"/>
      <c r="J1025" s="58"/>
      <c r="K1025" s="74"/>
      <c r="L1025" s="277"/>
      <c r="M1025" s="379"/>
    </row>
    <row r="1026" spans="1:13">
      <c r="A1026" s="46"/>
      <c r="B1026" s="46"/>
      <c r="C1026" s="46"/>
      <c r="D1026" s="46"/>
      <c r="E1026" s="46"/>
      <c r="F1026" s="46"/>
      <c r="G1026" s="46"/>
      <c r="H1026" s="46"/>
      <c r="I1026" s="46"/>
      <c r="J1026" s="46"/>
      <c r="K1026" s="116"/>
      <c r="L1026" s="270"/>
      <c r="M1026" s="87"/>
    </row>
    <row r="1027" spans="1:13">
      <c r="A1027" s="220" t="s">
        <v>73</v>
      </c>
      <c r="B1027" s="220" t="s">
        <v>74</v>
      </c>
      <c r="C1027" s="200"/>
      <c r="D1027" s="200"/>
      <c r="E1027" s="217"/>
      <c r="F1027" s="1636" t="s">
        <v>72</v>
      </c>
      <c r="G1027" s="1637"/>
      <c r="H1027" s="1637"/>
      <c r="I1027" s="1637"/>
      <c r="J1027" s="1638"/>
      <c r="K1027" s="116"/>
      <c r="L1027" s="270"/>
      <c r="M1027" s="87"/>
    </row>
    <row r="1028" spans="1:13" ht="18">
      <c r="A1028" s="221"/>
      <c r="B1028" s="221"/>
      <c r="C1028" s="201"/>
      <c r="D1028" s="201"/>
      <c r="E1028" s="219"/>
      <c r="F1028" s="223" t="s">
        <v>23</v>
      </c>
      <c r="G1028" s="223" t="s">
        <v>87</v>
      </c>
      <c r="H1028" s="223" t="s">
        <v>212</v>
      </c>
      <c r="I1028" s="223" t="s">
        <v>80</v>
      </c>
      <c r="J1028" s="223" t="s">
        <v>81</v>
      </c>
      <c r="K1028" s="116"/>
      <c r="L1028" s="270"/>
      <c r="M1028" s="87"/>
    </row>
    <row r="1029" spans="1:13">
      <c r="A1029" s="222"/>
      <c r="B1029" s="222"/>
      <c r="C1029" s="203"/>
      <c r="D1029" s="203"/>
      <c r="E1029" s="218"/>
      <c r="F1029" s="204" t="s">
        <v>34</v>
      </c>
      <c r="G1029" s="204" t="s">
        <v>34</v>
      </c>
      <c r="H1029" s="203" t="s">
        <v>34</v>
      </c>
      <c r="I1029" s="204" t="s">
        <v>77</v>
      </c>
      <c r="J1029" s="204" t="s">
        <v>77</v>
      </c>
      <c r="K1029" s="116"/>
      <c r="L1029" s="270"/>
      <c r="M1029" s="87"/>
    </row>
    <row r="1030" spans="1:13">
      <c r="A1030" s="202"/>
      <c r="B1030" s="200"/>
      <c r="C1030" s="200"/>
      <c r="D1030" s="200"/>
      <c r="E1030" s="217"/>
      <c r="F1030" s="205"/>
      <c r="G1030" s="205"/>
      <c r="H1030" s="201"/>
      <c r="I1030" s="205"/>
      <c r="J1030" s="205"/>
      <c r="K1030" s="116"/>
      <c r="L1030" s="270"/>
      <c r="M1030" s="87"/>
    </row>
    <row r="1031" spans="1:13">
      <c r="A1031" s="205" t="str">
        <f>A993</f>
        <v>LC-33</v>
      </c>
      <c r="B1031" s="201" t="str">
        <f>B993</f>
        <v>LC-23 + Seismic Sx=1,Sz=0.3,Sy=-0.3</v>
      </c>
      <c r="C1031" s="201"/>
      <c r="D1031" s="201"/>
      <c r="E1031" s="219"/>
      <c r="F1031" s="1054">
        <f>SUMPRODUCT(F996:F1024,$M$996:$M$1024)</f>
        <v>1026.7806915197709</v>
      </c>
      <c r="G1031" s="1055">
        <f>SUMPRODUCT(G996:G1024,$M$996:$M$1024)</f>
        <v>150.84857814216608</v>
      </c>
      <c r="H1031" s="1055">
        <f>SUMPRODUCT(H996:H1024,$M$996:$M$1024)</f>
        <v>45.021898645163319</v>
      </c>
      <c r="I1031" s="1055">
        <f>SUMPRODUCT(I996:I1024,$M$996:$M$1024)</f>
        <v>854.9746362467921</v>
      </c>
      <c r="J1031" s="1055">
        <f>SUMPRODUCT(J996:J1024,$M$996:$M$1024)</f>
        <v>278.35726271334698</v>
      </c>
      <c r="K1031" s="116"/>
      <c r="L1031" s="270"/>
      <c r="M1031" s="87"/>
    </row>
    <row r="1032" spans="1:13">
      <c r="A1032" s="204"/>
      <c r="B1032" s="203"/>
      <c r="C1032" s="203"/>
      <c r="D1032" s="203"/>
      <c r="E1032" s="218"/>
      <c r="F1032" s="204"/>
      <c r="G1032" s="204"/>
      <c r="H1032" s="203"/>
      <c r="I1032" s="204"/>
      <c r="J1032" s="204"/>
      <c r="K1032" s="116"/>
      <c r="L1032" s="270"/>
      <c r="M1032" s="87"/>
    </row>
    <row r="1033" spans="1:13">
      <c r="A1033" s="1"/>
      <c r="B1033" s="1"/>
      <c r="C1033" s="1"/>
      <c r="D1033" s="1"/>
      <c r="E1033" s="1"/>
      <c r="F1033" s="1"/>
      <c r="G1033" s="1"/>
      <c r="H1033" s="1"/>
      <c r="I1033" s="1"/>
      <c r="J1033" s="1"/>
      <c r="K1033" s="1"/>
      <c r="L1033" s="1"/>
      <c r="M1033" s="1"/>
    </row>
    <row r="1034" spans="1:13">
      <c r="A1034" s="1"/>
      <c r="B1034" s="1"/>
      <c r="C1034" s="1"/>
      <c r="D1034" s="1"/>
      <c r="E1034" s="1"/>
      <c r="F1034" s="1"/>
      <c r="G1034" s="1"/>
      <c r="H1034" s="1"/>
      <c r="I1034" s="1"/>
      <c r="J1034" s="1"/>
      <c r="K1034" s="1"/>
      <c r="L1034" s="1"/>
      <c r="M1034" s="1"/>
    </row>
    <row r="1035" spans="1:13">
      <c r="A1035" s="225" t="str">
        <f>M1035</f>
        <v>LC-34</v>
      </c>
      <c r="B1035" s="24" t="str">
        <f>VLOOKUP(A1035,LC_DEF_2!A3:B42,2,FALSE)</f>
        <v>LC-23 + Seismic Sx=0.3,Sz=1,Sy=-0.3</v>
      </c>
      <c r="C1035" s="24"/>
      <c r="D1035" s="24"/>
      <c r="E1035" s="21"/>
      <c r="F1035" s="1599" t="s">
        <v>742</v>
      </c>
      <c r="G1035" s="1635"/>
      <c r="H1035" s="1635"/>
      <c r="I1035" s="1635"/>
      <c r="J1035" s="1600"/>
      <c r="K1035" s="73"/>
      <c r="L1035" s="272"/>
      <c r="M1035" s="384" t="s">
        <v>1171</v>
      </c>
    </row>
    <row r="1036" spans="1:13" ht="18">
      <c r="A1036" s="25" t="s">
        <v>73</v>
      </c>
      <c r="B1036" s="26" t="s">
        <v>74</v>
      </c>
      <c r="C1036" s="26"/>
      <c r="D1036" s="26"/>
      <c r="E1036" s="27"/>
      <c r="F1036" s="33" t="s">
        <v>23</v>
      </c>
      <c r="G1036" s="33" t="s">
        <v>87</v>
      </c>
      <c r="H1036" s="33" t="s">
        <v>212</v>
      </c>
      <c r="I1036" s="33" t="s">
        <v>80</v>
      </c>
      <c r="J1036" s="33" t="s">
        <v>81</v>
      </c>
      <c r="K1036" s="273"/>
      <c r="L1036" s="274"/>
      <c r="M1036" s="376"/>
    </row>
    <row r="1037" spans="1:13">
      <c r="A1037" s="25"/>
      <c r="B1037" s="26"/>
      <c r="C1037" s="26"/>
      <c r="D1037" s="26"/>
      <c r="E1037" s="27"/>
      <c r="F1037" s="36" t="s">
        <v>34</v>
      </c>
      <c r="G1037" s="36" t="s">
        <v>34</v>
      </c>
      <c r="H1037" s="36" t="s">
        <v>34</v>
      </c>
      <c r="I1037" s="36" t="s">
        <v>77</v>
      </c>
      <c r="J1037" s="36" t="s">
        <v>77</v>
      </c>
      <c r="K1037" s="74"/>
      <c r="L1037" s="277"/>
      <c r="M1037" s="655"/>
    </row>
    <row r="1038" spans="1:13">
      <c r="A1038" s="25" t="s">
        <v>88</v>
      </c>
      <c r="B1038" s="26" t="s">
        <v>75</v>
      </c>
      <c r="C1038" s="26"/>
      <c r="D1038" s="26"/>
      <c r="E1038" s="27"/>
      <c r="F1038" s="195">
        <f>SHF!F14</f>
        <v>165.42303866482536</v>
      </c>
      <c r="G1038" s="210"/>
      <c r="H1038" s="34"/>
      <c r="I1038" s="195">
        <f>SHF!I14</f>
        <v>0</v>
      </c>
      <c r="J1038" s="195">
        <f>SHF!J14</f>
        <v>0</v>
      </c>
      <c r="K1038" s="273"/>
      <c r="L1038" s="274"/>
      <c r="M1038" s="268">
        <v>1.35</v>
      </c>
    </row>
    <row r="1039" spans="1:13">
      <c r="A1039" s="25" t="s">
        <v>250</v>
      </c>
      <c r="B1039" s="26" t="s">
        <v>967</v>
      </c>
      <c r="C1039" s="26"/>
      <c r="D1039" s="26"/>
      <c r="E1039" s="27"/>
      <c r="F1039" s="195">
        <f>SHF!F17</f>
        <v>230</v>
      </c>
      <c r="G1039" s="210"/>
      <c r="H1039" s="34"/>
      <c r="I1039" s="195">
        <f>SHF!I17</f>
        <v>-115</v>
      </c>
      <c r="J1039" s="195">
        <f>SHF!J17</f>
        <v>0</v>
      </c>
      <c r="K1039" s="273"/>
      <c r="L1039" s="274"/>
      <c r="M1039" s="268">
        <v>1.35</v>
      </c>
    </row>
    <row r="1040" spans="1:13">
      <c r="A1040" s="25" t="s">
        <v>251</v>
      </c>
      <c r="B1040" s="26" t="s">
        <v>968</v>
      </c>
      <c r="C1040" s="26"/>
      <c r="D1040" s="26"/>
      <c r="E1040" s="27"/>
      <c r="F1040" s="195">
        <f>SHF!F18</f>
        <v>20.660000000000004</v>
      </c>
      <c r="G1040" s="210"/>
      <c r="H1040" s="34"/>
      <c r="I1040" s="195">
        <f>SHF!I18</f>
        <v>-10.330000000000002</v>
      </c>
      <c r="J1040" s="195">
        <f>SHF!J18</f>
        <v>0</v>
      </c>
      <c r="K1040" s="273"/>
      <c r="L1040" s="274"/>
      <c r="M1040" s="268">
        <v>1.35</v>
      </c>
    </row>
    <row r="1041" spans="1:13">
      <c r="A1041" s="25" t="s">
        <v>97</v>
      </c>
      <c r="B1041" s="26" t="s">
        <v>969</v>
      </c>
      <c r="C1041" s="26"/>
      <c r="D1041" s="26"/>
      <c r="E1041" s="27"/>
      <c r="F1041" s="195">
        <f>SHF!F19</f>
        <v>42</v>
      </c>
      <c r="G1041" s="210"/>
      <c r="H1041" s="34"/>
      <c r="I1041" s="195">
        <f>SHF!I19</f>
        <v>-14.858499999999999</v>
      </c>
      <c r="J1041" s="195">
        <f>SHF!J19</f>
        <v>0</v>
      </c>
      <c r="K1041" s="273"/>
      <c r="L1041" s="274"/>
      <c r="M1041" s="268">
        <v>1.35</v>
      </c>
    </row>
    <row r="1042" spans="1:13">
      <c r="A1042" s="25" t="s">
        <v>250</v>
      </c>
      <c r="B1042" s="26" t="s">
        <v>970</v>
      </c>
      <c r="C1042" s="26"/>
      <c r="D1042" s="26"/>
      <c r="E1042" s="27"/>
      <c r="F1042" s="195">
        <f>SHF!F21</f>
        <v>230</v>
      </c>
      <c r="G1042" s="210"/>
      <c r="H1042" s="34"/>
      <c r="I1042" s="195">
        <f>SHF!I21</f>
        <v>115</v>
      </c>
      <c r="J1042" s="195">
        <f>SHF!J21</f>
        <v>0</v>
      </c>
      <c r="K1042" s="273"/>
      <c r="L1042" s="274"/>
      <c r="M1042" s="376">
        <v>1.35</v>
      </c>
    </row>
    <row r="1043" spans="1:13">
      <c r="A1043" s="25" t="s">
        <v>251</v>
      </c>
      <c r="B1043" s="26" t="s">
        <v>971</v>
      </c>
      <c r="C1043" s="26"/>
      <c r="D1043" s="26"/>
      <c r="E1043" s="27"/>
      <c r="F1043" s="195">
        <f>SHF!F22</f>
        <v>20.660000000000004</v>
      </c>
      <c r="G1043" s="210"/>
      <c r="H1043" s="34"/>
      <c r="I1043" s="195">
        <f>SHF!I22</f>
        <v>10.330000000000002</v>
      </c>
      <c r="J1043" s="195">
        <f>SHF!J22</f>
        <v>0</v>
      </c>
      <c r="K1043" s="273"/>
      <c r="L1043" s="274"/>
      <c r="M1043" s="376">
        <v>1.35</v>
      </c>
    </row>
    <row r="1044" spans="1:13">
      <c r="A1044" s="25" t="s">
        <v>97</v>
      </c>
      <c r="B1044" s="26" t="s">
        <v>972</v>
      </c>
      <c r="C1044" s="26"/>
      <c r="D1044" s="26"/>
      <c r="E1044" s="27"/>
      <c r="F1044" s="195">
        <f>SHF!F23</f>
        <v>42</v>
      </c>
      <c r="G1044" s="210"/>
      <c r="H1044" s="34"/>
      <c r="I1044" s="195">
        <f>SHF!I23</f>
        <v>14.858499999999999</v>
      </c>
      <c r="J1044" s="195">
        <f>SHF!J23</f>
        <v>0</v>
      </c>
      <c r="K1044" s="273"/>
      <c r="L1044" s="274"/>
      <c r="M1044" s="376">
        <v>1.75</v>
      </c>
    </row>
    <row r="1045" spans="1:13">
      <c r="A1045" s="25" t="s">
        <v>976</v>
      </c>
      <c r="B1045" s="26" t="s">
        <v>978</v>
      </c>
      <c r="C1045" s="26"/>
      <c r="D1045" s="26"/>
      <c r="E1045" s="27"/>
      <c r="F1045" s="195">
        <f>SHF!F27</f>
        <v>65.160399999999996</v>
      </c>
      <c r="G1045" s="210"/>
      <c r="H1045" s="34"/>
      <c r="I1045" s="195">
        <f>SHF!I27</f>
        <v>-32.580199999999998</v>
      </c>
      <c r="J1045" s="195">
        <f>SHF!J27</f>
        <v>-10.105732306306301</v>
      </c>
      <c r="K1045" s="273"/>
      <c r="L1045" s="274"/>
      <c r="M1045" s="268">
        <v>0.2</v>
      </c>
    </row>
    <row r="1046" spans="1:13">
      <c r="A1046" s="25" t="s">
        <v>977</v>
      </c>
      <c r="B1046" s="26" t="s">
        <v>979</v>
      </c>
      <c r="C1046" s="26"/>
      <c r="D1046" s="26"/>
      <c r="E1046" s="27"/>
      <c r="F1046" s="195">
        <f>SHF!F28</f>
        <v>75.185314285714313</v>
      </c>
      <c r="G1046" s="210"/>
      <c r="H1046" s="34"/>
      <c r="I1046" s="195">
        <f>SHF!I28</f>
        <v>37.592657142857156</v>
      </c>
      <c r="J1046" s="195">
        <f>SHF!J28</f>
        <v>-11.660497166023164</v>
      </c>
      <c r="K1046" s="273"/>
      <c r="L1046" s="274"/>
      <c r="M1046" s="268">
        <v>0.2</v>
      </c>
    </row>
    <row r="1047" spans="1:13">
      <c r="A1047" s="686" t="s">
        <v>1128</v>
      </c>
      <c r="B1047" s="687"/>
      <c r="C1047" s="688"/>
      <c r="D1047" s="688"/>
      <c r="E1047" s="689"/>
      <c r="F1047" s="195">
        <f>SHF!F40</f>
        <v>-23.695433333970961</v>
      </c>
      <c r="G1047" s="689"/>
      <c r="H1047" s="690"/>
      <c r="I1047" s="195">
        <f>SHF!I40</f>
        <v>0</v>
      </c>
      <c r="J1047" s="195">
        <f>SHF!J40</f>
        <v>0</v>
      </c>
      <c r="K1047" s="273"/>
      <c r="L1047" s="274"/>
      <c r="M1047" s="376">
        <v>0.15</v>
      </c>
    </row>
    <row r="1048" spans="1:13">
      <c r="A1048" s="686" t="s">
        <v>1131</v>
      </c>
      <c r="B1048" s="687"/>
      <c r="C1048" s="688"/>
      <c r="D1048" s="688"/>
      <c r="E1048" s="689"/>
      <c r="F1048" s="690"/>
      <c r="G1048" s="195">
        <f>SHF!G44</f>
        <v>1.566445545112501</v>
      </c>
      <c r="H1048" s="195">
        <f>SHF!H44</f>
        <v>0.77082515176153144</v>
      </c>
      <c r="I1048" s="195">
        <f>SHF!I44</f>
        <v>2.5854696423507204</v>
      </c>
      <c r="J1048" s="195">
        <f>SHF!J44</f>
        <v>1.2722721422765415</v>
      </c>
      <c r="K1048" s="273"/>
      <c r="L1048" s="274"/>
      <c r="M1048" s="376">
        <v>1</v>
      </c>
    </row>
    <row r="1049" spans="1:13">
      <c r="A1049" s="278" t="s">
        <v>1132</v>
      </c>
      <c r="B1049" s="262"/>
      <c r="C1049" s="262"/>
      <c r="D1049" s="262"/>
      <c r="E1049" s="263"/>
      <c r="F1049" s="1052"/>
      <c r="G1049" s="1053"/>
      <c r="H1049" s="267"/>
      <c r="I1049" s="1052"/>
      <c r="J1049" s="267"/>
      <c r="K1049" s="289"/>
      <c r="L1049" s="274"/>
      <c r="M1049" s="412">
        <v>1.5</v>
      </c>
    </row>
    <row r="1050" spans="1:13">
      <c r="A1050" s="25" t="s">
        <v>991</v>
      </c>
      <c r="B1050" s="26" t="s">
        <v>989</v>
      </c>
      <c r="C1050" s="26"/>
      <c r="D1050" s="26"/>
      <c r="E1050" s="27"/>
      <c r="F1050" s="197"/>
      <c r="G1050" s="195">
        <f>SHF!G49</f>
        <v>70.238399999999984</v>
      </c>
      <c r="H1050" s="34"/>
      <c r="I1050" s="195">
        <f>SHF!I49</f>
        <v>455.14483200000001</v>
      </c>
      <c r="J1050" s="89"/>
      <c r="K1050" s="289"/>
      <c r="L1050" s="274"/>
      <c r="M1050" s="268">
        <v>0.44999999999999996</v>
      </c>
    </row>
    <row r="1051" spans="1:13">
      <c r="A1051" s="25" t="s">
        <v>994</v>
      </c>
      <c r="B1051" s="26" t="s">
        <v>996</v>
      </c>
      <c r="C1051" s="26"/>
      <c r="D1051" s="26"/>
      <c r="E1051" s="27"/>
      <c r="F1051" s="197"/>
      <c r="G1051" s="195">
        <f>SHF!G53</f>
        <v>4.5540000000000003</v>
      </c>
      <c r="H1051" s="34"/>
      <c r="I1051" s="195">
        <f>SHF!I53</f>
        <v>29.509920000000008</v>
      </c>
      <c r="J1051" s="89"/>
      <c r="K1051" s="289"/>
      <c r="L1051" s="274"/>
      <c r="M1051" s="376">
        <v>1.5</v>
      </c>
    </row>
    <row r="1052" spans="1:13">
      <c r="A1052" s="25" t="s">
        <v>217</v>
      </c>
      <c r="B1052" s="26" t="s">
        <v>211</v>
      </c>
      <c r="C1052" s="26"/>
      <c r="D1052" s="26"/>
      <c r="E1052" s="27"/>
      <c r="F1052" s="197"/>
      <c r="G1052" s="195">
        <f>SHF!G55</f>
        <v>19.850764639779044</v>
      </c>
      <c r="H1052" s="34"/>
      <c r="I1052" s="195">
        <f>SHF!I55</f>
        <v>73.367744311147007</v>
      </c>
      <c r="J1052" s="89"/>
      <c r="K1052" s="289"/>
      <c r="L1052" s="274"/>
      <c r="M1052" s="376">
        <v>0.44999999999999996</v>
      </c>
    </row>
    <row r="1053" spans="1:13">
      <c r="A1053" s="686" t="s">
        <v>1139</v>
      </c>
      <c r="B1053" s="688" t="s">
        <v>1140</v>
      </c>
      <c r="C1053" s="688"/>
      <c r="D1053" s="688"/>
      <c r="E1053" s="689"/>
      <c r="F1053" s="620"/>
      <c r="G1053" s="195">
        <f>SHF!G58</f>
        <v>7.3173856373850432</v>
      </c>
      <c r="H1053" s="690"/>
      <c r="I1053" s="195">
        <f>SHF!I58</f>
        <v>8.4456204005780648</v>
      </c>
      <c r="J1053" s="269"/>
      <c r="K1053" s="289"/>
      <c r="L1053" s="274"/>
      <c r="M1053" s="376">
        <v>0.3</v>
      </c>
    </row>
    <row r="1054" spans="1:13">
      <c r="A1054" s="278" t="s">
        <v>1135</v>
      </c>
      <c r="B1054" s="262"/>
      <c r="C1054" s="262"/>
      <c r="D1054" s="262"/>
      <c r="E1054" s="263"/>
      <c r="F1054" s="279"/>
      <c r="G1054" s="280"/>
      <c r="H1054" s="264"/>
      <c r="I1054" s="279"/>
      <c r="J1054" s="264"/>
      <c r="K1054" s="289"/>
      <c r="L1054" s="274"/>
      <c r="M1054" s="708">
        <v>1.5</v>
      </c>
    </row>
    <row r="1055" spans="1:13">
      <c r="A1055" s="25" t="s">
        <v>997</v>
      </c>
      <c r="B1055" s="26" t="s">
        <v>988</v>
      </c>
      <c r="C1055" s="26"/>
      <c r="D1055" s="26"/>
      <c r="E1055" s="27"/>
      <c r="F1055" s="197"/>
      <c r="G1055" s="211"/>
      <c r="H1055" s="195">
        <f>SHF!H62</f>
        <v>35.119199999999992</v>
      </c>
      <c r="I1055" s="197"/>
      <c r="J1055" s="195">
        <f>SHF!J62</f>
        <v>257.60072117968605</v>
      </c>
      <c r="K1055" s="289"/>
      <c r="L1055" s="274"/>
      <c r="M1055" s="268">
        <v>1.5</v>
      </c>
    </row>
    <row r="1056" spans="1:13">
      <c r="A1056" s="25" t="s">
        <v>998</v>
      </c>
      <c r="B1056" s="26" t="s">
        <v>989</v>
      </c>
      <c r="C1056" s="26"/>
      <c r="D1056" s="26"/>
      <c r="E1056" s="27"/>
      <c r="F1056" s="197"/>
      <c r="G1056" s="211"/>
      <c r="H1056" s="195">
        <f>SHF!H63</f>
        <v>35.119199999999992</v>
      </c>
      <c r="I1056" s="197"/>
      <c r="J1056" s="195">
        <f>SHF!J63</f>
        <v>257.60072117968605</v>
      </c>
      <c r="K1056" s="289"/>
      <c r="L1056" s="274"/>
      <c r="M1056" s="376">
        <v>1.5</v>
      </c>
    </row>
    <row r="1057" spans="1:13">
      <c r="A1057" s="25" t="s">
        <v>1004</v>
      </c>
      <c r="B1057" s="26" t="s">
        <v>1000</v>
      </c>
      <c r="C1057" s="26"/>
      <c r="D1057" s="26"/>
      <c r="E1057" s="27"/>
      <c r="F1057" s="197"/>
      <c r="G1057" s="211"/>
      <c r="H1057" s="195">
        <f>SHF!H67</f>
        <v>7.8192479999999991</v>
      </c>
      <c r="I1057" s="197"/>
      <c r="J1057" s="195">
        <f>SHF!J67</f>
        <v>71.663407919999983</v>
      </c>
      <c r="K1057" s="289"/>
      <c r="L1057" s="274"/>
      <c r="M1057" s="376">
        <v>0.30000000000000004</v>
      </c>
    </row>
    <row r="1058" spans="1:13">
      <c r="A1058" s="25" t="s">
        <v>1005</v>
      </c>
      <c r="B1058" s="26" t="s">
        <v>1001</v>
      </c>
      <c r="C1058" s="26"/>
      <c r="D1058" s="26"/>
      <c r="E1058" s="27"/>
      <c r="F1058" s="197"/>
      <c r="G1058" s="211"/>
      <c r="H1058" s="195">
        <f>SHF!H68</f>
        <v>9.0222377142857191</v>
      </c>
      <c r="I1058" s="197"/>
      <c r="J1058" s="195">
        <f>SHF!J68</f>
        <v>82.688808651428602</v>
      </c>
      <c r="K1058" s="289"/>
      <c r="L1058" s="274"/>
      <c r="M1058" s="376">
        <v>0.30000000000000004</v>
      </c>
    </row>
    <row r="1059" spans="1:13">
      <c r="A1059" s="25" t="s">
        <v>1006</v>
      </c>
      <c r="B1059" s="26" t="s">
        <v>211</v>
      </c>
      <c r="C1059" s="26"/>
      <c r="D1059" s="26"/>
      <c r="E1059" s="27"/>
      <c r="F1059" s="197"/>
      <c r="G1059" s="211"/>
      <c r="H1059" s="195">
        <f>SHF!H73</f>
        <v>19.850764639779044</v>
      </c>
      <c r="I1059" s="197"/>
      <c r="J1059" s="195">
        <f>SHF!J73</f>
        <v>73.367744311147007</v>
      </c>
      <c r="K1059" s="289"/>
      <c r="L1059" s="274"/>
      <c r="M1059" s="376">
        <v>1.5</v>
      </c>
    </row>
    <row r="1060" spans="1:13">
      <c r="A1060" s="686" t="s">
        <v>1138</v>
      </c>
      <c r="B1060" s="688" t="s">
        <v>1141</v>
      </c>
      <c r="C1060" s="26"/>
      <c r="D1060" s="26"/>
      <c r="E1060" s="27"/>
      <c r="F1060" s="34"/>
      <c r="G1060" s="27"/>
      <c r="H1060" s="195">
        <f>SHF!H76</f>
        <v>7.3173856373850432</v>
      </c>
      <c r="I1060" s="620"/>
      <c r="J1060" s="195">
        <f>SHF!J76</f>
        <v>8.4456204005780648</v>
      </c>
      <c r="K1060" s="289"/>
      <c r="L1060" s="274"/>
      <c r="M1060" s="376">
        <v>1</v>
      </c>
    </row>
    <row r="1061" spans="1:13">
      <c r="A1061" s="290" t="s">
        <v>1137</v>
      </c>
      <c r="B1061" s="11"/>
      <c r="C1061" s="11"/>
      <c r="D1061" s="11"/>
      <c r="E1061" s="191"/>
      <c r="F1061" s="197"/>
      <c r="G1061" s="211"/>
      <c r="H1061" s="89"/>
      <c r="I1061" s="197"/>
      <c r="J1061" s="89"/>
      <c r="K1061" s="289"/>
      <c r="L1061" s="274"/>
      <c r="M1061" s="994">
        <v>0.44999999999999996</v>
      </c>
    </row>
    <row r="1062" spans="1:13">
      <c r="A1062" s="25" t="s">
        <v>1007</v>
      </c>
      <c r="B1062" s="26" t="s">
        <v>988</v>
      </c>
      <c r="C1062" s="26"/>
      <c r="D1062" s="26"/>
      <c r="E1062" s="27"/>
      <c r="F1062" s="195">
        <f>SHF!F80</f>
        <v>23.412799999999997</v>
      </c>
      <c r="G1062" s="211"/>
      <c r="H1062" s="34"/>
      <c r="I1062" s="195">
        <f>SHF!I80</f>
        <v>-11.21508</v>
      </c>
      <c r="J1062" s="195">
        <f>SHF!J80</f>
        <v>0</v>
      </c>
      <c r="K1062" s="289"/>
      <c r="L1062" s="274"/>
      <c r="M1062" s="376">
        <v>-0.44999999999999996</v>
      </c>
    </row>
    <row r="1063" spans="1:13">
      <c r="A1063" s="25" t="s">
        <v>1008</v>
      </c>
      <c r="B1063" s="26" t="s">
        <v>989</v>
      </c>
      <c r="C1063" s="26"/>
      <c r="D1063" s="26"/>
      <c r="E1063" s="27"/>
      <c r="F1063" s="195">
        <f>SHF!F81</f>
        <v>23.412799999999997</v>
      </c>
      <c r="G1063" s="211"/>
      <c r="H1063" s="34"/>
      <c r="I1063" s="195">
        <f>SHF!I81</f>
        <v>11.21508</v>
      </c>
      <c r="J1063" s="195">
        <f>SHF!J81</f>
        <v>0</v>
      </c>
      <c r="K1063" s="289"/>
      <c r="L1063" s="274"/>
      <c r="M1063" s="268">
        <v>-0.44999999999999996</v>
      </c>
    </row>
    <row r="1064" spans="1:13">
      <c r="A1064" s="25" t="s">
        <v>1009</v>
      </c>
      <c r="B1064" s="26" t="s">
        <v>1000</v>
      </c>
      <c r="C1064" s="26"/>
      <c r="D1064" s="26"/>
      <c r="E1064" s="27"/>
      <c r="F1064" s="195">
        <f>SHF!F85</f>
        <v>5.2128319999999997</v>
      </c>
      <c r="G1064" s="211"/>
      <c r="H1064" s="34"/>
      <c r="I1064" s="195">
        <f>SHF!I85</f>
        <v>-2.6064159999999998</v>
      </c>
      <c r="J1064" s="195">
        <f>SHF!J85</f>
        <v>-0.80845858450450414</v>
      </c>
      <c r="K1064" s="289"/>
      <c r="L1064" s="274"/>
      <c r="M1064" s="268">
        <v>-0.09</v>
      </c>
    </row>
    <row r="1065" spans="1:13">
      <c r="A1065" s="25" t="s">
        <v>1010</v>
      </c>
      <c r="B1065" s="26" t="s">
        <v>1001</v>
      </c>
      <c r="C1065" s="26"/>
      <c r="D1065" s="26"/>
      <c r="E1065" s="27"/>
      <c r="F1065" s="195">
        <f>SHF!F86</f>
        <v>6.0148251428571458</v>
      </c>
      <c r="G1065" s="211"/>
      <c r="H1065" s="34"/>
      <c r="I1065" s="195">
        <f>SHF!I86</f>
        <v>3.0074125714285729</v>
      </c>
      <c r="J1065" s="195">
        <f>SHF!J86</f>
        <v>-0.93283977328185319</v>
      </c>
      <c r="K1065" s="289"/>
      <c r="L1065" s="274"/>
      <c r="M1065" s="268">
        <v>-0.09</v>
      </c>
    </row>
    <row r="1066" spans="1:13">
      <c r="A1066" s="25" t="s">
        <v>1011</v>
      </c>
      <c r="B1066" s="26" t="s">
        <v>211</v>
      </c>
      <c r="C1066" s="26"/>
      <c r="D1066" s="26"/>
      <c r="E1066" s="27"/>
      <c r="F1066" s="195">
        <f>SHF!F91</f>
        <v>13.233843093186028</v>
      </c>
      <c r="G1066" s="211"/>
      <c r="H1066" s="197"/>
      <c r="I1066" s="195">
        <f>SHF!I91</f>
        <v>0</v>
      </c>
      <c r="J1066" s="195">
        <f>SHF!J91</f>
        <v>0</v>
      </c>
      <c r="K1066" s="289"/>
      <c r="L1066" s="274"/>
      <c r="M1066" s="268">
        <v>-0.44999999999999996</v>
      </c>
    </row>
    <row r="1067" spans="1:13">
      <c r="A1067" s="253"/>
      <c r="B1067" s="15"/>
      <c r="C1067" s="15"/>
      <c r="D1067" s="15"/>
      <c r="E1067" s="22"/>
      <c r="F1067" s="212"/>
      <c r="G1067" s="213"/>
      <c r="H1067" s="198"/>
      <c r="I1067" s="198"/>
      <c r="J1067" s="58"/>
      <c r="K1067" s="74"/>
      <c r="L1067" s="277"/>
      <c r="M1067" s="379"/>
    </row>
    <row r="1068" spans="1:13">
      <c r="A1068" s="46"/>
      <c r="B1068" s="46"/>
      <c r="C1068" s="46"/>
      <c r="D1068" s="46"/>
      <c r="E1068" s="46"/>
      <c r="F1068" s="46"/>
      <c r="G1068" s="46"/>
      <c r="H1068" s="46"/>
      <c r="I1068" s="46"/>
      <c r="J1068" s="46"/>
      <c r="K1068" s="116"/>
      <c r="L1068" s="270"/>
      <c r="M1068" s="87"/>
    </row>
    <row r="1069" spans="1:13">
      <c r="A1069" s="220" t="s">
        <v>73</v>
      </c>
      <c r="B1069" s="220" t="s">
        <v>74</v>
      </c>
      <c r="C1069" s="200"/>
      <c r="D1069" s="200"/>
      <c r="E1069" s="217"/>
      <c r="F1069" s="1636" t="s">
        <v>72</v>
      </c>
      <c r="G1069" s="1637"/>
      <c r="H1069" s="1637"/>
      <c r="I1069" s="1637"/>
      <c r="J1069" s="1638"/>
      <c r="K1069" s="116"/>
      <c r="L1069" s="270"/>
      <c r="M1069" s="87"/>
    </row>
    <row r="1070" spans="1:13" ht="18">
      <c r="A1070" s="221"/>
      <c r="B1070" s="221"/>
      <c r="C1070" s="201"/>
      <c r="D1070" s="201"/>
      <c r="E1070" s="219"/>
      <c r="F1070" s="223" t="s">
        <v>23</v>
      </c>
      <c r="G1070" s="223" t="s">
        <v>87</v>
      </c>
      <c r="H1070" s="223" t="s">
        <v>212</v>
      </c>
      <c r="I1070" s="223" t="s">
        <v>80</v>
      </c>
      <c r="J1070" s="223" t="s">
        <v>81</v>
      </c>
      <c r="K1070" s="116"/>
      <c r="L1070" s="270"/>
      <c r="M1070" s="87"/>
    </row>
    <row r="1071" spans="1:13">
      <c r="A1071" s="222"/>
      <c r="B1071" s="222"/>
      <c r="C1071" s="203"/>
      <c r="D1071" s="203"/>
      <c r="E1071" s="218"/>
      <c r="F1071" s="204" t="s">
        <v>34</v>
      </c>
      <c r="G1071" s="204" t="s">
        <v>34</v>
      </c>
      <c r="H1071" s="203" t="s">
        <v>34</v>
      </c>
      <c r="I1071" s="204" t="s">
        <v>77</v>
      </c>
      <c r="J1071" s="204" t="s">
        <v>77</v>
      </c>
      <c r="K1071" s="116"/>
      <c r="L1071" s="270"/>
      <c r="M1071" s="87"/>
    </row>
    <row r="1072" spans="1:13">
      <c r="A1072" s="202"/>
      <c r="B1072" s="200"/>
      <c r="C1072" s="200"/>
      <c r="D1072" s="200"/>
      <c r="E1072" s="217"/>
      <c r="F1072" s="205"/>
      <c r="G1072" s="205"/>
      <c r="H1072" s="201"/>
      <c r="I1072" s="205"/>
      <c r="J1072" s="205"/>
      <c r="K1072" s="116"/>
      <c r="L1072" s="270"/>
      <c r="M1072" s="87"/>
    </row>
    <row r="1073" spans="1:13">
      <c r="A1073" s="205" t="str">
        <f>A1035</f>
        <v>LC-34</v>
      </c>
      <c r="B1073" s="201" t="str">
        <f>B1035</f>
        <v>LC-23 + Seismic Sx=0.3,Sz=1,Sy=-0.3</v>
      </c>
      <c r="C1073" s="201"/>
      <c r="D1073" s="201"/>
      <c r="E1073" s="219"/>
      <c r="F1073" s="1054">
        <f>SUMPRODUCT(F1038:F1066,$M$1038:$M$1066)</f>
        <v>1026.7806915197709</v>
      </c>
      <c r="G1073" s="1055">
        <f>SUMPRODUCT(G1038:G1066,$M$1038:$M$1066)</f>
        <v>51.132785324228578</v>
      </c>
      <c r="H1073" s="1055">
        <f>SUMPRODUCT(H1038:H1066,$M$1038:$M$1066)</f>
        <v>148.27440346310081</v>
      </c>
      <c r="I1073" s="1055">
        <f>SUMPRODUCT(I1038:I1066,$M$1038:$M$1066)</f>
        <v>294.12449683968316</v>
      </c>
      <c r="J1073" s="1055">
        <f>SUMPRODUCT(J1038:J1066,$M$1038:$M$1066)</f>
        <v>934.68080847779652</v>
      </c>
      <c r="K1073" s="116"/>
      <c r="L1073" s="270"/>
      <c r="M1073" s="87"/>
    </row>
    <row r="1074" spans="1:13">
      <c r="A1074" s="204"/>
      <c r="B1074" s="203"/>
      <c r="C1074" s="203"/>
      <c r="D1074" s="203"/>
      <c r="E1074" s="218"/>
      <c r="F1074" s="204"/>
      <c r="G1074" s="204"/>
      <c r="H1074" s="203"/>
      <c r="I1074" s="204"/>
      <c r="J1074" s="204"/>
      <c r="K1074" s="116"/>
      <c r="L1074" s="270"/>
      <c r="M1074" s="87"/>
    </row>
    <row r="1075" spans="1:13">
      <c r="A1075" s="1"/>
      <c r="B1075" s="1"/>
      <c r="C1075" s="1"/>
      <c r="D1075" s="1"/>
      <c r="E1075" s="1"/>
      <c r="F1075" s="1"/>
      <c r="G1075" s="1"/>
      <c r="H1075" s="1"/>
      <c r="I1075" s="1"/>
      <c r="J1075" s="1"/>
      <c r="K1075" s="1"/>
      <c r="L1075" s="1"/>
      <c r="M1075" s="1"/>
    </row>
    <row r="1076" spans="1:13">
      <c r="A1076" s="1"/>
      <c r="B1076" s="1"/>
      <c r="C1076" s="1"/>
      <c r="D1076" s="1"/>
      <c r="E1076" s="1"/>
      <c r="F1076" s="1"/>
      <c r="G1076" s="1"/>
      <c r="H1076" s="1"/>
      <c r="I1076" s="1"/>
      <c r="J1076" s="1"/>
      <c r="K1076" s="1"/>
      <c r="L1076" s="1"/>
      <c r="M1076" s="1"/>
    </row>
    <row r="1077" spans="1:13">
      <c r="A1077" s="225" t="str">
        <f>M1077</f>
        <v>LC-35</v>
      </c>
      <c r="B1077" s="24" t="str">
        <f>VLOOKUP(A1077,LC_DEF_2!A3:B42,2,FALSE)</f>
        <v>LC-23 + Seismic Sx=1,Sz=0.3,Sy=0.3</v>
      </c>
      <c r="C1077" s="24"/>
      <c r="D1077" s="24"/>
      <c r="E1077" s="21"/>
      <c r="F1077" s="1599" t="s">
        <v>742</v>
      </c>
      <c r="G1077" s="1635"/>
      <c r="H1077" s="1635"/>
      <c r="I1077" s="1635"/>
      <c r="J1077" s="1600"/>
      <c r="K1077" s="73"/>
      <c r="L1077" s="272"/>
      <c r="M1077" s="384" t="s">
        <v>1172</v>
      </c>
    </row>
    <row r="1078" spans="1:13" ht="18">
      <c r="A1078" s="25" t="s">
        <v>73</v>
      </c>
      <c r="B1078" s="26" t="s">
        <v>74</v>
      </c>
      <c r="C1078" s="26"/>
      <c r="D1078" s="26"/>
      <c r="E1078" s="27"/>
      <c r="F1078" s="33" t="s">
        <v>23</v>
      </c>
      <c r="G1078" s="33" t="s">
        <v>87</v>
      </c>
      <c r="H1078" s="33" t="s">
        <v>212</v>
      </c>
      <c r="I1078" s="33" t="s">
        <v>80</v>
      </c>
      <c r="J1078" s="33" t="s">
        <v>81</v>
      </c>
      <c r="K1078" s="273"/>
      <c r="L1078" s="274"/>
      <c r="M1078" s="376"/>
    </row>
    <row r="1079" spans="1:13">
      <c r="A1079" s="25"/>
      <c r="B1079" s="26"/>
      <c r="C1079" s="26"/>
      <c r="D1079" s="26"/>
      <c r="E1079" s="27"/>
      <c r="F1079" s="36" t="s">
        <v>34</v>
      </c>
      <c r="G1079" s="36" t="s">
        <v>34</v>
      </c>
      <c r="H1079" s="36" t="s">
        <v>34</v>
      </c>
      <c r="I1079" s="36" t="s">
        <v>77</v>
      </c>
      <c r="J1079" s="36" t="s">
        <v>77</v>
      </c>
      <c r="K1079" s="74"/>
      <c r="L1079" s="277"/>
      <c r="M1079" s="655"/>
    </row>
    <row r="1080" spans="1:13">
      <c r="A1080" s="25" t="s">
        <v>88</v>
      </c>
      <c r="B1080" s="26" t="s">
        <v>75</v>
      </c>
      <c r="C1080" s="26"/>
      <c r="D1080" s="26"/>
      <c r="E1080" s="27"/>
      <c r="F1080" s="195">
        <f>SHF!F14</f>
        <v>165.42303866482536</v>
      </c>
      <c r="G1080" s="210"/>
      <c r="H1080" s="34"/>
      <c r="I1080" s="195">
        <f>SHF!I14</f>
        <v>0</v>
      </c>
      <c r="J1080" s="195">
        <f>SHF!J14</f>
        <v>0</v>
      </c>
      <c r="K1080" s="273"/>
      <c r="L1080" s="274"/>
      <c r="M1080" s="268">
        <v>1.35</v>
      </c>
    </row>
    <row r="1081" spans="1:13">
      <c r="A1081" s="25" t="s">
        <v>250</v>
      </c>
      <c r="B1081" s="26" t="s">
        <v>967</v>
      </c>
      <c r="C1081" s="26"/>
      <c r="D1081" s="26"/>
      <c r="E1081" s="27"/>
      <c r="F1081" s="195">
        <f>SHF!F17</f>
        <v>230</v>
      </c>
      <c r="G1081" s="210"/>
      <c r="H1081" s="34"/>
      <c r="I1081" s="195">
        <f>SHF!I17</f>
        <v>-115</v>
      </c>
      <c r="J1081" s="195">
        <f>SHF!J17</f>
        <v>0</v>
      </c>
      <c r="K1081" s="273"/>
      <c r="L1081" s="274"/>
      <c r="M1081" s="268">
        <v>1.35</v>
      </c>
    </row>
    <row r="1082" spans="1:13">
      <c r="A1082" s="25" t="s">
        <v>251</v>
      </c>
      <c r="B1082" s="26" t="s">
        <v>968</v>
      </c>
      <c r="C1082" s="26"/>
      <c r="D1082" s="26"/>
      <c r="E1082" s="27"/>
      <c r="F1082" s="195">
        <f>SHF!F18</f>
        <v>20.660000000000004</v>
      </c>
      <c r="G1082" s="210"/>
      <c r="H1082" s="34"/>
      <c r="I1082" s="195">
        <f>SHF!I18</f>
        <v>-10.330000000000002</v>
      </c>
      <c r="J1082" s="195">
        <f>SHF!J18</f>
        <v>0</v>
      </c>
      <c r="K1082" s="273"/>
      <c r="L1082" s="274"/>
      <c r="M1082" s="268">
        <v>1.35</v>
      </c>
    </row>
    <row r="1083" spans="1:13">
      <c r="A1083" s="25" t="s">
        <v>97</v>
      </c>
      <c r="B1083" s="26" t="s">
        <v>969</v>
      </c>
      <c r="C1083" s="26"/>
      <c r="D1083" s="26"/>
      <c r="E1083" s="27"/>
      <c r="F1083" s="195">
        <f>SHF!F19</f>
        <v>42</v>
      </c>
      <c r="G1083" s="210"/>
      <c r="H1083" s="34"/>
      <c r="I1083" s="195">
        <f>SHF!I19</f>
        <v>-14.858499999999999</v>
      </c>
      <c r="J1083" s="195">
        <f>SHF!J19</f>
        <v>0</v>
      </c>
      <c r="K1083" s="273"/>
      <c r="L1083" s="274"/>
      <c r="M1083" s="268">
        <v>1.35</v>
      </c>
    </row>
    <row r="1084" spans="1:13">
      <c r="A1084" s="25" t="s">
        <v>250</v>
      </c>
      <c r="B1084" s="26" t="s">
        <v>970</v>
      </c>
      <c r="C1084" s="26"/>
      <c r="D1084" s="26"/>
      <c r="E1084" s="27"/>
      <c r="F1084" s="195">
        <f>SHF!F21</f>
        <v>230</v>
      </c>
      <c r="G1084" s="210"/>
      <c r="H1084" s="34"/>
      <c r="I1084" s="195">
        <f>SHF!I21</f>
        <v>115</v>
      </c>
      <c r="J1084" s="195">
        <f>SHF!J21</f>
        <v>0</v>
      </c>
      <c r="K1084" s="273"/>
      <c r="L1084" s="274"/>
      <c r="M1084" s="376">
        <v>1.35</v>
      </c>
    </row>
    <row r="1085" spans="1:13">
      <c r="A1085" s="25" t="s">
        <v>251</v>
      </c>
      <c r="B1085" s="26" t="s">
        <v>971</v>
      </c>
      <c r="C1085" s="26"/>
      <c r="D1085" s="26"/>
      <c r="E1085" s="27"/>
      <c r="F1085" s="195">
        <f>SHF!F22</f>
        <v>20.660000000000004</v>
      </c>
      <c r="G1085" s="210"/>
      <c r="H1085" s="34"/>
      <c r="I1085" s="195">
        <f>SHF!I22</f>
        <v>10.330000000000002</v>
      </c>
      <c r="J1085" s="195">
        <f>SHF!J22</f>
        <v>0</v>
      </c>
      <c r="K1085" s="273"/>
      <c r="L1085" s="274"/>
      <c r="M1085" s="376">
        <v>1.35</v>
      </c>
    </row>
    <row r="1086" spans="1:13">
      <c r="A1086" s="25" t="s">
        <v>97</v>
      </c>
      <c r="B1086" s="26" t="s">
        <v>972</v>
      </c>
      <c r="C1086" s="26"/>
      <c r="D1086" s="26"/>
      <c r="E1086" s="27"/>
      <c r="F1086" s="195">
        <f>SHF!F23</f>
        <v>42</v>
      </c>
      <c r="G1086" s="210"/>
      <c r="H1086" s="34"/>
      <c r="I1086" s="195">
        <f>SHF!I23</f>
        <v>14.858499999999999</v>
      </c>
      <c r="J1086" s="195">
        <f>SHF!J23</f>
        <v>0</v>
      </c>
      <c r="K1086" s="273"/>
      <c r="L1086" s="274"/>
      <c r="M1086" s="376">
        <v>1.75</v>
      </c>
    </row>
    <row r="1087" spans="1:13">
      <c r="A1087" s="25" t="s">
        <v>976</v>
      </c>
      <c r="B1087" s="26" t="s">
        <v>978</v>
      </c>
      <c r="C1087" s="26"/>
      <c r="D1087" s="26"/>
      <c r="E1087" s="27"/>
      <c r="F1087" s="195">
        <f>SHF!F27</f>
        <v>65.160399999999996</v>
      </c>
      <c r="G1087" s="210"/>
      <c r="H1087" s="34"/>
      <c r="I1087" s="195">
        <f>SHF!I27</f>
        <v>-32.580199999999998</v>
      </c>
      <c r="J1087" s="195">
        <f>SHF!J27</f>
        <v>-10.105732306306301</v>
      </c>
      <c r="K1087" s="273"/>
      <c r="L1087" s="274"/>
      <c r="M1087" s="268">
        <v>0.2</v>
      </c>
    </row>
    <row r="1088" spans="1:13">
      <c r="A1088" s="25" t="s">
        <v>977</v>
      </c>
      <c r="B1088" s="26" t="s">
        <v>979</v>
      </c>
      <c r="C1088" s="26"/>
      <c r="D1088" s="26"/>
      <c r="E1088" s="27"/>
      <c r="F1088" s="195">
        <f>SHF!F28</f>
        <v>75.185314285714313</v>
      </c>
      <c r="G1088" s="210"/>
      <c r="H1088" s="34"/>
      <c r="I1088" s="195">
        <f>SHF!I28</f>
        <v>37.592657142857156</v>
      </c>
      <c r="J1088" s="195">
        <f>SHF!J28</f>
        <v>-11.660497166023164</v>
      </c>
      <c r="K1088" s="273"/>
      <c r="L1088" s="274"/>
      <c r="M1088" s="268">
        <v>0.2</v>
      </c>
    </row>
    <row r="1089" spans="1:13">
      <c r="A1089" s="686" t="s">
        <v>1128</v>
      </c>
      <c r="B1089" s="687"/>
      <c r="C1089" s="688"/>
      <c r="D1089" s="688"/>
      <c r="E1089" s="689"/>
      <c r="F1089" s="195">
        <f>SHF!F40</f>
        <v>-23.695433333970961</v>
      </c>
      <c r="G1089" s="689"/>
      <c r="H1089" s="690"/>
      <c r="I1089" s="195">
        <f>SHF!I40</f>
        <v>0</v>
      </c>
      <c r="J1089" s="195">
        <f>SHF!J40</f>
        <v>0</v>
      </c>
      <c r="K1089" s="273"/>
      <c r="L1089" s="274"/>
      <c r="M1089" s="376">
        <v>0.15</v>
      </c>
    </row>
    <row r="1090" spans="1:13">
      <c r="A1090" s="686" t="s">
        <v>1131</v>
      </c>
      <c r="B1090" s="687"/>
      <c r="C1090" s="688"/>
      <c r="D1090" s="688"/>
      <c r="E1090" s="689"/>
      <c r="F1090" s="690"/>
      <c r="G1090" s="195">
        <f>SHF!G44</f>
        <v>1.566445545112501</v>
      </c>
      <c r="H1090" s="195">
        <f>SHF!H44</f>
        <v>0.77082515176153144</v>
      </c>
      <c r="I1090" s="195">
        <f>SHF!I44</f>
        <v>2.5854696423507204</v>
      </c>
      <c r="J1090" s="195">
        <f>SHF!J44</f>
        <v>1.2722721422765415</v>
      </c>
      <c r="K1090" s="273"/>
      <c r="L1090" s="274"/>
      <c r="M1090" s="376">
        <v>1</v>
      </c>
    </row>
    <row r="1091" spans="1:13">
      <c r="A1091" s="278" t="s">
        <v>1132</v>
      </c>
      <c r="B1091" s="262"/>
      <c r="C1091" s="262"/>
      <c r="D1091" s="262"/>
      <c r="E1091" s="263"/>
      <c r="F1091" s="1052"/>
      <c r="G1091" s="1053"/>
      <c r="H1091" s="267"/>
      <c r="I1091" s="1052"/>
      <c r="J1091" s="267"/>
      <c r="K1091" s="289"/>
      <c r="L1091" s="274"/>
      <c r="M1091" s="412">
        <v>1.5</v>
      </c>
    </row>
    <row r="1092" spans="1:13">
      <c r="A1092" s="25" t="s">
        <v>991</v>
      </c>
      <c r="B1092" s="26" t="s">
        <v>989</v>
      </c>
      <c r="C1092" s="26"/>
      <c r="D1092" s="26"/>
      <c r="E1092" s="27"/>
      <c r="F1092" s="197"/>
      <c r="G1092" s="195">
        <f>SHF!G49</f>
        <v>70.238399999999984</v>
      </c>
      <c r="H1092" s="34"/>
      <c r="I1092" s="195">
        <f>SHF!I49</f>
        <v>455.14483200000001</v>
      </c>
      <c r="J1092" s="89"/>
      <c r="K1092" s="289"/>
      <c r="L1092" s="274"/>
      <c r="M1092" s="268">
        <v>1.5</v>
      </c>
    </row>
    <row r="1093" spans="1:13">
      <c r="A1093" s="25" t="s">
        <v>994</v>
      </c>
      <c r="B1093" s="26" t="s">
        <v>996</v>
      </c>
      <c r="C1093" s="26"/>
      <c r="D1093" s="26"/>
      <c r="E1093" s="27"/>
      <c r="F1093" s="197"/>
      <c r="G1093" s="195">
        <f>SHF!G53</f>
        <v>4.5540000000000003</v>
      </c>
      <c r="H1093" s="34"/>
      <c r="I1093" s="195">
        <f>SHF!I53</f>
        <v>29.509920000000008</v>
      </c>
      <c r="J1093" s="89"/>
      <c r="K1093" s="289"/>
      <c r="L1093" s="274"/>
      <c r="M1093" s="376">
        <v>1.5</v>
      </c>
    </row>
    <row r="1094" spans="1:13">
      <c r="A1094" s="25" t="s">
        <v>217</v>
      </c>
      <c r="B1094" s="26" t="s">
        <v>211</v>
      </c>
      <c r="C1094" s="26"/>
      <c r="D1094" s="26"/>
      <c r="E1094" s="27"/>
      <c r="F1094" s="197"/>
      <c r="G1094" s="195">
        <f>SHF!G55</f>
        <v>19.850764639779044</v>
      </c>
      <c r="H1094" s="34"/>
      <c r="I1094" s="195">
        <f>SHF!I55</f>
        <v>73.367744311147007</v>
      </c>
      <c r="J1094" s="89"/>
      <c r="K1094" s="289"/>
      <c r="L1094" s="274"/>
      <c r="M1094" s="376">
        <v>1.5</v>
      </c>
    </row>
    <row r="1095" spans="1:13">
      <c r="A1095" s="686" t="s">
        <v>1139</v>
      </c>
      <c r="B1095" s="688" t="s">
        <v>1140</v>
      </c>
      <c r="C1095" s="688"/>
      <c r="D1095" s="688"/>
      <c r="E1095" s="689"/>
      <c r="F1095" s="620"/>
      <c r="G1095" s="195">
        <f>SHF!G58</f>
        <v>7.3173856373850432</v>
      </c>
      <c r="H1095" s="690"/>
      <c r="I1095" s="195">
        <f>SHF!I58</f>
        <v>8.4456204005780648</v>
      </c>
      <c r="J1095" s="269"/>
      <c r="K1095" s="289"/>
      <c r="L1095" s="274"/>
      <c r="M1095" s="376">
        <v>1</v>
      </c>
    </row>
    <row r="1096" spans="1:13">
      <c r="A1096" s="278" t="s">
        <v>1135</v>
      </c>
      <c r="B1096" s="262"/>
      <c r="C1096" s="262"/>
      <c r="D1096" s="262"/>
      <c r="E1096" s="263"/>
      <c r="F1096" s="279"/>
      <c r="G1096" s="280"/>
      <c r="H1096" s="264"/>
      <c r="I1096" s="279"/>
      <c r="J1096" s="264"/>
      <c r="K1096" s="289"/>
      <c r="L1096" s="274"/>
      <c r="M1096" s="708">
        <v>0.44999999999999996</v>
      </c>
    </row>
    <row r="1097" spans="1:13">
      <c r="A1097" s="25" t="s">
        <v>997</v>
      </c>
      <c r="B1097" s="26" t="s">
        <v>988</v>
      </c>
      <c r="C1097" s="26"/>
      <c r="D1097" s="26"/>
      <c r="E1097" s="27"/>
      <c r="F1097" s="197"/>
      <c r="G1097" s="211"/>
      <c r="H1097" s="195">
        <f>SHF!H62</f>
        <v>35.119199999999992</v>
      </c>
      <c r="I1097" s="197"/>
      <c r="J1097" s="195">
        <f>SHF!J62</f>
        <v>257.60072117968605</v>
      </c>
      <c r="K1097" s="289"/>
      <c r="L1097" s="274"/>
      <c r="M1097" s="268">
        <v>0.44999999999999996</v>
      </c>
    </row>
    <row r="1098" spans="1:13">
      <c r="A1098" s="25" t="s">
        <v>998</v>
      </c>
      <c r="B1098" s="26" t="s">
        <v>989</v>
      </c>
      <c r="C1098" s="26"/>
      <c r="D1098" s="26"/>
      <c r="E1098" s="27"/>
      <c r="F1098" s="197"/>
      <c r="G1098" s="211"/>
      <c r="H1098" s="195">
        <f>SHF!H63</f>
        <v>35.119199999999992</v>
      </c>
      <c r="I1098" s="197"/>
      <c r="J1098" s="195">
        <f>SHF!J63</f>
        <v>257.60072117968605</v>
      </c>
      <c r="K1098" s="289"/>
      <c r="L1098" s="274"/>
      <c r="M1098" s="376">
        <v>0.44999999999999996</v>
      </c>
    </row>
    <row r="1099" spans="1:13">
      <c r="A1099" s="25" t="s">
        <v>1004</v>
      </c>
      <c r="B1099" s="26" t="s">
        <v>1000</v>
      </c>
      <c r="C1099" s="26"/>
      <c r="D1099" s="26"/>
      <c r="E1099" s="27"/>
      <c r="F1099" s="197"/>
      <c r="G1099" s="211"/>
      <c r="H1099" s="195">
        <f>SHF!H67</f>
        <v>7.8192479999999991</v>
      </c>
      <c r="I1099" s="197"/>
      <c r="J1099" s="195">
        <f>SHF!J67</f>
        <v>71.663407919999983</v>
      </c>
      <c r="K1099" s="289"/>
      <c r="L1099" s="274"/>
      <c r="M1099" s="376">
        <v>0.09</v>
      </c>
    </row>
    <row r="1100" spans="1:13">
      <c r="A1100" s="25" t="s">
        <v>1005</v>
      </c>
      <c r="B1100" s="26" t="s">
        <v>1001</v>
      </c>
      <c r="C1100" s="26"/>
      <c r="D1100" s="26"/>
      <c r="E1100" s="27"/>
      <c r="F1100" s="197"/>
      <c r="G1100" s="211"/>
      <c r="H1100" s="195">
        <f>SHF!H68</f>
        <v>9.0222377142857191</v>
      </c>
      <c r="I1100" s="197"/>
      <c r="J1100" s="195">
        <f>SHF!J68</f>
        <v>82.688808651428602</v>
      </c>
      <c r="K1100" s="289"/>
      <c r="L1100" s="274"/>
      <c r="M1100" s="376">
        <v>0.09</v>
      </c>
    </row>
    <row r="1101" spans="1:13">
      <c r="A1101" s="25" t="s">
        <v>1006</v>
      </c>
      <c r="B1101" s="26" t="s">
        <v>211</v>
      </c>
      <c r="C1101" s="26"/>
      <c r="D1101" s="26"/>
      <c r="E1101" s="27"/>
      <c r="F1101" s="197"/>
      <c r="G1101" s="211"/>
      <c r="H1101" s="195">
        <f>SHF!H73</f>
        <v>19.850764639779044</v>
      </c>
      <c r="I1101" s="197"/>
      <c r="J1101" s="195">
        <f>SHF!J73</f>
        <v>73.367744311147007</v>
      </c>
      <c r="K1101" s="289"/>
      <c r="L1101" s="274"/>
      <c r="M1101" s="376">
        <v>0.44999999999999996</v>
      </c>
    </row>
    <row r="1102" spans="1:13">
      <c r="A1102" s="686" t="s">
        <v>1138</v>
      </c>
      <c r="B1102" s="688" t="s">
        <v>1141</v>
      </c>
      <c r="C1102" s="26"/>
      <c r="D1102" s="26"/>
      <c r="E1102" s="27"/>
      <c r="F1102" s="34"/>
      <c r="G1102" s="27"/>
      <c r="H1102" s="195">
        <f>SHF!H76</f>
        <v>7.3173856373850432</v>
      </c>
      <c r="I1102" s="620"/>
      <c r="J1102" s="195">
        <f>SHF!J76</f>
        <v>8.4456204005780648</v>
      </c>
      <c r="K1102" s="289"/>
      <c r="L1102" s="274"/>
      <c r="M1102" s="376">
        <v>0.3</v>
      </c>
    </row>
    <row r="1103" spans="1:13">
      <c r="A1103" s="290" t="s">
        <v>1137</v>
      </c>
      <c r="B1103" s="11"/>
      <c r="C1103" s="11"/>
      <c r="D1103" s="11"/>
      <c r="E1103" s="191"/>
      <c r="F1103" s="197"/>
      <c r="G1103" s="211"/>
      <c r="H1103" s="89"/>
      <c r="I1103" s="197"/>
      <c r="J1103" s="89"/>
      <c r="K1103" s="289"/>
      <c r="L1103" s="274"/>
      <c r="M1103" s="994">
        <v>0.44999999999999996</v>
      </c>
    </row>
    <row r="1104" spans="1:13">
      <c r="A1104" s="25" t="s">
        <v>1007</v>
      </c>
      <c r="B1104" s="26" t="s">
        <v>988</v>
      </c>
      <c r="C1104" s="26"/>
      <c r="D1104" s="26"/>
      <c r="E1104" s="27"/>
      <c r="F1104" s="195">
        <f>SHF!F80</f>
        <v>23.412799999999997</v>
      </c>
      <c r="G1104" s="211"/>
      <c r="H1104" s="34"/>
      <c r="I1104" s="195">
        <f>SHF!I80</f>
        <v>-11.21508</v>
      </c>
      <c r="J1104" s="195">
        <f>SHF!J80</f>
        <v>0</v>
      </c>
      <c r="K1104" s="289"/>
      <c r="L1104" s="274"/>
      <c r="M1104" s="376">
        <v>0.44999999999999996</v>
      </c>
    </row>
    <row r="1105" spans="1:13">
      <c r="A1105" s="25" t="s">
        <v>1008</v>
      </c>
      <c r="B1105" s="26" t="s">
        <v>989</v>
      </c>
      <c r="C1105" s="26"/>
      <c r="D1105" s="26"/>
      <c r="E1105" s="27"/>
      <c r="F1105" s="195">
        <f>SHF!F81</f>
        <v>23.412799999999997</v>
      </c>
      <c r="G1105" s="211"/>
      <c r="H1105" s="34"/>
      <c r="I1105" s="195">
        <f>SHF!I81</f>
        <v>11.21508</v>
      </c>
      <c r="J1105" s="195">
        <f>SHF!J81</f>
        <v>0</v>
      </c>
      <c r="K1105" s="289"/>
      <c r="L1105" s="274"/>
      <c r="M1105" s="268">
        <v>0.44999999999999996</v>
      </c>
    </row>
    <row r="1106" spans="1:13">
      <c r="A1106" s="25" t="s">
        <v>1009</v>
      </c>
      <c r="B1106" s="26" t="s">
        <v>1000</v>
      </c>
      <c r="C1106" s="26"/>
      <c r="D1106" s="26"/>
      <c r="E1106" s="27"/>
      <c r="F1106" s="195">
        <f>SHF!F85</f>
        <v>5.2128319999999997</v>
      </c>
      <c r="G1106" s="211"/>
      <c r="H1106" s="34"/>
      <c r="I1106" s="195">
        <f>SHF!I85</f>
        <v>-2.6064159999999998</v>
      </c>
      <c r="J1106" s="195">
        <f>SHF!J85</f>
        <v>-0.80845858450450414</v>
      </c>
      <c r="K1106" s="289"/>
      <c r="L1106" s="274"/>
      <c r="M1106" s="268">
        <v>0.09</v>
      </c>
    </row>
    <row r="1107" spans="1:13">
      <c r="A1107" s="25" t="s">
        <v>1010</v>
      </c>
      <c r="B1107" s="26" t="s">
        <v>1001</v>
      </c>
      <c r="C1107" s="26"/>
      <c r="D1107" s="26"/>
      <c r="E1107" s="27"/>
      <c r="F1107" s="195">
        <f>SHF!F86</f>
        <v>6.0148251428571458</v>
      </c>
      <c r="G1107" s="211"/>
      <c r="H1107" s="34"/>
      <c r="I1107" s="195">
        <f>SHF!I86</f>
        <v>3.0074125714285729</v>
      </c>
      <c r="J1107" s="195">
        <f>SHF!J86</f>
        <v>-0.93283977328185319</v>
      </c>
      <c r="K1107" s="289"/>
      <c r="L1107" s="274"/>
      <c r="M1107" s="268">
        <v>0.09</v>
      </c>
    </row>
    <row r="1108" spans="1:13">
      <c r="A1108" s="25" t="s">
        <v>1011</v>
      </c>
      <c r="B1108" s="26" t="s">
        <v>211</v>
      </c>
      <c r="C1108" s="26"/>
      <c r="D1108" s="26"/>
      <c r="E1108" s="27"/>
      <c r="F1108" s="195">
        <f>SHF!F91</f>
        <v>13.233843093186028</v>
      </c>
      <c r="G1108" s="211"/>
      <c r="H1108" s="197"/>
      <c r="I1108" s="195">
        <f>SHF!I91</f>
        <v>0</v>
      </c>
      <c r="J1108" s="195">
        <f>SHF!J91</f>
        <v>0</v>
      </c>
      <c r="K1108" s="289"/>
      <c r="L1108" s="274"/>
      <c r="M1108" s="268">
        <v>0.44999999999999996</v>
      </c>
    </row>
    <row r="1109" spans="1:13">
      <c r="A1109" s="253"/>
      <c r="B1109" s="15"/>
      <c r="C1109" s="15"/>
      <c r="D1109" s="15"/>
      <c r="E1109" s="22"/>
      <c r="F1109" s="212"/>
      <c r="G1109" s="213"/>
      <c r="H1109" s="198"/>
      <c r="I1109" s="198"/>
      <c r="J1109" s="58"/>
      <c r="K1109" s="74"/>
      <c r="L1109" s="277"/>
      <c r="M1109" s="379"/>
    </row>
    <row r="1110" spans="1:13">
      <c r="A1110" s="46"/>
      <c r="B1110" s="46"/>
      <c r="C1110" s="46"/>
      <c r="D1110" s="46"/>
      <c r="E1110" s="46"/>
      <c r="F1110" s="46"/>
      <c r="G1110" s="46"/>
      <c r="H1110" s="46"/>
      <c r="I1110" s="46"/>
      <c r="J1110" s="46"/>
      <c r="K1110" s="116"/>
      <c r="L1110" s="270"/>
      <c r="M1110" s="87"/>
    </row>
    <row r="1111" spans="1:13">
      <c r="A1111" s="220" t="s">
        <v>73</v>
      </c>
      <c r="B1111" s="220" t="s">
        <v>74</v>
      </c>
      <c r="C1111" s="200"/>
      <c r="D1111" s="200"/>
      <c r="E1111" s="217"/>
      <c r="F1111" s="1636" t="s">
        <v>72</v>
      </c>
      <c r="G1111" s="1637"/>
      <c r="H1111" s="1637"/>
      <c r="I1111" s="1637"/>
      <c r="J1111" s="1638"/>
      <c r="K1111" s="116"/>
      <c r="L1111" s="270"/>
      <c r="M1111" s="87"/>
    </row>
    <row r="1112" spans="1:13" ht="18">
      <c r="A1112" s="221"/>
      <c r="B1112" s="221"/>
      <c r="C1112" s="201"/>
      <c r="D1112" s="201"/>
      <c r="E1112" s="219"/>
      <c r="F1112" s="223" t="s">
        <v>23</v>
      </c>
      <c r="G1112" s="223" t="s">
        <v>87</v>
      </c>
      <c r="H1112" s="223" t="s">
        <v>212</v>
      </c>
      <c r="I1112" s="223" t="s">
        <v>80</v>
      </c>
      <c r="J1112" s="223" t="s">
        <v>81</v>
      </c>
      <c r="K1112" s="116"/>
      <c r="L1112" s="270"/>
      <c r="M1112" s="87"/>
    </row>
    <row r="1113" spans="1:13">
      <c r="A1113" s="222"/>
      <c r="B1113" s="222"/>
      <c r="C1113" s="203"/>
      <c r="D1113" s="203"/>
      <c r="E1113" s="218"/>
      <c r="F1113" s="204" t="s">
        <v>34</v>
      </c>
      <c r="G1113" s="204" t="s">
        <v>34</v>
      </c>
      <c r="H1113" s="203" t="s">
        <v>34</v>
      </c>
      <c r="I1113" s="204" t="s">
        <v>77</v>
      </c>
      <c r="J1113" s="204" t="s">
        <v>77</v>
      </c>
      <c r="K1113" s="116"/>
      <c r="L1113" s="270"/>
      <c r="M1113" s="87"/>
    </row>
    <row r="1114" spans="1:13">
      <c r="A1114" s="202"/>
      <c r="B1114" s="200"/>
      <c r="C1114" s="200"/>
      <c r="D1114" s="200"/>
      <c r="E1114" s="217"/>
      <c r="F1114" s="205"/>
      <c r="G1114" s="205"/>
      <c r="H1114" s="201"/>
      <c r="I1114" s="205"/>
      <c r="J1114" s="205"/>
      <c r="K1114" s="116"/>
      <c r="L1114" s="270"/>
      <c r="M1114" s="87"/>
    </row>
    <row r="1115" spans="1:13">
      <c r="A1115" s="205" t="str">
        <f>A1077</f>
        <v>LC-35</v>
      </c>
      <c r="B1115" s="201" t="str">
        <f>B1077</f>
        <v>LC-23 + Seismic Sx=1,Sz=0.3,Sy=0.3</v>
      </c>
      <c r="C1115" s="201"/>
      <c r="D1115" s="201"/>
      <c r="E1115" s="219"/>
      <c r="F1115" s="1054">
        <f>SUMPRODUCT(F1080:F1108,$M$1080:$M$1108)</f>
        <v>1082.8551685893524</v>
      </c>
      <c r="G1115" s="1055">
        <f>SUMPRODUCT(G1080:G1108,$M$1080:$M$1108)</f>
        <v>150.84857814216608</v>
      </c>
      <c r="H1115" s="1055">
        <f>SUMPRODUCT(H1080:H1108,$M$1080:$M$1108)</f>
        <v>45.021898645163319</v>
      </c>
      <c r="I1115" s="1055">
        <f>SUMPRODUCT(I1080:I1108,$M$1080:$M$1108)</f>
        <v>855.04681562964936</v>
      </c>
      <c r="J1115" s="1055">
        <f>SUMPRODUCT(J1080:J1108,$M$1080:$M$1108)</f>
        <v>278.04382900894547</v>
      </c>
      <c r="K1115" s="116"/>
      <c r="L1115" s="270"/>
      <c r="M1115" s="87"/>
    </row>
    <row r="1116" spans="1:13">
      <c r="A1116" s="204"/>
      <c r="B1116" s="203"/>
      <c r="C1116" s="203"/>
      <c r="D1116" s="203"/>
      <c r="E1116" s="218"/>
      <c r="F1116" s="204"/>
      <c r="G1116" s="204"/>
      <c r="H1116" s="203"/>
      <c r="I1116" s="204"/>
      <c r="J1116" s="204"/>
      <c r="K1116" s="116"/>
      <c r="L1116" s="270"/>
      <c r="M1116" s="87"/>
    </row>
    <row r="1117" spans="1:13">
      <c r="A1117" s="1"/>
      <c r="B1117" s="1"/>
      <c r="C1117" s="1"/>
      <c r="D1117" s="1"/>
      <c r="E1117" s="1"/>
      <c r="F1117" s="1"/>
      <c r="G1117" s="1"/>
      <c r="H1117" s="1"/>
      <c r="I1117" s="1"/>
      <c r="J1117" s="1"/>
      <c r="K1117" s="1"/>
      <c r="L1117" s="1"/>
      <c r="M1117" s="1"/>
    </row>
    <row r="1118" spans="1:13">
      <c r="A1118" s="1"/>
      <c r="B1118" s="1"/>
      <c r="C1118" s="1"/>
      <c r="D1118" s="1"/>
      <c r="E1118" s="1"/>
      <c r="F1118" s="1"/>
      <c r="G1118" s="1"/>
      <c r="H1118" s="1"/>
      <c r="I1118" s="1"/>
      <c r="J1118" s="1"/>
      <c r="K1118" s="1"/>
      <c r="L1118" s="1"/>
      <c r="M1118" s="1"/>
    </row>
    <row r="1119" spans="1:13">
      <c r="A1119" s="225" t="str">
        <f>M1119</f>
        <v>LC-36</v>
      </c>
      <c r="B1119" s="24" t="str">
        <f>VLOOKUP(A1119,LC_DEF_2!A3:B42,2,FALSE)</f>
        <v>LC-23 + Seismic Sx=0.3,Sz=1,Sy=0.3</v>
      </c>
      <c r="C1119" s="24"/>
      <c r="D1119" s="24"/>
      <c r="E1119" s="21"/>
      <c r="F1119" s="1599" t="s">
        <v>742</v>
      </c>
      <c r="G1119" s="1635"/>
      <c r="H1119" s="1635"/>
      <c r="I1119" s="1635"/>
      <c r="J1119" s="1600"/>
      <c r="K1119" s="73"/>
      <c r="L1119" s="272"/>
      <c r="M1119" s="384" t="s">
        <v>1173</v>
      </c>
    </row>
    <row r="1120" spans="1:13" ht="18">
      <c r="A1120" s="25" t="s">
        <v>73</v>
      </c>
      <c r="B1120" s="26" t="s">
        <v>74</v>
      </c>
      <c r="C1120" s="26"/>
      <c r="D1120" s="26"/>
      <c r="E1120" s="27"/>
      <c r="F1120" s="33" t="s">
        <v>23</v>
      </c>
      <c r="G1120" s="33" t="s">
        <v>87</v>
      </c>
      <c r="H1120" s="33" t="s">
        <v>212</v>
      </c>
      <c r="I1120" s="33" t="s">
        <v>80</v>
      </c>
      <c r="J1120" s="33" t="s">
        <v>81</v>
      </c>
      <c r="K1120" s="273"/>
      <c r="L1120" s="274"/>
      <c r="M1120" s="376"/>
    </row>
    <row r="1121" spans="1:13">
      <c r="A1121" s="25"/>
      <c r="B1121" s="26"/>
      <c r="C1121" s="26"/>
      <c r="D1121" s="26"/>
      <c r="E1121" s="27"/>
      <c r="F1121" s="36" t="s">
        <v>34</v>
      </c>
      <c r="G1121" s="36" t="s">
        <v>34</v>
      </c>
      <c r="H1121" s="36" t="s">
        <v>34</v>
      </c>
      <c r="I1121" s="36" t="s">
        <v>77</v>
      </c>
      <c r="J1121" s="36" t="s">
        <v>77</v>
      </c>
      <c r="K1121" s="74"/>
      <c r="L1121" s="277"/>
      <c r="M1121" s="655"/>
    </row>
    <row r="1122" spans="1:13">
      <c r="A1122" s="25" t="s">
        <v>88</v>
      </c>
      <c r="B1122" s="26" t="s">
        <v>75</v>
      </c>
      <c r="C1122" s="26"/>
      <c r="D1122" s="26"/>
      <c r="E1122" s="27"/>
      <c r="F1122" s="195">
        <f>SHF!F14</f>
        <v>165.42303866482536</v>
      </c>
      <c r="G1122" s="210"/>
      <c r="H1122" s="34"/>
      <c r="I1122" s="195">
        <f>SHF!I14</f>
        <v>0</v>
      </c>
      <c r="J1122" s="195">
        <f>SHF!J14</f>
        <v>0</v>
      </c>
      <c r="K1122" s="273"/>
      <c r="L1122" s="274"/>
      <c r="M1122" s="268">
        <v>1.35</v>
      </c>
    </row>
    <row r="1123" spans="1:13">
      <c r="A1123" s="25" t="s">
        <v>250</v>
      </c>
      <c r="B1123" s="26" t="s">
        <v>967</v>
      </c>
      <c r="C1123" s="26"/>
      <c r="D1123" s="26"/>
      <c r="E1123" s="27"/>
      <c r="F1123" s="195">
        <f>SHF!F17</f>
        <v>230</v>
      </c>
      <c r="G1123" s="210"/>
      <c r="H1123" s="34"/>
      <c r="I1123" s="195">
        <f>SHF!I17</f>
        <v>-115</v>
      </c>
      <c r="J1123" s="195">
        <f>SHF!J17</f>
        <v>0</v>
      </c>
      <c r="K1123" s="273"/>
      <c r="L1123" s="274"/>
      <c r="M1123" s="268">
        <v>1.35</v>
      </c>
    </row>
    <row r="1124" spans="1:13">
      <c r="A1124" s="25" t="s">
        <v>251</v>
      </c>
      <c r="B1124" s="26" t="s">
        <v>968</v>
      </c>
      <c r="C1124" s="26"/>
      <c r="D1124" s="26"/>
      <c r="E1124" s="27"/>
      <c r="F1124" s="195">
        <f>SHF!F18</f>
        <v>20.660000000000004</v>
      </c>
      <c r="G1124" s="210"/>
      <c r="H1124" s="34"/>
      <c r="I1124" s="195">
        <f>SHF!I18</f>
        <v>-10.330000000000002</v>
      </c>
      <c r="J1124" s="195">
        <f>SHF!J18</f>
        <v>0</v>
      </c>
      <c r="K1124" s="273"/>
      <c r="L1124" s="274"/>
      <c r="M1124" s="268">
        <v>1.35</v>
      </c>
    </row>
    <row r="1125" spans="1:13">
      <c r="A1125" s="25" t="s">
        <v>97</v>
      </c>
      <c r="B1125" s="26" t="s">
        <v>969</v>
      </c>
      <c r="C1125" s="26"/>
      <c r="D1125" s="26"/>
      <c r="E1125" s="27"/>
      <c r="F1125" s="195">
        <f>SHF!F19</f>
        <v>42</v>
      </c>
      <c r="G1125" s="210"/>
      <c r="H1125" s="34"/>
      <c r="I1125" s="195">
        <f>SHF!I19</f>
        <v>-14.858499999999999</v>
      </c>
      <c r="J1125" s="195">
        <f>SHF!J19</f>
        <v>0</v>
      </c>
      <c r="K1125" s="273"/>
      <c r="L1125" s="274"/>
      <c r="M1125" s="268">
        <v>1.35</v>
      </c>
    </row>
    <row r="1126" spans="1:13">
      <c r="A1126" s="25" t="s">
        <v>250</v>
      </c>
      <c r="B1126" s="26" t="s">
        <v>970</v>
      </c>
      <c r="C1126" s="26"/>
      <c r="D1126" s="26"/>
      <c r="E1126" s="27"/>
      <c r="F1126" s="195">
        <f>SHF!F21</f>
        <v>230</v>
      </c>
      <c r="G1126" s="210"/>
      <c r="H1126" s="34"/>
      <c r="I1126" s="195">
        <f>SHF!I21</f>
        <v>115</v>
      </c>
      <c r="J1126" s="195">
        <f>SHF!J21</f>
        <v>0</v>
      </c>
      <c r="K1126" s="273"/>
      <c r="L1126" s="274"/>
      <c r="M1126" s="376">
        <v>1.35</v>
      </c>
    </row>
    <row r="1127" spans="1:13">
      <c r="A1127" s="25" t="s">
        <v>251</v>
      </c>
      <c r="B1127" s="26" t="s">
        <v>971</v>
      </c>
      <c r="C1127" s="26"/>
      <c r="D1127" s="26"/>
      <c r="E1127" s="27"/>
      <c r="F1127" s="195">
        <f>SHF!F22</f>
        <v>20.660000000000004</v>
      </c>
      <c r="G1127" s="210"/>
      <c r="H1127" s="34"/>
      <c r="I1127" s="195">
        <f>SHF!I22</f>
        <v>10.330000000000002</v>
      </c>
      <c r="J1127" s="195">
        <f>SHF!J22</f>
        <v>0</v>
      </c>
      <c r="K1127" s="273"/>
      <c r="L1127" s="274"/>
      <c r="M1127" s="376">
        <v>1.35</v>
      </c>
    </row>
    <row r="1128" spans="1:13">
      <c r="A1128" s="25" t="s">
        <v>97</v>
      </c>
      <c r="B1128" s="26" t="s">
        <v>972</v>
      </c>
      <c r="C1128" s="26"/>
      <c r="D1128" s="26"/>
      <c r="E1128" s="27"/>
      <c r="F1128" s="195">
        <f>SHF!F23</f>
        <v>42</v>
      </c>
      <c r="G1128" s="210"/>
      <c r="H1128" s="34"/>
      <c r="I1128" s="195">
        <f>SHF!I23</f>
        <v>14.858499999999999</v>
      </c>
      <c r="J1128" s="195">
        <f>SHF!J23</f>
        <v>0</v>
      </c>
      <c r="K1128" s="273"/>
      <c r="L1128" s="274"/>
      <c r="M1128" s="376">
        <v>1.75</v>
      </c>
    </row>
    <row r="1129" spans="1:13">
      <c r="A1129" s="25" t="s">
        <v>976</v>
      </c>
      <c r="B1129" s="26" t="s">
        <v>978</v>
      </c>
      <c r="C1129" s="26"/>
      <c r="D1129" s="26"/>
      <c r="E1129" s="27"/>
      <c r="F1129" s="195">
        <f>SHF!F27</f>
        <v>65.160399999999996</v>
      </c>
      <c r="G1129" s="210"/>
      <c r="H1129" s="34"/>
      <c r="I1129" s="195">
        <f>SHF!I27</f>
        <v>-32.580199999999998</v>
      </c>
      <c r="J1129" s="195">
        <f>SHF!J27</f>
        <v>-10.105732306306301</v>
      </c>
      <c r="K1129" s="273"/>
      <c r="L1129" s="274"/>
      <c r="M1129" s="268">
        <v>0.2</v>
      </c>
    </row>
    <row r="1130" spans="1:13">
      <c r="A1130" s="25" t="s">
        <v>977</v>
      </c>
      <c r="B1130" s="26" t="s">
        <v>979</v>
      </c>
      <c r="C1130" s="26"/>
      <c r="D1130" s="26"/>
      <c r="E1130" s="27"/>
      <c r="F1130" s="195">
        <f>SHF!F28</f>
        <v>75.185314285714313</v>
      </c>
      <c r="G1130" s="210"/>
      <c r="H1130" s="34"/>
      <c r="I1130" s="195">
        <f>SHF!I28</f>
        <v>37.592657142857156</v>
      </c>
      <c r="J1130" s="195">
        <f>SHF!J28</f>
        <v>-11.660497166023164</v>
      </c>
      <c r="K1130" s="273"/>
      <c r="L1130" s="274"/>
      <c r="M1130" s="268">
        <v>0.2</v>
      </c>
    </row>
    <row r="1131" spans="1:13">
      <c r="A1131" s="686" t="s">
        <v>1128</v>
      </c>
      <c r="B1131" s="687"/>
      <c r="C1131" s="688"/>
      <c r="D1131" s="688"/>
      <c r="E1131" s="689"/>
      <c r="F1131" s="195">
        <f>SHF!F40</f>
        <v>-23.695433333970961</v>
      </c>
      <c r="G1131" s="689"/>
      <c r="H1131" s="690"/>
      <c r="I1131" s="195">
        <f>SHF!I40</f>
        <v>0</v>
      </c>
      <c r="J1131" s="195">
        <f>SHF!J40</f>
        <v>0</v>
      </c>
      <c r="K1131" s="273"/>
      <c r="L1131" s="274"/>
      <c r="M1131" s="376">
        <v>0.15</v>
      </c>
    </row>
    <row r="1132" spans="1:13">
      <c r="A1132" s="686" t="s">
        <v>1131</v>
      </c>
      <c r="B1132" s="687"/>
      <c r="C1132" s="688"/>
      <c r="D1132" s="688"/>
      <c r="E1132" s="689"/>
      <c r="F1132" s="690"/>
      <c r="G1132" s="195">
        <f>SHF!G44</f>
        <v>1.566445545112501</v>
      </c>
      <c r="H1132" s="195">
        <f>SHF!H44</f>
        <v>0.77082515176153144</v>
      </c>
      <c r="I1132" s="195">
        <f>SHF!I44</f>
        <v>2.5854696423507204</v>
      </c>
      <c r="J1132" s="195">
        <f>SHF!J44</f>
        <v>1.2722721422765415</v>
      </c>
      <c r="K1132" s="273"/>
      <c r="L1132" s="274"/>
      <c r="M1132" s="376">
        <v>1</v>
      </c>
    </row>
    <row r="1133" spans="1:13">
      <c r="A1133" s="278" t="s">
        <v>1132</v>
      </c>
      <c r="B1133" s="262"/>
      <c r="C1133" s="262"/>
      <c r="D1133" s="262"/>
      <c r="E1133" s="263"/>
      <c r="F1133" s="1052"/>
      <c r="G1133" s="1053"/>
      <c r="H1133" s="267"/>
      <c r="I1133" s="1052"/>
      <c r="J1133" s="267"/>
      <c r="K1133" s="289"/>
      <c r="L1133" s="274"/>
      <c r="M1133" s="412">
        <v>1.5</v>
      </c>
    </row>
    <row r="1134" spans="1:13">
      <c r="A1134" s="25" t="s">
        <v>991</v>
      </c>
      <c r="B1134" s="26" t="s">
        <v>989</v>
      </c>
      <c r="C1134" s="26"/>
      <c r="D1134" s="26"/>
      <c r="E1134" s="27"/>
      <c r="F1134" s="197"/>
      <c r="G1134" s="195">
        <f>SHF!G49</f>
        <v>70.238399999999984</v>
      </c>
      <c r="H1134" s="34"/>
      <c r="I1134" s="195">
        <f>SHF!I49</f>
        <v>455.14483200000001</v>
      </c>
      <c r="J1134" s="89"/>
      <c r="K1134" s="289"/>
      <c r="L1134" s="274"/>
      <c r="M1134" s="268">
        <v>0.44999999999999996</v>
      </c>
    </row>
    <row r="1135" spans="1:13">
      <c r="A1135" s="25" t="s">
        <v>994</v>
      </c>
      <c r="B1135" s="26" t="s">
        <v>996</v>
      </c>
      <c r="C1135" s="26"/>
      <c r="D1135" s="26"/>
      <c r="E1135" s="27"/>
      <c r="F1135" s="197"/>
      <c r="G1135" s="195">
        <f>SHF!G53</f>
        <v>4.5540000000000003</v>
      </c>
      <c r="H1135" s="34"/>
      <c r="I1135" s="195">
        <f>SHF!I53</f>
        <v>29.509920000000008</v>
      </c>
      <c r="J1135" s="89"/>
      <c r="K1135" s="289"/>
      <c r="L1135" s="274"/>
      <c r="M1135" s="376">
        <v>1.5</v>
      </c>
    </row>
    <row r="1136" spans="1:13">
      <c r="A1136" s="25" t="s">
        <v>217</v>
      </c>
      <c r="B1136" s="26" t="s">
        <v>211</v>
      </c>
      <c r="C1136" s="26"/>
      <c r="D1136" s="26"/>
      <c r="E1136" s="27"/>
      <c r="F1136" s="197"/>
      <c r="G1136" s="195">
        <f>SHF!G55</f>
        <v>19.850764639779044</v>
      </c>
      <c r="H1136" s="34"/>
      <c r="I1136" s="195">
        <f>SHF!I55</f>
        <v>73.367744311147007</v>
      </c>
      <c r="J1136" s="89"/>
      <c r="K1136" s="289"/>
      <c r="L1136" s="274"/>
      <c r="M1136" s="376">
        <v>0.44999999999999996</v>
      </c>
    </row>
    <row r="1137" spans="1:13">
      <c r="A1137" s="686" t="s">
        <v>1139</v>
      </c>
      <c r="B1137" s="688" t="s">
        <v>1140</v>
      </c>
      <c r="C1137" s="688"/>
      <c r="D1137" s="688"/>
      <c r="E1137" s="689"/>
      <c r="F1137" s="620"/>
      <c r="G1137" s="195">
        <f>SHF!G58</f>
        <v>7.3173856373850432</v>
      </c>
      <c r="H1137" s="690"/>
      <c r="I1137" s="195">
        <f>SHF!I58</f>
        <v>8.4456204005780648</v>
      </c>
      <c r="J1137" s="269"/>
      <c r="K1137" s="289"/>
      <c r="L1137" s="274"/>
      <c r="M1137" s="376">
        <v>0.3</v>
      </c>
    </row>
    <row r="1138" spans="1:13">
      <c r="A1138" s="278" t="s">
        <v>1135</v>
      </c>
      <c r="B1138" s="262"/>
      <c r="C1138" s="262"/>
      <c r="D1138" s="262"/>
      <c r="E1138" s="263"/>
      <c r="F1138" s="279"/>
      <c r="G1138" s="280"/>
      <c r="H1138" s="264"/>
      <c r="I1138" s="279"/>
      <c r="J1138" s="264"/>
      <c r="K1138" s="289"/>
      <c r="L1138" s="274"/>
      <c r="M1138" s="708">
        <v>1.5</v>
      </c>
    </row>
    <row r="1139" spans="1:13">
      <c r="A1139" s="25" t="s">
        <v>997</v>
      </c>
      <c r="B1139" s="26" t="s">
        <v>988</v>
      </c>
      <c r="C1139" s="26"/>
      <c r="D1139" s="26"/>
      <c r="E1139" s="27"/>
      <c r="F1139" s="197"/>
      <c r="G1139" s="211"/>
      <c r="H1139" s="195">
        <f>SHF!H62</f>
        <v>35.119199999999992</v>
      </c>
      <c r="I1139" s="197"/>
      <c r="J1139" s="195">
        <f>SHF!J62</f>
        <v>257.60072117968605</v>
      </c>
      <c r="K1139" s="289"/>
      <c r="L1139" s="274"/>
      <c r="M1139" s="268">
        <v>1.5</v>
      </c>
    </row>
    <row r="1140" spans="1:13">
      <c r="A1140" s="25" t="s">
        <v>998</v>
      </c>
      <c r="B1140" s="26" t="s">
        <v>989</v>
      </c>
      <c r="C1140" s="26"/>
      <c r="D1140" s="26"/>
      <c r="E1140" s="27"/>
      <c r="F1140" s="197"/>
      <c r="G1140" s="211"/>
      <c r="H1140" s="195">
        <f>SHF!H63</f>
        <v>35.119199999999992</v>
      </c>
      <c r="I1140" s="197"/>
      <c r="J1140" s="195">
        <f>SHF!J63</f>
        <v>257.60072117968605</v>
      </c>
      <c r="K1140" s="289"/>
      <c r="L1140" s="274"/>
      <c r="M1140" s="376">
        <v>1.5</v>
      </c>
    </row>
    <row r="1141" spans="1:13">
      <c r="A1141" s="25" t="s">
        <v>1004</v>
      </c>
      <c r="B1141" s="26" t="s">
        <v>1000</v>
      </c>
      <c r="C1141" s="26"/>
      <c r="D1141" s="26"/>
      <c r="E1141" s="27"/>
      <c r="F1141" s="197"/>
      <c r="G1141" s="211"/>
      <c r="H1141" s="195">
        <f>SHF!H67</f>
        <v>7.8192479999999991</v>
      </c>
      <c r="I1141" s="197"/>
      <c r="J1141" s="195">
        <f>SHF!J67</f>
        <v>71.663407919999983</v>
      </c>
      <c r="K1141" s="289"/>
      <c r="L1141" s="274"/>
      <c r="M1141" s="376">
        <v>0.30000000000000004</v>
      </c>
    </row>
    <row r="1142" spans="1:13">
      <c r="A1142" s="25" t="s">
        <v>1005</v>
      </c>
      <c r="B1142" s="26" t="s">
        <v>1001</v>
      </c>
      <c r="C1142" s="26"/>
      <c r="D1142" s="26"/>
      <c r="E1142" s="27"/>
      <c r="F1142" s="197"/>
      <c r="G1142" s="211"/>
      <c r="H1142" s="195">
        <f>SHF!H68</f>
        <v>9.0222377142857191</v>
      </c>
      <c r="I1142" s="197"/>
      <c r="J1142" s="195">
        <f>SHF!J68</f>
        <v>82.688808651428602</v>
      </c>
      <c r="K1142" s="289"/>
      <c r="L1142" s="274"/>
      <c r="M1142" s="376">
        <v>0.30000000000000004</v>
      </c>
    </row>
    <row r="1143" spans="1:13">
      <c r="A1143" s="25" t="s">
        <v>1006</v>
      </c>
      <c r="B1143" s="26" t="s">
        <v>211</v>
      </c>
      <c r="C1143" s="26"/>
      <c r="D1143" s="26"/>
      <c r="E1143" s="27"/>
      <c r="F1143" s="197"/>
      <c r="G1143" s="211"/>
      <c r="H1143" s="195">
        <f>SHF!H73</f>
        <v>19.850764639779044</v>
      </c>
      <c r="I1143" s="197"/>
      <c r="J1143" s="195">
        <f>SHF!J73</f>
        <v>73.367744311147007</v>
      </c>
      <c r="K1143" s="289"/>
      <c r="L1143" s="274"/>
      <c r="M1143" s="376">
        <v>1.5</v>
      </c>
    </row>
    <row r="1144" spans="1:13">
      <c r="A1144" s="686" t="s">
        <v>1138</v>
      </c>
      <c r="B1144" s="688" t="s">
        <v>1141</v>
      </c>
      <c r="C1144" s="26"/>
      <c r="D1144" s="26"/>
      <c r="E1144" s="27"/>
      <c r="F1144" s="34"/>
      <c r="G1144" s="27"/>
      <c r="H1144" s="195">
        <f>SHF!H76</f>
        <v>7.3173856373850432</v>
      </c>
      <c r="I1144" s="620"/>
      <c r="J1144" s="195">
        <f>SHF!J76</f>
        <v>8.4456204005780648</v>
      </c>
      <c r="K1144" s="289"/>
      <c r="L1144" s="274"/>
      <c r="M1144" s="376">
        <v>1</v>
      </c>
    </row>
    <row r="1145" spans="1:13">
      <c r="A1145" s="290" t="s">
        <v>1137</v>
      </c>
      <c r="B1145" s="11"/>
      <c r="C1145" s="11"/>
      <c r="D1145" s="11"/>
      <c r="E1145" s="191"/>
      <c r="F1145" s="197"/>
      <c r="G1145" s="211"/>
      <c r="H1145" s="89"/>
      <c r="I1145" s="197"/>
      <c r="J1145" s="89"/>
      <c r="K1145" s="289"/>
      <c r="L1145" s="274"/>
      <c r="M1145" s="994">
        <v>0.44999999999999996</v>
      </c>
    </row>
    <row r="1146" spans="1:13">
      <c r="A1146" s="25" t="s">
        <v>1007</v>
      </c>
      <c r="B1146" s="26" t="s">
        <v>988</v>
      </c>
      <c r="C1146" s="26"/>
      <c r="D1146" s="26"/>
      <c r="E1146" s="27"/>
      <c r="F1146" s="195">
        <f>SHF!F80</f>
        <v>23.412799999999997</v>
      </c>
      <c r="G1146" s="211"/>
      <c r="H1146" s="34"/>
      <c r="I1146" s="195">
        <f>SHF!I80</f>
        <v>-11.21508</v>
      </c>
      <c r="J1146" s="195">
        <f>SHF!J80</f>
        <v>0</v>
      </c>
      <c r="K1146" s="289"/>
      <c r="L1146" s="274"/>
      <c r="M1146" s="376">
        <v>0.44999999999999996</v>
      </c>
    </row>
    <row r="1147" spans="1:13">
      <c r="A1147" s="25" t="s">
        <v>1008</v>
      </c>
      <c r="B1147" s="26" t="s">
        <v>989</v>
      </c>
      <c r="C1147" s="26"/>
      <c r="D1147" s="26"/>
      <c r="E1147" s="27"/>
      <c r="F1147" s="195">
        <f>SHF!F81</f>
        <v>23.412799999999997</v>
      </c>
      <c r="G1147" s="211"/>
      <c r="H1147" s="34"/>
      <c r="I1147" s="195">
        <f>SHF!I81</f>
        <v>11.21508</v>
      </c>
      <c r="J1147" s="195">
        <f>SHF!J81</f>
        <v>0</v>
      </c>
      <c r="K1147" s="289"/>
      <c r="L1147" s="274"/>
      <c r="M1147" s="268">
        <v>0.44999999999999996</v>
      </c>
    </row>
    <row r="1148" spans="1:13">
      <c r="A1148" s="25" t="s">
        <v>1009</v>
      </c>
      <c r="B1148" s="26" t="s">
        <v>1000</v>
      </c>
      <c r="C1148" s="26"/>
      <c r="D1148" s="26"/>
      <c r="E1148" s="27"/>
      <c r="F1148" s="195">
        <f>SHF!F85</f>
        <v>5.2128319999999997</v>
      </c>
      <c r="G1148" s="211"/>
      <c r="H1148" s="34"/>
      <c r="I1148" s="195">
        <f>SHF!I85</f>
        <v>-2.6064159999999998</v>
      </c>
      <c r="J1148" s="195">
        <f>SHF!J85</f>
        <v>-0.80845858450450414</v>
      </c>
      <c r="K1148" s="289"/>
      <c r="L1148" s="274"/>
      <c r="M1148" s="268">
        <v>0.09</v>
      </c>
    </row>
    <row r="1149" spans="1:13">
      <c r="A1149" s="25" t="s">
        <v>1010</v>
      </c>
      <c r="B1149" s="26" t="s">
        <v>1001</v>
      </c>
      <c r="C1149" s="26"/>
      <c r="D1149" s="26"/>
      <c r="E1149" s="27"/>
      <c r="F1149" s="195">
        <f>SHF!F86</f>
        <v>6.0148251428571458</v>
      </c>
      <c r="G1149" s="211"/>
      <c r="H1149" s="34"/>
      <c r="I1149" s="195">
        <f>SHF!I86</f>
        <v>3.0074125714285729</v>
      </c>
      <c r="J1149" s="195">
        <f>SHF!J86</f>
        <v>-0.93283977328185319</v>
      </c>
      <c r="K1149" s="289"/>
      <c r="L1149" s="274"/>
      <c r="M1149" s="268">
        <v>0.09</v>
      </c>
    </row>
    <row r="1150" spans="1:13">
      <c r="A1150" s="25" t="s">
        <v>1011</v>
      </c>
      <c r="B1150" s="26" t="s">
        <v>211</v>
      </c>
      <c r="C1150" s="26"/>
      <c r="D1150" s="26"/>
      <c r="E1150" s="27"/>
      <c r="F1150" s="195">
        <f>SHF!F91</f>
        <v>13.233843093186028</v>
      </c>
      <c r="G1150" s="211"/>
      <c r="H1150" s="197"/>
      <c r="I1150" s="195">
        <f>SHF!I91</f>
        <v>0</v>
      </c>
      <c r="J1150" s="195">
        <f>SHF!J91</f>
        <v>0</v>
      </c>
      <c r="K1150" s="289"/>
      <c r="L1150" s="274"/>
      <c r="M1150" s="268">
        <v>0.44999999999999996</v>
      </c>
    </row>
    <row r="1151" spans="1:13">
      <c r="A1151" s="253"/>
      <c r="B1151" s="15"/>
      <c r="C1151" s="15"/>
      <c r="D1151" s="15"/>
      <c r="E1151" s="22"/>
      <c r="F1151" s="212"/>
      <c r="G1151" s="213"/>
      <c r="H1151" s="198"/>
      <c r="I1151" s="198"/>
      <c r="J1151" s="58"/>
      <c r="K1151" s="74"/>
      <c r="L1151" s="277"/>
      <c r="M1151" s="379"/>
    </row>
    <row r="1152" spans="1:13">
      <c r="A1152" s="46"/>
      <c r="B1152" s="46"/>
      <c r="C1152" s="46"/>
      <c r="D1152" s="46"/>
      <c r="E1152" s="46"/>
      <c r="F1152" s="46"/>
      <c r="G1152" s="46"/>
      <c r="H1152" s="46"/>
      <c r="I1152" s="46"/>
      <c r="J1152" s="46"/>
      <c r="K1152" s="116"/>
      <c r="L1152" s="270"/>
      <c r="M1152" s="87"/>
    </row>
    <row r="1153" spans="1:13">
      <c r="A1153" s="220" t="s">
        <v>73</v>
      </c>
      <c r="B1153" s="220" t="s">
        <v>74</v>
      </c>
      <c r="C1153" s="200"/>
      <c r="D1153" s="200"/>
      <c r="E1153" s="217"/>
      <c r="F1153" s="1636" t="s">
        <v>72</v>
      </c>
      <c r="G1153" s="1637"/>
      <c r="H1153" s="1637"/>
      <c r="I1153" s="1637"/>
      <c r="J1153" s="1638"/>
      <c r="K1153" s="116"/>
      <c r="L1153" s="270"/>
      <c r="M1153" s="87"/>
    </row>
    <row r="1154" spans="1:13" ht="18">
      <c r="A1154" s="221"/>
      <c r="B1154" s="221"/>
      <c r="C1154" s="201"/>
      <c r="D1154" s="201"/>
      <c r="E1154" s="219"/>
      <c r="F1154" s="223" t="s">
        <v>23</v>
      </c>
      <c r="G1154" s="223" t="s">
        <v>87</v>
      </c>
      <c r="H1154" s="223" t="s">
        <v>212</v>
      </c>
      <c r="I1154" s="223" t="s">
        <v>80</v>
      </c>
      <c r="J1154" s="223" t="s">
        <v>81</v>
      </c>
      <c r="K1154" s="116"/>
      <c r="L1154" s="270"/>
      <c r="M1154" s="87"/>
    </row>
    <row r="1155" spans="1:13">
      <c r="A1155" s="222"/>
      <c r="B1155" s="222"/>
      <c r="C1155" s="203"/>
      <c r="D1155" s="203"/>
      <c r="E1155" s="218"/>
      <c r="F1155" s="204" t="s">
        <v>34</v>
      </c>
      <c r="G1155" s="204" t="s">
        <v>34</v>
      </c>
      <c r="H1155" s="203" t="s">
        <v>34</v>
      </c>
      <c r="I1155" s="204" t="s">
        <v>77</v>
      </c>
      <c r="J1155" s="204" t="s">
        <v>77</v>
      </c>
      <c r="K1155" s="116"/>
      <c r="L1155" s="270"/>
      <c r="M1155" s="87"/>
    </row>
    <row r="1156" spans="1:13">
      <c r="A1156" s="202"/>
      <c r="B1156" s="200"/>
      <c r="C1156" s="200"/>
      <c r="D1156" s="200"/>
      <c r="E1156" s="217"/>
      <c r="F1156" s="205"/>
      <c r="G1156" s="205"/>
      <c r="H1156" s="201"/>
      <c r="I1156" s="205"/>
      <c r="J1156" s="205"/>
      <c r="K1156" s="116"/>
      <c r="L1156" s="270"/>
      <c r="M1156" s="87"/>
    </row>
    <row r="1157" spans="1:13">
      <c r="A1157" s="205" t="str">
        <f>A1119</f>
        <v>LC-36</v>
      </c>
      <c r="B1157" s="201" t="str">
        <f>B1119</f>
        <v>LC-23 + Seismic Sx=0.3,Sz=1,Sy=0.3</v>
      </c>
      <c r="C1157" s="201"/>
      <c r="D1157" s="201"/>
      <c r="E1157" s="219"/>
      <c r="F1157" s="1054">
        <f>SUMPRODUCT(F1122:F1150,$M$1122:$M$1150)</f>
        <v>1082.8551685893524</v>
      </c>
      <c r="G1157" s="1055">
        <f>SUMPRODUCT(G1122:G1150,$M$1122:$M$1150)</f>
        <v>51.132785324228578</v>
      </c>
      <c r="H1157" s="1055">
        <f>SUMPRODUCT(H1122:H1150,$M$1122:$M$1150)</f>
        <v>148.27440346310081</v>
      </c>
      <c r="I1157" s="1055">
        <f>SUMPRODUCT(I1122:I1150,$M$1122:$M$1150)</f>
        <v>294.1966762225403</v>
      </c>
      <c r="J1157" s="1055">
        <f>SUMPRODUCT(J1122:J1150,$M$1122:$M$1150)</f>
        <v>934.36737477339511</v>
      </c>
      <c r="K1157" s="116"/>
      <c r="L1157" s="270"/>
      <c r="M1157" s="87"/>
    </row>
    <row r="1158" spans="1:13">
      <c r="A1158" s="204"/>
      <c r="B1158" s="203"/>
      <c r="C1158" s="203"/>
      <c r="D1158" s="203"/>
      <c r="E1158" s="218"/>
      <c r="F1158" s="204"/>
      <c r="G1158" s="204"/>
      <c r="H1158" s="203"/>
      <c r="I1158" s="204"/>
      <c r="J1158" s="204"/>
      <c r="K1158" s="116"/>
      <c r="L1158" s="270"/>
      <c r="M1158" s="87"/>
    </row>
    <row r="1159" spans="1:13">
      <c r="A1159" s="1"/>
      <c r="B1159" s="1"/>
      <c r="C1159" s="1"/>
      <c r="D1159" s="1"/>
      <c r="E1159" s="1"/>
      <c r="F1159" s="1"/>
      <c r="G1159" s="1"/>
      <c r="H1159" s="1"/>
      <c r="I1159" s="1"/>
      <c r="J1159" s="1"/>
      <c r="K1159" s="1"/>
      <c r="L1159" s="1"/>
      <c r="M1159" s="1"/>
    </row>
    <row r="1160" spans="1:13">
      <c r="A1160" s="1"/>
      <c r="B1160" s="1"/>
      <c r="C1160" s="1"/>
      <c r="D1160" s="1"/>
      <c r="E1160" s="1"/>
      <c r="F1160" s="1"/>
      <c r="G1160" s="1"/>
      <c r="H1160" s="1"/>
      <c r="I1160" s="1"/>
      <c r="J1160" s="1"/>
      <c r="K1160" s="1"/>
      <c r="L1160" s="1"/>
      <c r="M1160" s="1"/>
    </row>
    <row r="1161" spans="1:13">
      <c r="A1161" s="225" t="str">
        <f>M1161</f>
        <v>LC-37</v>
      </c>
      <c r="B1161" s="24" t="str">
        <f>VLOOKUP(A1161,LC_DEF_2!A3:B42,2,FALSE)</f>
        <v>LC-24 + Seismic Sx=1,Sz=0.3,Sy=-0.3</v>
      </c>
      <c r="C1161" s="24"/>
      <c r="D1161" s="24"/>
      <c r="E1161" s="21"/>
      <c r="F1161" s="1599" t="s">
        <v>742</v>
      </c>
      <c r="G1161" s="1635"/>
      <c r="H1161" s="1635"/>
      <c r="I1161" s="1635"/>
      <c r="J1161" s="1600"/>
      <c r="K1161" s="73"/>
      <c r="L1161" s="272"/>
      <c r="M1161" s="384" t="s">
        <v>1174</v>
      </c>
    </row>
    <row r="1162" spans="1:13" ht="18">
      <c r="A1162" s="25" t="s">
        <v>73</v>
      </c>
      <c r="B1162" s="26" t="s">
        <v>74</v>
      </c>
      <c r="C1162" s="26"/>
      <c r="D1162" s="26"/>
      <c r="E1162" s="27"/>
      <c r="F1162" s="33" t="s">
        <v>23</v>
      </c>
      <c r="G1162" s="33" t="s">
        <v>87</v>
      </c>
      <c r="H1162" s="33" t="s">
        <v>212</v>
      </c>
      <c r="I1162" s="33" t="s">
        <v>80</v>
      </c>
      <c r="J1162" s="33" t="s">
        <v>81</v>
      </c>
      <c r="K1162" s="273"/>
      <c r="L1162" s="274"/>
      <c r="M1162" s="376"/>
    </row>
    <row r="1163" spans="1:13">
      <c r="A1163" s="25"/>
      <c r="B1163" s="26"/>
      <c r="C1163" s="26"/>
      <c r="D1163" s="26"/>
      <c r="E1163" s="27"/>
      <c r="F1163" s="36" t="s">
        <v>34</v>
      </c>
      <c r="G1163" s="36" t="s">
        <v>34</v>
      </c>
      <c r="H1163" s="36" t="s">
        <v>34</v>
      </c>
      <c r="I1163" s="36" t="s">
        <v>77</v>
      </c>
      <c r="J1163" s="36" t="s">
        <v>77</v>
      </c>
      <c r="K1163" s="74"/>
      <c r="L1163" s="277"/>
      <c r="M1163" s="655"/>
    </row>
    <row r="1164" spans="1:13">
      <c r="A1164" s="25" t="s">
        <v>88</v>
      </c>
      <c r="B1164" s="26" t="s">
        <v>75</v>
      </c>
      <c r="C1164" s="26"/>
      <c r="D1164" s="26"/>
      <c r="E1164" s="27"/>
      <c r="F1164" s="195">
        <f>SHF!F14</f>
        <v>165.42303866482536</v>
      </c>
      <c r="G1164" s="210"/>
      <c r="H1164" s="34"/>
      <c r="I1164" s="195">
        <f>SHF!I14</f>
        <v>0</v>
      </c>
      <c r="J1164" s="195">
        <f>SHF!J14</f>
        <v>0</v>
      </c>
      <c r="K1164" s="273"/>
      <c r="L1164" s="274"/>
      <c r="M1164" s="268">
        <v>1.35</v>
      </c>
    </row>
    <row r="1165" spans="1:13">
      <c r="A1165" s="25" t="s">
        <v>250</v>
      </c>
      <c r="B1165" s="26" t="s">
        <v>967</v>
      </c>
      <c r="C1165" s="26"/>
      <c r="D1165" s="26"/>
      <c r="E1165" s="27"/>
      <c r="F1165" s="195">
        <f>SHF!F17</f>
        <v>230</v>
      </c>
      <c r="G1165" s="210"/>
      <c r="H1165" s="34"/>
      <c r="I1165" s="195">
        <f>SHF!I17</f>
        <v>-115</v>
      </c>
      <c r="J1165" s="195">
        <f>SHF!J17</f>
        <v>0</v>
      </c>
      <c r="K1165" s="273"/>
      <c r="L1165" s="274"/>
      <c r="M1165" s="268">
        <v>1.35</v>
      </c>
    </row>
    <row r="1166" spans="1:13">
      <c r="A1166" s="25" t="s">
        <v>251</v>
      </c>
      <c r="B1166" s="26" t="s">
        <v>968</v>
      </c>
      <c r="C1166" s="26"/>
      <c r="D1166" s="26"/>
      <c r="E1166" s="27"/>
      <c r="F1166" s="195">
        <f>SHF!F18</f>
        <v>20.660000000000004</v>
      </c>
      <c r="G1166" s="210"/>
      <c r="H1166" s="34"/>
      <c r="I1166" s="195">
        <f>SHF!I18</f>
        <v>-10.330000000000002</v>
      </c>
      <c r="J1166" s="195">
        <f>SHF!J18</f>
        <v>0</v>
      </c>
      <c r="K1166" s="273"/>
      <c r="L1166" s="274"/>
      <c r="M1166" s="268">
        <v>1.35</v>
      </c>
    </row>
    <row r="1167" spans="1:13">
      <c r="A1167" s="25" t="s">
        <v>97</v>
      </c>
      <c r="B1167" s="26" t="s">
        <v>969</v>
      </c>
      <c r="C1167" s="26"/>
      <c r="D1167" s="26"/>
      <c r="E1167" s="27"/>
      <c r="F1167" s="195">
        <f>SHF!F19</f>
        <v>42</v>
      </c>
      <c r="G1167" s="210"/>
      <c r="H1167" s="34"/>
      <c r="I1167" s="195">
        <f>SHF!I19</f>
        <v>-14.858499999999999</v>
      </c>
      <c r="J1167" s="195">
        <f>SHF!J19</f>
        <v>0</v>
      </c>
      <c r="K1167" s="273"/>
      <c r="L1167" s="274"/>
      <c r="M1167" s="268">
        <v>1.35</v>
      </c>
    </row>
    <row r="1168" spans="1:13">
      <c r="A1168" s="25" t="s">
        <v>250</v>
      </c>
      <c r="B1168" s="26" t="s">
        <v>970</v>
      </c>
      <c r="C1168" s="26"/>
      <c r="D1168" s="26"/>
      <c r="E1168" s="27"/>
      <c r="F1168" s="195">
        <f>SHF!F21</f>
        <v>230</v>
      </c>
      <c r="G1168" s="210"/>
      <c r="H1168" s="34"/>
      <c r="I1168" s="195">
        <f>SHF!I21</f>
        <v>115</v>
      </c>
      <c r="J1168" s="195">
        <f>SHF!J21</f>
        <v>0</v>
      </c>
      <c r="K1168" s="273"/>
      <c r="L1168" s="274"/>
      <c r="M1168" s="376">
        <v>1.35</v>
      </c>
    </row>
    <row r="1169" spans="1:13">
      <c r="A1169" s="25" t="s">
        <v>251</v>
      </c>
      <c r="B1169" s="26" t="s">
        <v>971</v>
      </c>
      <c r="C1169" s="26"/>
      <c r="D1169" s="26"/>
      <c r="E1169" s="27"/>
      <c r="F1169" s="195">
        <f>SHF!F22</f>
        <v>20.660000000000004</v>
      </c>
      <c r="G1169" s="210"/>
      <c r="H1169" s="34"/>
      <c r="I1169" s="195">
        <f>SHF!I22</f>
        <v>10.330000000000002</v>
      </c>
      <c r="J1169" s="195">
        <f>SHF!J22</f>
        <v>0</v>
      </c>
      <c r="K1169" s="273"/>
      <c r="L1169" s="274"/>
      <c r="M1169" s="376">
        <v>1.35</v>
      </c>
    </row>
    <row r="1170" spans="1:13">
      <c r="A1170" s="25" t="s">
        <v>97</v>
      </c>
      <c r="B1170" s="26" t="s">
        <v>972</v>
      </c>
      <c r="C1170" s="26"/>
      <c r="D1170" s="26"/>
      <c r="E1170" s="27"/>
      <c r="F1170" s="195">
        <f>SHF!F23</f>
        <v>42</v>
      </c>
      <c r="G1170" s="210"/>
      <c r="H1170" s="34"/>
      <c r="I1170" s="195">
        <f>SHF!I23</f>
        <v>14.858499999999999</v>
      </c>
      <c r="J1170" s="195">
        <f>SHF!J23</f>
        <v>0</v>
      </c>
      <c r="K1170" s="273"/>
      <c r="L1170" s="274"/>
      <c r="M1170" s="376">
        <v>1.75</v>
      </c>
    </row>
    <row r="1171" spans="1:13">
      <c r="A1171" s="25" t="s">
        <v>976</v>
      </c>
      <c r="B1171" s="26" t="s">
        <v>981</v>
      </c>
      <c r="C1171" s="26"/>
      <c r="D1171" s="26"/>
      <c r="E1171" s="27"/>
      <c r="F1171" s="195">
        <f>SHF!F31</f>
        <v>0</v>
      </c>
      <c r="G1171" s="210"/>
      <c r="H1171" s="34"/>
      <c r="I1171" s="195">
        <f>SHF!I31</f>
        <v>0</v>
      </c>
      <c r="J1171" s="195">
        <f>SHF!J31</f>
        <v>0</v>
      </c>
      <c r="K1171" s="273"/>
      <c r="L1171" s="274"/>
      <c r="M1171" s="376">
        <v>0.2</v>
      </c>
    </row>
    <row r="1172" spans="1:13">
      <c r="A1172" s="25" t="s">
        <v>977</v>
      </c>
      <c r="B1172" s="26" t="s">
        <v>982</v>
      </c>
      <c r="C1172" s="26"/>
      <c r="D1172" s="26"/>
      <c r="E1172" s="27"/>
      <c r="F1172" s="195">
        <f>SHF!F32</f>
        <v>127.89948571428575</v>
      </c>
      <c r="G1172" s="210"/>
      <c r="H1172" s="34"/>
      <c r="I1172" s="195">
        <f>SHF!I32</f>
        <v>63.949742857142873</v>
      </c>
      <c r="J1172" s="195">
        <f>SHF!J32</f>
        <v>-19.835942761904757</v>
      </c>
      <c r="K1172" s="273"/>
      <c r="L1172" s="274"/>
      <c r="M1172" s="376">
        <v>0.2</v>
      </c>
    </row>
    <row r="1173" spans="1:13">
      <c r="A1173" s="686" t="s">
        <v>1128</v>
      </c>
      <c r="B1173" s="687"/>
      <c r="C1173" s="688"/>
      <c r="D1173" s="688"/>
      <c r="E1173" s="689"/>
      <c r="F1173" s="195">
        <f>SHF!F40</f>
        <v>-23.695433333970961</v>
      </c>
      <c r="G1173" s="689"/>
      <c r="H1173" s="690"/>
      <c r="I1173" s="195">
        <f>SHF!I40</f>
        <v>0</v>
      </c>
      <c r="J1173" s="195">
        <f>SHF!J40</f>
        <v>0</v>
      </c>
      <c r="K1173" s="273"/>
      <c r="L1173" s="274"/>
      <c r="M1173" s="376">
        <v>0.15</v>
      </c>
    </row>
    <row r="1174" spans="1:13">
      <c r="A1174" s="686" t="s">
        <v>1131</v>
      </c>
      <c r="B1174" s="687"/>
      <c r="C1174" s="688"/>
      <c r="D1174" s="688"/>
      <c r="E1174" s="689"/>
      <c r="F1174" s="690"/>
      <c r="G1174" s="195">
        <f>SHF!G44</f>
        <v>1.566445545112501</v>
      </c>
      <c r="H1174" s="195">
        <f>SHF!H44</f>
        <v>0.77082515176153144</v>
      </c>
      <c r="I1174" s="195">
        <f>SHF!I44</f>
        <v>2.5854696423507204</v>
      </c>
      <c r="J1174" s="195">
        <f>SHF!J44</f>
        <v>1.2722721422765415</v>
      </c>
      <c r="K1174" s="273"/>
      <c r="L1174" s="274"/>
      <c r="M1174" s="376">
        <v>1</v>
      </c>
    </row>
    <row r="1175" spans="1:13">
      <c r="A1175" s="278" t="s">
        <v>1132</v>
      </c>
      <c r="B1175" s="262"/>
      <c r="C1175" s="262"/>
      <c r="D1175" s="262"/>
      <c r="E1175" s="263"/>
      <c r="F1175" s="1052"/>
      <c r="G1175" s="1053"/>
      <c r="H1175" s="267"/>
      <c r="I1175" s="1052"/>
      <c r="J1175" s="267"/>
      <c r="K1175" s="289"/>
      <c r="L1175" s="274"/>
      <c r="M1175" s="412">
        <v>1.5</v>
      </c>
    </row>
    <row r="1176" spans="1:13">
      <c r="A1176" s="25" t="s">
        <v>991</v>
      </c>
      <c r="B1176" s="26" t="s">
        <v>989</v>
      </c>
      <c r="C1176" s="26"/>
      <c r="D1176" s="26"/>
      <c r="E1176" s="27"/>
      <c r="F1176" s="197"/>
      <c r="G1176" s="195">
        <f>SHF!G49</f>
        <v>70.238399999999984</v>
      </c>
      <c r="H1176" s="34"/>
      <c r="I1176" s="195">
        <f>SHF!I49</f>
        <v>455.14483200000001</v>
      </c>
      <c r="J1176" s="89"/>
      <c r="K1176" s="289"/>
      <c r="L1176" s="274"/>
      <c r="M1176" s="268">
        <v>1.5</v>
      </c>
    </row>
    <row r="1177" spans="1:13">
      <c r="A1177" s="25" t="s">
        <v>994</v>
      </c>
      <c r="B1177" s="26" t="s">
        <v>996</v>
      </c>
      <c r="C1177" s="26"/>
      <c r="D1177" s="26"/>
      <c r="E1177" s="27"/>
      <c r="F1177" s="197"/>
      <c r="G1177" s="195">
        <f>SHF!G53</f>
        <v>4.5540000000000003</v>
      </c>
      <c r="H1177" s="34"/>
      <c r="I1177" s="195">
        <f>SHF!I53</f>
        <v>29.509920000000008</v>
      </c>
      <c r="J1177" s="89"/>
      <c r="K1177" s="289"/>
      <c r="L1177" s="274"/>
      <c r="M1177" s="376">
        <v>1.5</v>
      </c>
    </row>
    <row r="1178" spans="1:13">
      <c r="A1178" s="25" t="s">
        <v>217</v>
      </c>
      <c r="B1178" s="26" t="s">
        <v>211</v>
      </c>
      <c r="C1178" s="26"/>
      <c r="D1178" s="26"/>
      <c r="E1178" s="27"/>
      <c r="F1178" s="197"/>
      <c r="G1178" s="195">
        <f>SHF!G55</f>
        <v>19.850764639779044</v>
      </c>
      <c r="H1178" s="34"/>
      <c r="I1178" s="195">
        <f>SHF!I55</f>
        <v>73.367744311147007</v>
      </c>
      <c r="J1178" s="89"/>
      <c r="K1178" s="289"/>
      <c r="L1178" s="274"/>
      <c r="M1178" s="376">
        <v>1.5</v>
      </c>
    </row>
    <row r="1179" spans="1:13">
      <c r="A1179" s="686" t="s">
        <v>1139</v>
      </c>
      <c r="B1179" s="688" t="s">
        <v>1140</v>
      </c>
      <c r="C1179" s="688"/>
      <c r="D1179" s="688"/>
      <c r="E1179" s="689"/>
      <c r="F1179" s="620"/>
      <c r="G1179" s="195">
        <f>SHF!G58</f>
        <v>7.3173856373850432</v>
      </c>
      <c r="H1179" s="690"/>
      <c r="I1179" s="195">
        <f>SHF!I58</f>
        <v>8.4456204005780648</v>
      </c>
      <c r="J1179" s="269"/>
      <c r="K1179" s="289"/>
      <c r="L1179" s="274"/>
      <c r="M1179" s="376">
        <v>1</v>
      </c>
    </row>
    <row r="1180" spans="1:13">
      <c r="A1180" s="278" t="s">
        <v>1135</v>
      </c>
      <c r="B1180" s="262"/>
      <c r="C1180" s="262"/>
      <c r="D1180" s="262"/>
      <c r="E1180" s="263"/>
      <c r="F1180" s="279"/>
      <c r="G1180" s="280"/>
      <c r="H1180" s="264"/>
      <c r="I1180" s="279"/>
      <c r="J1180" s="264"/>
      <c r="K1180" s="289"/>
      <c r="L1180" s="274"/>
      <c r="M1180" s="708">
        <v>0.44999999999999996</v>
      </c>
    </row>
    <row r="1181" spans="1:13">
      <c r="A1181" s="25" t="s">
        <v>997</v>
      </c>
      <c r="B1181" s="26" t="s">
        <v>988</v>
      </c>
      <c r="C1181" s="26"/>
      <c r="D1181" s="26"/>
      <c r="E1181" s="27"/>
      <c r="F1181" s="197"/>
      <c r="G1181" s="211"/>
      <c r="H1181" s="195">
        <f>SHF!H62</f>
        <v>35.119199999999992</v>
      </c>
      <c r="I1181" s="197"/>
      <c r="J1181" s="195">
        <f>SHF!J62</f>
        <v>257.60072117968605</v>
      </c>
      <c r="K1181" s="289"/>
      <c r="L1181" s="274"/>
      <c r="M1181" s="268">
        <v>0.44999999999999996</v>
      </c>
    </row>
    <row r="1182" spans="1:13">
      <c r="A1182" s="25" t="s">
        <v>998</v>
      </c>
      <c r="B1182" s="26" t="s">
        <v>989</v>
      </c>
      <c r="C1182" s="26"/>
      <c r="D1182" s="26"/>
      <c r="E1182" s="27"/>
      <c r="F1182" s="197"/>
      <c r="G1182" s="211"/>
      <c r="H1182" s="195">
        <f>SHF!H63</f>
        <v>35.119199999999992</v>
      </c>
      <c r="I1182" s="197"/>
      <c r="J1182" s="195">
        <f>SHF!J63</f>
        <v>257.60072117968605</v>
      </c>
      <c r="K1182" s="289"/>
      <c r="L1182" s="274"/>
      <c r="M1182" s="376">
        <v>0.44999999999999996</v>
      </c>
    </row>
    <row r="1183" spans="1:13">
      <c r="A1183" s="25" t="s">
        <v>1004</v>
      </c>
      <c r="B1183" s="26" t="s">
        <v>1000</v>
      </c>
      <c r="C1183" s="26"/>
      <c r="D1183" s="26"/>
      <c r="E1183" s="27"/>
      <c r="F1183" s="197"/>
      <c r="G1183" s="211"/>
      <c r="H1183" s="195">
        <f>SHF!H70</f>
        <v>0</v>
      </c>
      <c r="I1183" s="197"/>
      <c r="J1183" s="195">
        <f>SHF!J70</f>
        <v>0</v>
      </c>
      <c r="K1183" s="289"/>
      <c r="L1183" s="274"/>
      <c r="M1183" s="376">
        <v>0.09</v>
      </c>
    </row>
    <row r="1184" spans="1:13">
      <c r="A1184" s="25" t="s">
        <v>1005</v>
      </c>
      <c r="B1184" s="26" t="s">
        <v>1001</v>
      </c>
      <c r="C1184" s="26"/>
      <c r="D1184" s="26"/>
      <c r="E1184" s="27"/>
      <c r="F1184" s="197"/>
      <c r="G1184" s="211"/>
      <c r="H1184" s="195">
        <f>SHF!H71</f>
        <v>15.347938285714291</v>
      </c>
      <c r="I1184" s="197"/>
      <c r="J1184" s="195">
        <f>SHF!J71</f>
        <v>140.66385438857145</v>
      </c>
      <c r="K1184" s="289"/>
      <c r="L1184" s="274"/>
      <c r="M1184" s="376">
        <v>0.09</v>
      </c>
    </row>
    <row r="1185" spans="1:13">
      <c r="A1185" s="25" t="s">
        <v>1006</v>
      </c>
      <c r="B1185" s="26" t="s">
        <v>211</v>
      </c>
      <c r="C1185" s="26"/>
      <c r="D1185" s="26"/>
      <c r="E1185" s="27"/>
      <c r="F1185" s="197"/>
      <c r="G1185" s="211"/>
      <c r="H1185" s="195">
        <f>SHF!H73</f>
        <v>19.850764639779044</v>
      </c>
      <c r="I1185" s="197"/>
      <c r="J1185" s="195">
        <f>SHF!J73</f>
        <v>73.367744311147007</v>
      </c>
      <c r="K1185" s="289"/>
      <c r="L1185" s="274"/>
      <c r="M1185" s="376">
        <v>0.44999999999999996</v>
      </c>
    </row>
    <row r="1186" spans="1:13">
      <c r="A1186" s="686" t="s">
        <v>1138</v>
      </c>
      <c r="B1186" s="688" t="s">
        <v>1141</v>
      </c>
      <c r="C1186" s="26"/>
      <c r="D1186" s="26"/>
      <c r="E1186" s="27"/>
      <c r="F1186" s="34"/>
      <c r="G1186" s="27"/>
      <c r="H1186" s="195">
        <f>SHF!H76</f>
        <v>7.3173856373850432</v>
      </c>
      <c r="I1186" s="620"/>
      <c r="J1186" s="195">
        <f>SHF!J76</f>
        <v>8.4456204005780648</v>
      </c>
      <c r="K1186" s="289"/>
      <c r="L1186" s="274"/>
      <c r="M1186" s="376">
        <v>0.3</v>
      </c>
    </row>
    <row r="1187" spans="1:13">
      <c r="A1187" s="290" t="s">
        <v>1137</v>
      </c>
      <c r="B1187" s="11"/>
      <c r="C1187" s="11"/>
      <c r="D1187" s="11"/>
      <c r="E1187" s="191"/>
      <c r="F1187" s="197"/>
      <c r="G1187" s="211"/>
      <c r="H1187" s="89"/>
      <c r="I1187" s="197"/>
      <c r="J1187" s="89"/>
      <c r="K1187" s="289"/>
      <c r="L1187" s="274"/>
      <c r="M1187" s="994">
        <v>0.44999999999999996</v>
      </c>
    </row>
    <row r="1188" spans="1:13">
      <c r="A1188" s="25" t="s">
        <v>1007</v>
      </c>
      <c r="B1188" s="26" t="s">
        <v>988</v>
      </c>
      <c r="C1188" s="26"/>
      <c r="D1188" s="26"/>
      <c r="E1188" s="27"/>
      <c r="F1188" s="195">
        <f>SHF!F80</f>
        <v>23.412799999999997</v>
      </c>
      <c r="G1188" s="211"/>
      <c r="H1188" s="34"/>
      <c r="I1188" s="195">
        <f>SHF!I80</f>
        <v>-11.21508</v>
      </c>
      <c r="J1188" s="195">
        <f>SHF!J80</f>
        <v>0</v>
      </c>
      <c r="K1188" s="289"/>
      <c r="L1188" s="274"/>
      <c r="M1188" s="376">
        <v>-0.44999999999999996</v>
      </c>
    </row>
    <row r="1189" spans="1:13">
      <c r="A1189" s="25" t="s">
        <v>1008</v>
      </c>
      <c r="B1189" s="26" t="s">
        <v>989</v>
      </c>
      <c r="C1189" s="26"/>
      <c r="D1189" s="26"/>
      <c r="E1189" s="27"/>
      <c r="F1189" s="195">
        <f>SHF!F81</f>
        <v>23.412799999999997</v>
      </c>
      <c r="G1189" s="211"/>
      <c r="H1189" s="34"/>
      <c r="I1189" s="195">
        <f>SHF!I81</f>
        <v>11.21508</v>
      </c>
      <c r="J1189" s="195">
        <f>SHF!J81</f>
        <v>0</v>
      </c>
      <c r="K1189" s="289"/>
      <c r="L1189" s="274"/>
      <c r="M1189" s="268">
        <v>-0.44999999999999996</v>
      </c>
    </row>
    <row r="1190" spans="1:13">
      <c r="A1190" s="25" t="s">
        <v>1009</v>
      </c>
      <c r="B1190" s="26" t="s">
        <v>1000</v>
      </c>
      <c r="C1190" s="26"/>
      <c r="D1190" s="26"/>
      <c r="E1190" s="27"/>
      <c r="F1190" s="195">
        <f>SHF!F88</f>
        <v>0</v>
      </c>
      <c r="G1190" s="211"/>
      <c r="H1190" s="34"/>
      <c r="I1190" s="195">
        <f>SHF!I88</f>
        <v>0</v>
      </c>
      <c r="J1190" s="195">
        <f>SHF!J88</f>
        <v>0</v>
      </c>
      <c r="K1190" s="289"/>
      <c r="L1190" s="274"/>
      <c r="M1190" s="268">
        <v>-0.09</v>
      </c>
    </row>
    <row r="1191" spans="1:13">
      <c r="A1191" s="25" t="s">
        <v>1010</v>
      </c>
      <c r="B1191" s="26" t="s">
        <v>1001</v>
      </c>
      <c r="C1191" s="26"/>
      <c r="D1191" s="26"/>
      <c r="E1191" s="27"/>
      <c r="F1191" s="195">
        <f>SHF!F89</f>
        <v>10.231958857142859</v>
      </c>
      <c r="G1191" s="211"/>
      <c r="H1191" s="34"/>
      <c r="I1191" s="195">
        <f>SHF!I89</f>
        <v>5.1159794285714293</v>
      </c>
      <c r="J1191" s="195">
        <f>SHF!J89</f>
        <v>-1.5868754209523803</v>
      </c>
      <c r="K1191" s="289"/>
      <c r="L1191" s="274"/>
      <c r="M1191" s="268">
        <v>-0.09</v>
      </c>
    </row>
    <row r="1192" spans="1:13">
      <c r="A1192" s="25" t="s">
        <v>1011</v>
      </c>
      <c r="B1192" s="26" t="s">
        <v>211</v>
      </c>
      <c r="C1192" s="26"/>
      <c r="D1192" s="26"/>
      <c r="E1192" s="27"/>
      <c r="F1192" s="195">
        <f>SHF!F91</f>
        <v>13.233843093186028</v>
      </c>
      <c r="G1192" s="211"/>
      <c r="H1192" s="197"/>
      <c r="I1192" s="195">
        <f>SHF!I91</f>
        <v>0</v>
      </c>
      <c r="J1192" s="195">
        <f>SHF!J91</f>
        <v>0</v>
      </c>
      <c r="K1192" s="289"/>
      <c r="L1192" s="274"/>
      <c r="M1192" s="268">
        <v>-0.44999999999999996</v>
      </c>
    </row>
    <row r="1193" spans="1:13">
      <c r="A1193" s="253"/>
      <c r="B1193" s="15"/>
      <c r="C1193" s="15"/>
      <c r="D1193" s="15"/>
      <c r="E1193" s="22"/>
      <c r="F1193" s="212"/>
      <c r="G1193" s="213"/>
      <c r="H1193" s="198"/>
      <c r="I1193" s="198"/>
      <c r="J1193" s="58"/>
      <c r="K1193" s="74"/>
      <c r="L1193" s="277"/>
      <c r="M1193" s="379"/>
    </row>
    <row r="1194" spans="1:13">
      <c r="A1194" s="46"/>
      <c r="B1194" s="46"/>
      <c r="C1194" s="46"/>
      <c r="D1194" s="46"/>
      <c r="E1194" s="46"/>
      <c r="F1194" s="46"/>
      <c r="G1194" s="46"/>
      <c r="H1194" s="46"/>
      <c r="I1194" s="46"/>
      <c r="J1194" s="46"/>
      <c r="K1194" s="116"/>
      <c r="L1194" s="270"/>
      <c r="M1194" s="87"/>
    </row>
    <row r="1195" spans="1:13">
      <c r="A1195" s="220" t="s">
        <v>73</v>
      </c>
      <c r="B1195" s="220" t="s">
        <v>74</v>
      </c>
      <c r="C1195" s="200"/>
      <c r="D1195" s="200"/>
      <c r="E1195" s="217"/>
      <c r="F1195" s="1636" t="s">
        <v>72</v>
      </c>
      <c r="G1195" s="1637"/>
      <c r="H1195" s="1637"/>
      <c r="I1195" s="1637"/>
      <c r="J1195" s="1638"/>
      <c r="K1195" s="116"/>
      <c r="L1195" s="270"/>
      <c r="M1195" s="87"/>
    </row>
    <row r="1196" spans="1:13" ht="18">
      <c r="A1196" s="221"/>
      <c r="B1196" s="221"/>
      <c r="C1196" s="201"/>
      <c r="D1196" s="201"/>
      <c r="E1196" s="219"/>
      <c r="F1196" s="223" t="s">
        <v>23</v>
      </c>
      <c r="G1196" s="223" t="s">
        <v>87</v>
      </c>
      <c r="H1196" s="223" t="s">
        <v>212</v>
      </c>
      <c r="I1196" s="223" t="s">
        <v>80</v>
      </c>
      <c r="J1196" s="223" t="s">
        <v>81</v>
      </c>
      <c r="K1196" s="116"/>
      <c r="L1196" s="270"/>
      <c r="M1196" s="87"/>
    </row>
    <row r="1197" spans="1:13">
      <c r="A1197" s="222"/>
      <c r="B1197" s="222"/>
      <c r="C1197" s="203"/>
      <c r="D1197" s="203"/>
      <c r="E1197" s="218"/>
      <c r="F1197" s="204" t="s">
        <v>34</v>
      </c>
      <c r="G1197" s="204" t="s">
        <v>34</v>
      </c>
      <c r="H1197" s="203" t="s">
        <v>34</v>
      </c>
      <c r="I1197" s="204" t="s">
        <v>77</v>
      </c>
      <c r="J1197" s="204" t="s">
        <v>77</v>
      </c>
      <c r="K1197" s="116"/>
      <c r="L1197" s="270"/>
      <c r="M1197" s="87"/>
    </row>
    <row r="1198" spans="1:13">
      <c r="A1198" s="202"/>
      <c r="B1198" s="200"/>
      <c r="C1198" s="200"/>
      <c r="D1198" s="200"/>
      <c r="E1198" s="217"/>
      <c r="F1198" s="205"/>
      <c r="G1198" s="205"/>
      <c r="H1198" s="201"/>
      <c r="I1198" s="205"/>
      <c r="J1198" s="205"/>
      <c r="K1198" s="116"/>
      <c r="L1198" s="270"/>
      <c r="M1198" s="87"/>
    </row>
    <row r="1199" spans="1:13">
      <c r="A1199" s="205" t="str">
        <f>A1161</f>
        <v>LC-37</v>
      </c>
      <c r="B1199" s="201" t="str">
        <f>B1161</f>
        <v>LC-24 + Seismic Sx=1,Sz=0.3,Sy=-0.3</v>
      </c>
      <c r="C1199" s="201"/>
      <c r="D1199" s="201"/>
      <c r="E1199" s="219"/>
      <c r="F1199" s="1054">
        <f>SUMPRODUCT(F1164:F1192,$M$1164:$M$1192)</f>
        <v>1024.3810586511993</v>
      </c>
      <c r="G1199" s="1055">
        <f>SUMPRODUCT(G1164:G1192,$M$1164:$M$1192)</f>
        <v>150.84857814216608</v>
      </c>
      <c r="H1199" s="1055">
        <f>SUMPRODUCT(H1164:H1192,$M$1164:$M$1192)</f>
        <v>44.887479376591891</v>
      </c>
      <c r="I1199" s="1055">
        <f>SUMPRODUCT(I1164:I1192,$M$1164:$M$1192)</f>
        <v>866.33774493250644</v>
      </c>
      <c r="J1199" s="1055">
        <f>SUMPRODUCT(J1164:J1192,$M$1164:$M$1192)</f>
        <v>277.49746939465967</v>
      </c>
      <c r="K1199" s="116"/>
      <c r="L1199" s="270"/>
      <c r="M1199" s="87"/>
    </row>
    <row r="1200" spans="1:13">
      <c r="A1200" s="204"/>
      <c r="B1200" s="203"/>
      <c r="C1200" s="203"/>
      <c r="D1200" s="203"/>
      <c r="E1200" s="218"/>
      <c r="F1200" s="204"/>
      <c r="G1200" s="204"/>
      <c r="H1200" s="203"/>
      <c r="I1200" s="204"/>
      <c r="J1200" s="204"/>
      <c r="K1200" s="116"/>
      <c r="L1200" s="270"/>
      <c r="M1200" s="87"/>
    </row>
    <row r="1201" spans="1:13">
      <c r="A1201" s="1"/>
      <c r="B1201" s="1"/>
      <c r="C1201" s="1"/>
      <c r="D1201" s="1"/>
      <c r="E1201" s="1"/>
      <c r="F1201" s="1"/>
      <c r="G1201" s="1"/>
      <c r="H1201" s="1"/>
      <c r="I1201" s="1"/>
      <c r="J1201" s="1"/>
      <c r="K1201" s="1"/>
      <c r="L1201" s="1"/>
      <c r="M1201" s="1"/>
    </row>
    <row r="1202" spans="1:13">
      <c r="A1202" s="1"/>
      <c r="B1202" s="1"/>
      <c r="C1202" s="1"/>
      <c r="D1202" s="1"/>
      <c r="E1202" s="1"/>
      <c r="F1202" s="1"/>
      <c r="G1202" s="1"/>
      <c r="H1202" s="1"/>
      <c r="I1202" s="1"/>
      <c r="J1202" s="1"/>
      <c r="K1202" s="1"/>
      <c r="L1202" s="1"/>
      <c r="M1202" s="1"/>
    </row>
    <row r="1203" spans="1:13">
      <c r="A1203" s="225" t="str">
        <f>M1203</f>
        <v>LC-38</v>
      </c>
      <c r="B1203" s="24" t="str">
        <f>VLOOKUP(A1203,LC_DEF_2!A3:B42,2,FALSE)</f>
        <v>LC-24 + Seismic Sx=0.3,Sz=1,Sy=-0.3</v>
      </c>
      <c r="C1203" s="24"/>
      <c r="D1203" s="24"/>
      <c r="E1203" s="21"/>
      <c r="F1203" s="1599" t="s">
        <v>742</v>
      </c>
      <c r="G1203" s="1635"/>
      <c r="H1203" s="1635"/>
      <c r="I1203" s="1635"/>
      <c r="J1203" s="1600"/>
      <c r="K1203" s="73"/>
      <c r="L1203" s="272"/>
      <c r="M1203" s="384" t="s">
        <v>1175</v>
      </c>
    </row>
    <row r="1204" spans="1:13" ht="18">
      <c r="A1204" s="25" t="s">
        <v>73</v>
      </c>
      <c r="B1204" s="26" t="s">
        <v>74</v>
      </c>
      <c r="C1204" s="26"/>
      <c r="D1204" s="26"/>
      <c r="E1204" s="27"/>
      <c r="F1204" s="33" t="s">
        <v>23</v>
      </c>
      <c r="G1204" s="33" t="s">
        <v>87</v>
      </c>
      <c r="H1204" s="33" t="s">
        <v>212</v>
      </c>
      <c r="I1204" s="33" t="s">
        <v>80</v>
      </c>
      <c r="J1204" s="33" t="s">
        <v>81</v>
      </c>
      <c r="K1204" s="273"/>
      <c r="L1204" s="274"/>
      <c r="M1204" s="376"/>
    </row>
    <row r="1205" spans="1:13">
      <c r="A1205" s="25"/>
      <c r="B1205" s="26"/>
      <c r="C1205" s="26"/>
      <c r="D1205" s="26"/>
      <c r="E1205" s="27"/>
      <c r="F1205" s="36" t="s">
        <v>34</v>
      </c>
      <c r="G1205" s="36" t="s">
        <v>34</v>
      </c>
      <c r="H1205" s="36" t="s">
        <v>34</v>
      </c>
      <c r="I1205" s="36" t="s">
        <v>77</v>
      </c>
      <c r="J1205" s="36" t="s">
        <v>77</v>
      </c>
      <c r="K1205" s="74"/>
      <c r="L1205" s="277"/>
      <c r="M1205" s="655"/>
    </row>
    <row r="1206" spans="1:13">
      <c r="A1206" s="25" t="s">
        <v>88</v>
      </c>
      <c r="B1206" s="26" t="s">
        <v>75</v>
      </c>
      <c r="C1206" s="26"/>
      <c r="D1206" s="26"/>
      <c r="E1206" s="27"/>
      <c r="F1206" s="195">
        <f>SHF!F14</f>
        <v>165.42303866482536</v>
      </c>
      <c r="G1206" s="210"/>
      <c r="H1206" s="34"/>
      <c r="I1206" s="195">
        <f>SHF!I14</f>
        <v>0</v>
      </c>
      <c r="J1206" s="195">
        <f>SHF!J14</f>
        <v>0</v>
      </c>
      <c r="K1206" s="273"/>
      <c r="L1206" s="274"/>
      <c r="M1206" s="268">
        <v>1.35</v>
      </c>
    </row>
    <row r="1207" spans="1:13">
      <c r="A1207" s="25" t="s">
        <v>250</v>
      </c>
      <c r="B1207" s="26" t="s">
        <v>967</v>
      </c>
      <c r="C1207" s="26"/>
      <c r="D1207" s="26"/>
      <c r="E1207" s="27"/>
      <c r="F1207" s="195">
        <f>SHF!F17</f>
        <v>230</v>
      </c>
      <c r="G1207" s="210"/>
      <c r="H1207" s="34"/>
      <c r="I1207" s="195">
        <f>SHF!I17</f>
        <v>-115</v>
      </c>
      <c r="J1207" s="195">
        <f>SHF!J17</f>
        <v>0</v>
      </c>
      <c r="K1207" s="273"/>
      <c r="L1207" s="274"/>
      <c r="M1207" s="268">
        <v>1.35</v>
      </c>
    </row>
    <row r="1208" spans="1:13">
      <c r="A1208" s="25" t="s">
        <v>251</v>
      </c>
      <c r="B1208" s="26" t="s">
        <v>968</v>
      </c>
      <c r="C1208" s="26"/>
      <c r="D1208" s="26"/>
      <c r="E1208" s="27"/>
      <c r="F1208" s="195">
        <f>SHF!F18</f>
        <v>20.660000000000004</v>
      </c>
      <c r="G1208" s="210"/>
      <c r="H1208" s="34"/>
      <c r="I1208" s="195">
        <f>SHF!I18</f>
        <v>-10.330000000000002</v>
      </c>
      <c r="J1208" s="195">
        <f>SHF!J18</f>
        <v>0</v>
      </c>
      <c r="K1208" s="273"/>
      <c r="L1208" s="274"/>
      <c r="M1208" s="268">
        <v>1.35</v>
      </c>
    </row>
    <row r="1209" spans="1:13">
      <c r="A1209" s="25" t="s">
        <v>97</v>
      </c>
      <c r="B1209" s="26" t="s">
        <v>969</v>
      </c>
      <c r="C1209" s="26"/>
      <c r="D1209" s="26"/>
      <c r="E1209" s="27"/>
      <c r="F1209" s="195">
        <f>SHF!F19</f>
        <v>42</v>
      </c>
      <c r="G1209" s="210"/>
      <c r="H1209" s="34"/>
      <c r="I1209" s="195">
        <f>SHF!I19</f>
        <v>-14.858499999999999</v>
      </c>
      <c r="J1209" s="195">
        <f>SHF!J19</f>
        <v>0</v>
      </c>
      <c r="K1209" s="273"/>
      <c r="L1209" s="274"/>
      <c r="M1209" s="268">
        <v>1.35</v>
      </c>
    </row>
    <row r="1210" spans="1:13">
      <c r="A1210" s="25" t="s">
        <v>250</v>
      </c>
      <c r="B1210" s="26" t="s">
        <v>970</v>
      </c>
      <c r="C1210" s="26"/>
      <c r="D1210" s="26"/>
      <c r="E1210" s="27"/>
      <c r="F1210" s="195">
        <f>SHF!F21</f>
        <v>230</v>
      </c>
      <c r="G1210" s="210"/>
      <c r="H1210" s="34"/>
      <c r="I1210" s="195">
        <f>SHF!I21</f>
        <v>115</v>
      </c>
      <c r="J1210" s="195">
        <f>SHF!J21</f>
        <v>0</v>
      </c>
      <c r="K1210" s="273"/>
      <c r="L1210" s="274"/>
      <c r="M1210" s="376">
        <v>1.35</v>
      </c>
    </row>
    <row r="1211" spans="1:13">
      <c r="A1211" s="25" t="s">
        <v>251</v>
      </c>
      <c r="B1211" s="26" t="s">
        <v>971</v>
      </c>
      <c r="C1211" s="26"/>
      <c r="D1211" s="26"/>
      <c r="E1211" s="27"/>
      <c r="F1211" s="195">
        <f>SHF!F22</f>
        <v>20.660000000000004</v>
      </c>
      <c r="G1211" s="210"/>
      <c r="H1211" s="34"/>
      <c r="I1211" s="195">
        <f>SHF!I22</f>
        <v>10.330000000000002</v>
      </c>
      <c r="J1211" s="195">
        <f>SHF!J22</f>
        <v>0</v>
      </c>
      <c r="K1211" s="273"/>
      <c r="L1211" s="274"/>
      <c r="M1211" s="376">
        <v>1.35</v>
      </c>
    </row>
    <row r="1212" spans="1:13">
      <c r="A1212" s="25" t="s">
        <v>97</v>
      </c>
      <c r="B1212" s="26" t="s">
        <v>972</v>
      </c>
      <c r="C1212" s="26"/>
      <c r="D1212" s="26"/>
      <c r="E1212" s="27"/>
      <c r="F1212" s="195">
        <f>SHF!F23</f>
        <v>42</v>
      </c>
      <c r="G1212" s="210"/>
      <c r="H1212" s="34"/>
      <c r="I1212" s="195">
        <f>SHF!I23</f>
        <v>14.858499999999999</v>
      </c>
      <c r="J1212" s="195">
        <f>SHF!J23</f>
        <v>0</v>
      </c>
      <c r="K1212" s="273"/>
      <c r="L1212" s="274"/>
      <c r="M1212" s="376">
        <v>1.75</v>
      </c>
    </row>
    <row r="1213" spans="1:13">
      <c r="A1213" s="25" t="s">
        <v>976</v>
      </c>
      <c r="B1213" s="26" t="s">
        <v>981</v>
      </c>
      <c r="C1213" s="26"/>
      <c r="D1213" s="26"/>
      <c r="E1213" s="27"/>
      <c r="F1213" s="195">
        <f>SHF!F31</f>
        <v>0</v>
      </c>
      <c r="G1213" s="210"/>
      <c r="H1213" s="34"/>
      <c r="I1213" s="195">
        <f>SHF!I31</f>
        <v>0</v>
      </c>
      <c r="J1213" s="195">
        <f>SHF!J31</f>
        <v>0</v>
      </c>
      <c r="K1213" s="273"/>
      <c r="L1213" s="274"/>
      <c r="M1213" s="376">
        <v>0.2</v>
      </c>
    </row>
    <row r="1214" spans="1:13">
      <c r="A1214" s="25" t="s">
        <v>977</v>
      </c>
      <c r="B1214" s="26" t="s">
        <v>982</v>
      </c>
      <c r="C1214" s="26"/>
      <c r="D1214" s="26"/>
      <c r="E1214" s="27"/>
      <c r="F1214" s="195">
        <f>SHF!F32</f>
        <v>127.89948571428575</v>
      </c>
      <c r="G1214" s="210"/>
      <c r="H1214" s="34"/>
      <c r="I1214" s="195">
        <f>SHF!I32</f>
        <v>63.949742857142873</v>
      </c>
      <c r="J1214" s="195">
        <f>SHF!J32</f>
        <v>-19.835942761904757</v>
      </c>
      <c r="K1214" s="273"/>
      <c r="L1214" s="274"/>
      <c r="M1214" s="376">
        <v>0.2</v>
      </c>
    </row>
    <row r="1215" spans="1:13">
      <c r="A1215" s="686" t="s">
        <v>1128</v>
      </c>
      <c r="B1215" s="687"/>
      <c r="C1215" s="688"/>
      <c r="D1215" s="688"/>
      <c r="E1215" s="689"/>
      <c r="F1215" s="195">
        <f>SHF!F40</f>
        <v>-23.695433333970961</v>
      </c>
      <c r="G1215" s="689"/>
      <c r="H1215" s="690"/>
      <c r="I1215" s="195">
        <f>SHF!I40</f>
        <v>0</v>
      </c>
      <c r="J1215" s="195">
        <f>SHF!J40</f>
        <v>0</v>
      </c>
      <c r="K1215" s="273"/>
      <c r="L1215" s="274"/>
      <c r="M1215" s="376">
        <v>0.15</v>
      </c>
    </row>
    <row r="1216" spans="1:13">
      <c r="A1216" s="686" t="s">
        <v>1131</v>
      </c>
      <c r="B1216" s="687"/>
      <c r="C1216" s="688"/>
      <c r="D1216" s="688"/>
      <c r="E1216" s="689"/>
      <c r="F1216" s="690"/>
      <c r="G1216" s="195">
        <f>SHF!G44</f>
        <v>1.566445545112501</v>
      </c>
      <c r="H1216" s="195">
        <f>SHF!H44</f>
        <v>0.77082515176153144</v>
      </c>
      <c r="I1216" s="195">
        <f>SHF!I44</f>
        <v>2.5854696423507204</v>
      </c>
      <c r="J1216" s="195">
        <f>SHF!J44</f>
        <v>1.2722721422765415</v>
      </c>
      <c r="K1216" s="273"/>
      <c r="L1216" s="274"/>
      <c r="M1216" s="376">
        <v>1</v>
      </c>
    </row>
    <row r="1217" spans="1:13">
      <c r="A1217" s="278" t="s">
        <v>1132</v>
      </c>
      <c r="B1217" s="262"/>
      <c r="C1217" s="262"/>
      <c r="D1217" s="262"/>
      <c r="E1217" s="263"/>
      <c r="F1217" s="1052"/>
      <c r="G1217" s="1053"/>
      <c r="H1217" s="267"/>
      <c r="I1217" s="1052"/>
      <c r="J1217" s="267"/>
      <c r="K1217" s="289"/>
      <c r="L1217" s="274"/>
      <c r="M1217" s="412">
        <v>1.5</v>
      </c>
    </row>
    <row r="1218" spans="1:13">
      <c r="A1218" s="25" t="s">
        <v>991</v>
      </c>
      <c r="B1218" s="26" t="s">
        <v>989</v>
      </c>
      <c r="C1218" s="26"/>
      <c r="D1218" s="26"/>
      <c r="E1218" s="27"/>
      <c r="F1218" s="197"/>
      <c r="G1218" s="195">
        <f>SHF!G49</f>
        <v>70.238399999999984</v>
      </c>
      <c r="H1218" s="34"/>
      <c r="I1218" s="195">
        <f>SHF!I49</f>
        <v>455.14483200000001</v>
      </c>
      <c r="J1218" s="89"/>
      <c r="K1218" s="289"/>
      <c r="L1218" s="274"/>
      <c r="M1218" s="268">
        <v>0.44999999999999996</v>
      </c>
    </row>
    <row r="1219" spans="1:13">
      <c r="A1219" s="25" t="s">
        <v>994</v>
      </c>
      <c r="B1219" s="26" t="s">
        <v>996</v>
      </c>
      <c r="C1219" s="26"/>
      <c r="D1219" s="26"/>
      <c r="E1219" s="27"/>
      <c r="F1219" s="197"/>
      <c r="G1219" s="195">
        <f>SHF!G53</f>
        <v>4.5540000000000003</v>
      </c>
      <c r="H1219" s="34"/>
      <c r="I1219" s="195">
        <f>SHF!I53</f>
        <v>29.509920000000008</v>
      </c>
      <c r="J1219" s="89"/>
      <c r="K1219" s="289"/>
      <c r="L1219" s="274"/>
      <c r="M1219" s="376">
        <v>1.5</v>
      </c>
    </row>
    <row r="1220" spans="1:13">
      <c r="A1220" s="25" t="s">
        <v>217</v>
      </c>
      <c r="B1220" s="26" t="s">
        <v>211</v>
      </c>
      <c r="C1220" s="26"/>
      <c r="D1220" s="26"/>
      <c r="E1220" s="27"/>
      <c r="F1220" s="197"/>
      <c r="G1220" s="195">
        <f>SHF!G55</f>
        <v>19.850764639779044</v>
      </c>
      <c r="H1220" s="34"/>
      <c r="I1220" s="195">
        <f>SHF!I55</f>
        <v>73.367744311147007</v>
      </c>
      <c r="J1220" s="89"/>
      <c r="K1220" s="289"/>
      <c r="L1220" s="274"/>
      <c r="M1220" s="376">
        <v>0.44999999999999996</v>
      </c>
    </row>
    <row r="1221" spans="1:13">
      <c r="A1221" s="686" t="s">
        <v>1139</v>
      </c>
      <c r="B1221" s="688" t="s">
        <v>1140</v>
      </c>
      <c r="C1221" s="688"/>
      <c r="D1221" s="688"/>
      <c r="E1221" s="689"/>
      <c r="F1221" s="620"/>
      <c r="G1221" s="195">
        <f>SHF!G58</f>
        <v>7.3173856373850432</v>
      </c>
      <c r="H1221" s="690"/>
      <c r="I1221" s="195">
        <f>SHF!I58</f>
        <v>8.4456204005780648</v>
      </c>
      <c r="J1221" s="269"/>
      <c r="K1221" s="289"/>
      <c r="L1221" s="274"/>
      <c r="M1221" s="376">
        <v>0.3</v>
      </c>
    </row>
    <row r="1222" spans="1:13">
      <c r="A1222" s="278" t="s">
        <v>1135</v>
      </c>
      <c r="B1222" s="262"/>
      <c r="C1222" s="262"/>
      <c r="D1222" s="262"/>
      <c r="E1222" s="263"/>
      <c r="F1222" s="279"/>
      <c r="G1222" s="280"/>
      <c r="H1222" s="264"/>
      <c r="I1222" s="279"/>
      <c r="J1222" s="264"/>
      <c r="K1222" s="289"/>
      <c r="L1222" s="274"/>
      <c r="M1222" s="708">
        <v>1.5</v>
      </c>
    </row>
    <row r="1223" spans="1:13">
      <c r="A1223" s="25" t="s">
        <v>997</v>
      </c>
      <c r="B1223" s="26" t="s">
        <v>988</v>
      </c>
      <c r="C1223" s="26"/>
      <c r="D1223" s="26"/>
      <c r="E1223" s="27"/>
      <c r="F1223" s="197"/>
      <c r="G1223" s="211"/>
      <c r="H1223" s="195">
        <f>SHF!H62</f>
        <v>35.119199999999992</v>
      </c>
      <c r="I1223" s="197"/>
      <c r="J1223" s="195">
        <f>SHF!J62</f>
        <v>257.60072117968605</v>
      </c>
      <c r="K1223" s="289"/>
      <c r="L1223" s="274"/>
      <c r="M1223" s="268">
        <v>1.5</v>
      </c>
    </row>
    <row r="1224" spans="1:13">
      <c r="A1224" s="25" t="s">
        <v>998</v>
      </c>
      <c r="B1224" s="26" t="s">
        <v>989</v>
      </c>
      <c r="C1224" s="26"/>
      <c r="D1224" s="26"/>
      <c r="E1224" s="27"/>
      <c r="F1224" s="197"/>
      <c r="G1224" s="211"/>
      <c r="H1224" s="195">
        <f>SHF!H63</f>
        <v>35.119199999999992</v>
      </c>
      <c r="I1224" s="197"/>
      <c r="J1224" s="195">
        <f>SHF!J63</f>
        <v>257.60072117968605</v>
      </c>
      <c r="K1224" s="289"/>
      <c r="L1224" s="274"/>
      <c r="M1224" s="376">
        <v>1.5</v>
      </c>
    </row>
    <row r="1225" spans="1:13">
      <c r="A1225" s="25" t="s">
        <v>1004</v>
      </c>
      <c r="B1225" s="26" t="s">
        <v>1000</v>
      </c>
      <c r="C1225" s="26"/>
      <c r="D1225" s="26"/>
      <c r="E1225" s="27"/>
      <c r="F1225" s="197"/>
      <c r="G1225" s="211"/>
      <c r="H1225" s="195">
        <f>SHF!H70</f>
        <v>0</v>
      </c>
      <c r="I1225" s="197"/>
      <c r="J1225" s="195">
        <f>SHF!J70</f>
        <v>0</v>
      </c>
      <c r="K1225" s="289"/>
      <c r="L1225" s="274"/>
      <c r="M1225" s="376">
        <v>0.30000000000000004</v>
      </c>
    </row>
    <row r="1226" spans="1:13">
      <c r="A1226" s="25" t="s">
        <v>1005</v>
      </c>
      <c r="B1226" s="26" t="s">
        <v>1001</v>
      </c>
      <c r="C1226" s="26"/>
      <c r="D1226" s="26"/>
      <c r="E1226" s="27"/>
      <c r="F1226" s="197"/>
      <c r="G1226" s="211"/>
      <c r="H1226" s="195">
        <f>SHF!H71</f>
        <v>15.347938285714291</v>
      </c>
      <c r="I1226" s="197"/>
      <c r="J1226" s="195">
        <f>SHF!J71</f>
        <v>140.66385438857145</v>
      </c>
      <c r="K1226" s="289"/>
      <c r="L1226" s="274"/>
      <c r="M1226" s="376">
        <v>0.30000000000000004</v>
      </c>
    </row>
    <row r="1227" spans="1:13">
      <c r="A1227" s="25" t="s">
        <v>1006</v>
      </c>
      <c r="B1227" s="26" t="s">
        <v>211</v>
      </c>
      <c r="C1227" s="26"/>
      <c r="D1227" s="26"/>
      <c r="E1227" s="27"/>
      <c r="F1227" s="197"/>
      <c r="G1227" s="211"/>
      <c r="H1227" s="195">
        <f>SHF!H73</f>
        <v>19.850764639779044</v>
      </c>
      <c r="I1227" s="197"/>
      <c r="J1227" s="195">
        <f>SHF!J73</f>
        <v>73.367744311147007</v>
      </c>
      <c r="K1227" s="289"/>
      <c r="L1227" s="274"/>
      <c r="M1227" s="376">
        <v>1.5</v>
      </c>
    </row>
    <row r="1228" spans="1:13">
      <c r="A1228" s="686" t="s">
        <v>1138</v>
      </c>
      <c r="B1228" s="688" t="s">
        <v>1141</v>
      </c>
      <c r="C1228" s="26"/>
      <c r="D1228" s="26"/>
      <c r="E1228" s="27"/>
      <c r="F1228" s="34"/>
      <c r="G1228" s="27"/>
      <c r="H1228" s="195">
        <f>SHF!H76</f>
        <v>7.3173856373850432</v>
      </c>
      <c r="I1228" s="620"/>
      <c r="J1228" s="195">
        <f>SHF!J76</f>
        <v>8.4456204005780648</v>
      </c>
      <c r="K1228" s="289"/>
      <c r="L1228" s="274"/>
      <c r="M1228" s="376">
        <v>1</v>
      </c>
    </row>
    <row r="1229" spans="1:13">
      <c r="A1229" s="290" t="s">
        <v>1137</v>
      </c>
      <c r="B1229" s="11"/>
      <c r="C1229" s="11"/>
      <c r="D1229" s="11"/>
      <c r="E1229" s="191"/>
      <c r="F1229" s="197"/>
      <c r="G1229" s="211"/>
      <c r="H1229" s="89"/>
      <c r="I1229" s="197"/>
      <c r="J1229" s="89"/>
      <c r="K1229" s="289"/>
      <c r="L1229" s="274"/>
      <c r="M1229" s="994">
        <v>0.44999999999999996</v>
      </c>
    </row>
    <row r="1230" spans="1:13">
      <c r="A1230" s="25" t="s">
        <v>1007</v>
      </c>
      <c r="B1230" s="26" t="s">
        <v>988</v>
      </c>
      <c r="C1230" s="26"/>
      <c r="D1230" s="26"/>
      <c r="E1230" s="27"/>
      <c r="F1230" s="195">
        <f>SHF!F80</f>
        <v>23.412799999999997</v>
      </c>
      <c r="G1230" s="211"/>
      <c r="H1230" s="34"/>
      <c r="I1230" s="195">
        <f>SHF!I80</f>
        <v>-11.21508</v>
      </c>
      <c r="J1230" s="195">
        <f>SHF!J80</f>
        <v>0</v>
      </c>
      <c r="K1230" s="289"/>
      <c r="L1230" s="274"/>
      <c r="M1230" s="376">
        <v>-0.44999999999999996</v>
      </c>
    </row>
    <row r="1231" spans="1:13">
      <c r="A1231" s="25" t="s">
        <v>1008</v>
      </c>
      <c r="B1231" s="26" t="s">
        <v>989</v>
      </c>
      <c r="C1231" s="26"/>
      <c r="D1231" s="26"/>
      <c r="E1231" s="27"/>
      <c r="F1231" s="195">
        <f>SHF!F81</f>
        <v>23.412799999999997</v>
      </c>
      <c r="G1231" s="211"/>
      <c r="H1231" s="34"/>
      <c r="I1231" s="195">
        <f>SHF!I81</f>
        <v>11.21508</v>
      </c>
      <c r="J1231" s="195">
        <f>SHF!J81</f>
        <v>0</v>
      </c>
      <c r="K1231" s="289"/>
      <c r="L1231" s="274"/>
      <c r="M1231" s="268">
        <v>-0.44999999999999996</v>
      </c>
    </row>
    <row r="1232" spans="1:13">
      <c r="A1232" s="25" t="s">
        <v>1009</v>
      </c>
      <c r="B1232" s="26" t="s">
        <v>1000</v>
      </c>
      <c r="C1232" s="26"/>
      <c r="D1232" s="26"/>
      <c r="E1232" s="27"/>
      <c r="F1232" s="195">
        <f>SHF!F88</f>
        <v>0</v>
      </c>
      <c r="G1232" s="211"/>
      <c r="H1232" s="34"/>
      <c r="I1232" s="195">
        <f>SHF!I88</f>
        <v>0</v>
      </c>
      <c r="J1232" s="195">
        <f>SHF!J88</f>
        <v>0</v>
      </c>
      <c r="K1232" s="289"/>
      <c r="L1232" s="274"/>
      <c r="M1232" s="268">
        <v>-0.09</v>
      </c>
    </row>
    <row r="1233" spans="1:13">
      <c r="A1233" s="25" t="s">
        <v>1010</v>
      </c>
      <c r="B1233" s="26" t="s">
        <v>1001</v>
      </c>
      <c r="C1233" s="26"/>
      <c r="D1233" s="26"/>
      <c r="E1233" s="27"/>
      <c r="F1233" s="195">
        <f>SHF!F89</f>
        <v>10.231958857142859</v>
      </c>
      <c r="G1233" s="211"/>
      <c r="H1233" s="34"/>
      <c r="I1233" s="195">
        <f>SHF!I89</f>
        <v>5.1159794285714293</v>
      </c>
      <c r="J1233" s="195">
        <f>SHF!J89</f>
        <v>-1.5868754209523803</v>
      </c>
      <c r="K1233" s="289"/>
      <c r="L1233" s="274"/>
      <c r="M1233" s="268">
        <v>-0.09</v>
      </c>
    </row>
    <row r="1234" spans="1:13">
      <c r="A1234" s="25" t="s">
        <v>1011</v>
      </c>
      <c r="B1234" s="26" t="s">
        <v>211</v>
      </c>
      <c r="C1234" s="26"/>
      <c r="D1234" s="26"/>
      <c r="E1234" s="27"/>
      <c r="F1234" s="195">
        <f>SHF!F91</f>
        <v>13.233843093186028</v>
      </c>
      <c r="G1234" s="211"/>
      <c r="H1234" s="197"/>
      <c r="I1234" s="195">
        <f>SHF!I91</f>
        <v>0</v>
      </c>
      <c r="J1234" s="195">
        <f>SHF!J91</f>
        <v>0</v>
      </c>
      <c r="K1234" s="289"/>
      <c r="L1234" s="274"/>
      <c r="M1234" s="268">
        <v>-0.44999999999999996</v>
      </c>
    </row>
    <row r="1235" spans="1:13">
      <c r="A1235" s="253"/>
      <c r="B1235" s="15"/>
      <c r="C1235" s="15"/>
      <c r="D1235" s="15"/>
      <c r="E1235" s="22"/>
      <c r="F1235" s="212"/>
      <c r="G1235" s="213"/>
      <c r="H1235" s="198"/>
      <c r="I1235" s="198"/>
      <c r="J1235" s="58"/>
      <c r="K1235" s="74"/>
      <c r="L1235" s="277"/>
      <c r="M1235" s="379"/>
    </row>
    <row r="1236" spans="1:13">
      <c r="A1236" s="46"/>
      <c r="B1236" s="46"/>
      <c r="C1236" s="46"/>
      <c r="D1236" s="46"/>
      <c r="E1236" s="46"/>
      <c r="F1236" s="46"/>
      <c r="G1236" s="46"/>
      <c r="H1236" s="46"/>
      <c r="I1236" s="46"/>
      <c r="J1236" s="46"/>
      <c r="K1236" s="116"/>
      <c r="L1236" s="270"/>
      <c r="M1236" s="87"/>
    </row>
    <row r="1237" spans="1:13">
      <c r="A1237" s="220" t="s">
        <v>73</v>
      </c>
      <c r="B1237" s="220" t="s">
        <v>74</v>
      </c>
      <c r="C1237" s="200"/>
      <c r="D1237" s="200"/>
      <c r="E1237" s="217"/>
      <c r="F1237" s="1636" t="s">
        <v>72</v>
      </c>
      <c r="G1237" s="1637"/>
      <c r="H1237" s="1637"/>
      <c r="I1237" s="1637"/>
      <c r="J1237" s="1638"/>
      <c r="K1237" s="116"/>
      <c r="L1237" s="270"/>
      <c r="M1237" s="87"/>
    </row>
    <row r="1238" spans="1:13" ht="18">
      <c r="A1238" s="221"/>
      <c r="B1238" s="221"/>
      <c r="C1238" s="201"/>
      <c r="D1238" s="201"/>
      <c r="E1238" s="219"/>
      <c r="F1238" s="223" t="s">
        <v>23</v>
      </c>
      <c r="G1238" s="223" t="s">
        <v>87</v>
      </c>
      <c r="H1238" s="223" t="s">
        <v>212</v>
      </c>
      <c r="I1238" s="223" t="s">
        <v>80</v>
      </c>
      <c r="J1238" s="223" t="s">
        <v>81</v>
      </c>
      <c r="K1238" s="116"/>
      <c r="L1238" s="270"/>
      <c r="M1238" s="87"/>
    </row>
    <row r="1239" spans="1:13">
      <c r="A1239" s="222"/>
      <c r="B1239" s="222"/>
      <c r="C1239" s="203"/>
      <c r="D1239" s="203"/>
      <c r="E1239" s="218"/>
      <c r="F1239" s="204" t="s">
        <v>34</v>
      </c>
      <c r="G1239" s="204" t="s">
        <v>34</v>
      </c>
      <c r="H1239" s="203" t="s">
        <v>34</v>
      </c>
      <c r="I1239" s="204" t="s">
        <v>77</v>
      </c>
      <c r="J1239" s="204" t="s">
        <v>77</v>
      </c>
      <c r="K1239" s="116"/>
      <c r="L1239" s="270"/>
      <c r="M1239" s="87"/>
    </row>
    <row r="1240" spans="1:13">
      <c r="A1240" s="202"/>
      <c r="B1240" s="200"/>
      <c r="C1240" s="200"/>
      <c r="D1240" s="200"/>
      <c r="E1240" s="217"/>
      <c r="F1240" s="205"/>
      <c r="G1240" s="205"/>
      <c r="H1240" s="201"/>
      <c r="I1240" s="205"/>
      <c r="J1240" s="205"/>
      <c r="K1240" s="116"/>
      <c r="L1240" s="270"/>
      <c r="M1240" s="87"/>
    </row>
    <row r="1241" spans="1:13">
      <c r="A1241" s="205" t="str">
        <f>A1203</f>
        <v>LC-38</v>
      </c>
      <c r="B1241" s="201" t="str">
        <f>B1203</f>
        <v>LC-24 + Seismic Sx=0.3,Sz=1,Sy=-0.3</v>
      </c>
      <c r="C1241" s="201"/>
      <c r="D1241" s="201"/>
      <c r="E1241" s="219"/>
      <c r="F1241" s="1054">
        <f>SUMPRODUCT(F1206:F1234,$M$1206:$M$1234)</f>
        <v>1024.3810586511993</v>
      </c>
      <c r="G1241" s="1055">
        <f>SUMPRODUCT(G1206:G1234,$M$1206:$M$1234)</f>
        <v>51.132785324228578</v>
      </c>
      <c r="H1241" s="1055">
        <f>SUMPRODUCT(H1206:H1234,$M$1206:$M$1234)</f>
        <v>147.82633923452937</v>
      </c>
      <c r="I1241" s="1055">
        <f>SUMPRODUCT(I1206:I1234,$M$1206:$M$1234)</f>
        <v>305.48760552539744</v>
      </c>
      <c r="J1241" s="1055">
        <f>SUMPRODUCT(J1206:J1234,$M$1206:$M$1234)</f>
        <v>930.94645910070949</v>
      </c>
      <c r="K1241" s="116"/>
      <c r="L1241" s="270"/>
      <c r="M1241" s="87"/>
    </row>
    <row r="1242" spans="1:13">
      <c r="A1242" s="204"/>
      <c r="B1242" s="203"/>
      <c r="C1242" s="203"/>
      <c r="D1242" s="203"/>
      <c r="E1242" s="218"/>
      <c r="F1242" s="204"/>
      <c r="G1242" s="204"/>
      <c r="H1242" s="203"/>
      <c r="I1242" s="204"/>
      <c r="J1242" s="204"/>
      <c r="K1242" s="116"/>
      <c r="L1242" s="270"/>
      <c r="M1242" s="87"/>
    </row>
    <row r="1243" spans="1:13">
      <c r="A1243" s="1"/>
      <c r="B1243" s="1"/>
      <c r="C1243" s="1"/>
      <c r="D1243" s="1"/>
      <c r="E1243" s="1"/>
      <c r="F1243" s="1"/>
      <c r="G1243" s="1"/>
      <c r="H1243" s="1"/>
      <c r="I1243" s="1"/>
      <c r="J1243" s="1"/>
      <c r="K1243" s="1"/>
      <c r="L1243" s="1"/>
      <c r="M1243" s="1"/>
    </row>
    <row r="1244" spans="1:13">
      <c r="A1244" s="1"/>
      <c r="B1244" s="1"/>
      <c r="C1244" s="1"/>
      <c r="D1244" s="1"/>
      <c r="E1244" s="1"/>
      <c r="F1244" s="1"/>
      <c r="G1244" s="1"/>
      <c r="H1244" s="1"/>
      <c r="I1244" s="1"/>
      <c r="J1244" s="1"/>
      <c r="K1244" s="1"/>
      <c r="L1244" s="1"/>
      <c r="M1244" s="1"/>
    </row>
    <row r="1245" spans="1:13">
      <c r="A1245" s="225" t="str">
        <f>M1245</f>
        <v>LC-39</v>
      </c>
      <c r="B1245" s="24" t="str">
        <f>VLOOKUP(A1245,LC_DEF_2!A3:B42,2,FALSE)</f>
        <v>LC-24 + Seismic Sx=1,Sz=0.3,Sy=0.3</v>
      </c>
      <c r="C1245" s="24"/>
      <c r="D1245" s="24"/>
      <c r="E1245" s="21"/>
      <c r="F1245" s="1599" t="s">
        <v>742</v>
      </c>
      <c r="G1245" s="1635"/>
      <c r="H1245" s="1635"/>
      <c r="I1245" s="1635"/>
      <c r="J1245" s="1600"/>
      <c r="K1245" s="73"/>
      <c r="L1245" s="272"/>
      <c r="M1245" s="384" t="s">
        <v>1176</v>
      </c>
    </row>
    <row r="1246" spans="1:13" ht="18">
      <c r="A1246" s="25" t="s">
        <v>73</v>
      </c>
      <c r="B1246" s="26" t="s">
        <v>74</v>
      </c>
      <c r="C1246" s="26"/>
      <c r="D1246" s="26"/>
      <c r="E1246" s="27"/>
      <c r="F1246" s="33" t="s">
        <v>23</v>
      </c>
      <c r="G1246" s="33" t="s">
        <v>87</v>
      </c>
      <c r="H1246" s="33" t="s">
        <v>212</v>
      </c>
      <c r="I1246" s="33" t="s">
        <v>80</v>
      </c>
      <c r="J1246" s="33" t="s">
        <v>81</v>
      </c>
      <c r="K1246" s="273"/>
      <c r="L1246" s="274"/>
      <c r="M1246" s="376"/>
    </row>
    <row r="1247" spans="1:13">
      <c r="A1247" s="25"/>
      <c r="B1247" s="26"/>
      <c r="C1247" s="26"/>
      <c r="D1247" s="26"/>
      <c r="E1247" s="27"/>
      <c r="F1247" s="36" t="s">
        <v>34</v>
      </c>
      <c r="G1247" s="36" t="s">
        <v>34</v>
      </c>
      <c r="H1247" s="36" t="s">
        <v>34</v>
      </c>
      <c r="I1247" s="36" t="s">
        <v>77</v>
      </c>
      <c r="J1247" s="36" t="s">
        <v>77</v>
      </c>
      <c r="K1247" s="74"/>
      <c r="L1247" s="277"/>
      <c r="M1247" s="655"/>
    </row>
    <row r="1248" spans="1:13">
      <c r="A1248" s="25" t="s">
        <v>88</v>
      </c>
      <c r="B1248" s="26" t="s">
        <v>75</v>
      </c>
      <c r="C1248" s="26"/>
      <c r="D1248" s="26"/>
      <c r="E1248" s="27"/>
      <c r="F1248" s="195">
        <f>SHF!F14</f>
        <v>165.42303866482536</v>
      </c>
      <c r="G1248" s="210"/>
      <c r="H1248" s="34"/>
      <c r="I1248" s="195">
        <f>SHF!I14</f>
        <v>0</v>
      </c>
      <c r="J1248" s="195">
        <f>SHF!J14</f>
        <v>0</v>
      </c>
      <c r="K1248" s="273"/>
      <c r="L1248" s="274"/>
      <c r="M1248" s="268">
        <v>1.35</v>
      </c>
    </row>
    <row r="1249" spans="1:13">
      <c r="A1249" s="25" t="s">
        <v>250</v>
      </c>
      <c r="B1249" s="26" t="s">
        <v>967</v>
      </c>
      <c r="C1249" s="26"/>
      <c r="D1249" s="26"/>
      <c r="E1249" s="27"/>
      <c r="F1249" s="195">
        <f>SHF!F17</f>
        <v>230</v>
      </c>
      <c r="G1249" s="210"/>
      <c r="H1249" s="34"/>
      <c r="I1249" s="195">
        <f>SHF!I17</f>
        <v>-115</v>
      </c>
      <c r="J1249" s="195">
        <f>SHF!J17</f>
        <v>0</v>
      </c>
      <c r="K1249" s="273"/>
      <c r="L1249" s="274"/>
      <c r="M1249" s="268">
        <v>1.35</v>
      </c>
    </row>
    <row r="1250" spans="1:13">
      <c r="A1250" s="25" t="s">
        <v>251</v>
      </c>
      <c r="B1250" s="26" t="s">
        <v>968</v>
      </c>
      <c r="C1250" s="26"/>
      <c r="D1250" s="26"/>
      <c r="E1250" s="27"/>
      <c r="F1250" s="195">
        <f>SHF!F18</f>
        <v>20.660000000000004</v>
      </c>
      <c r="G1250" s="210"/>
      <c r="H1250" s="34"/>
      <c r="I1250" s="195">
        <f>SHF!I18</f>
        <v>-10.330000000000002</v>
      </c>
      <c r="J1250" s="195">
        <f>SHF!J18</f>
        <v>0</v>
      </c>
      <c r="K1250" s="273"/>
      <c r="L1250" s="274"/>
      <c r="M1250" s="268">
        <v>1.35</v>
      </c>
    </row>
    <row r="1251" spans="1:13">
      <c r="A1251" s="25" t="s">
        <v>97</v>
      </c>
      <c r="B1251" s="26" t="s">
        <v>969</v>
      </c>
      <c r="C1251" s="26"/>
      <c r="D1251" s="26"/>
      <c r="E1251" s="27"/>
      <c r="F1251" s="195">
        <f>SHF!F19</f>
        <v>42</v>
      </c>
      <c r="G1251" s="210"/>
      <c r="H1251" s="34"/>
      <c r="I1251" s="195">
        <f>SHF!I19</f>
        <v>-14.858499999999999</v>
      </c>
      <c r="J1251" s="195">
        <f>SHF!J19</f>
        <v>0</v>
      </c>
      <c r="K1251" s="273"/>
      <c r="L1251" s="274"/>
      <c r="M1251" s="268">
        <v>1.35</v>
      </c>
    </row>
    <row r="1252" spans="1:13">
      <c r="A1252" s="25" t="s">
        <v>250</v>
      </c>
      <c r="B1252" s="26" t="s">
        <v>970</v>
      </c>
      <c r="C1252" s="26"/>
      <c r="D1252" s="26"/>
      <c r="E1252" s="27"/>
      <c r="F1252" s="195">
        <f>SHF!F21</f>
        <v>230</v>
      </c>
      <c r="G1252" s="210"/>
      <c r="H1252" s="34"/>
      <c r="I1252" s="195">
        <f>SHF!I21</f>
        <v>115</v>
      </c>
      <c r="J1252" s="195">
        <f>SHF!J21</f>
        <v>0</v>
      </c>
      <c r="K1252" s="273"/>
      <c r="L1252" s="274"/>
      <c r="M1252" s="376">
        <v>1.35</v>
      </c>
    </row>
    <row r="1253" spans="1:13">
      <c r="A1253" s="25" t="s">
        <v>251</v>
      </c>
      <c r="B1253" s="26" t="s">
        <v>971</v>
      </c>
      <c r="C1253" s="26"/>
      <c r="D1253" s="26"/>
      <c r="E1253" s="27"/>
      <c r="F1253" s="195">
        <f>SHF!F22</f>
        <v>20.660000000000004</v>
      </c>
      <c r="G1253" s="210"/>
      <c r="H1253" s="34"/>
      <c r="I1253" s="195">
        <f>SHF!I22</f>
        <v>10.330000000000002</v>
      </c>
      <c r="J1253" s="195">
        <f>SHF!J22</f>
        <v>0</v>
      </c>
      <c r="K1253" s="273"/>
      <c r="L1253" s="274"/>
      <c r="M1253" s="376">
        <v>1.35</v>
      </c>
    </row>
    <row r="1254" spans="1:13">
      <c r="A1254" s="25" t="s">
        <v>97</v>
      </c>
      <c r="B1254" s="26" t="s">
        <v>972</v>
      </c>
      <c r="C1254" s="26"/>
      <c r="D1254" s="26"/>
      <c r="E1254" s="27"/>
      <c r="F1254" s="195">
        <f>SHF!F23</f>
        <v>42</v>
      </c>
      <c r="G1254" s="210"/>
      <c r="H1254" s="34"/>
      <c r="I1254" s="195">
        <f>SHF!I23</f>
        <v>14.858499999999999</v>
      </c>
      <c r="J1254" s="195">
        <f>SHF!J23</f>
        <v>0</v>
      </c>
      <c r="K1254" s="273"/>
      <c r="L1254" s="274"/>
      <c r="M1254" s="376">
        <v>1.75</v>
      </c>
    </row>
    <row r="1255" spans="1:13">
      <c r="A1255" s="25" t="s">
        <v>976</v>
      </c>
      <c r="B1255" s="26" t="s">
        <v>981</v>
      </c>
      <c r="C1255" s="26"/>
      <c r="D1255" s="26"/>
      <c r="E1255" s="27"/>
      <c r="F1255" s="195">
        <f>SHF!F31</f>
        <v>0</v>
      </c>
      <c r="G1255" s="210"/>
      <c r="H1255" s="34"/>
      <c r="I1255" s="195">
        <f>SHF!I31</f>
        <v>0</v>
      </c>
      <c r="J1255" s="195">
        <f>SHF!J31</f>
        <v>0</v>
      </c>
      <c r="K1255" s="273"/>
      <c r="L1255" s="274"/>
      <c r="M1255" s="376">
        <v>0.2</v>
      </c>
    </row>
    <row r="1256" spans="1:13">
      <c r="A1256" s="25" t="s">
        <v>977</v>
      </c>
      <c r="B1256" s="26" t="s">
        <v>982</v>
      </c>
      <c r="C1256" s="26"/>
      <c r="D1256" s="26"/>
      <c r="E1256" s="27"/>
      <c r="F1256" s="195">
        <f>SHF!F32</f>
        <v>127.89948571428575</v>
      </c>
      <c r="G1256" s="210"/>
      <c r="H1256" s="34"/>
      <c r="I1256" s="195">
        <f>SHF!I32</f>
        <v>63.949742857142873</v>
      </c>
      <c r="J1256" s="195">
        <f>SHF!J32</f>
        <v>-19.835942761904757</v>
      </c>
      <c r="K1256" s="273"/>
      <c r="L1256" s="274"/>
      <c r="M1256" s="376">
        <v>0.2</v>
      </c>
    </row>
    <row r="1257" spans="1:13">
      <c r="A1257" s="686" t="s">
        <v>1128</v>
      </c>
      <c r="B1257" s="687"/>
      <c r="C1257" s="688"/>
      <c r="D1257" s="688"/>
      <c r="E1257" s="689"/>
      <c r="F1257" s="195">
        <f>SHF!F40</f>
        <v>-23.695433333970961</v>
      </c>
      <c r="G1257" s="689"/>
      <c r="H1257" s="690"/>
      <c r="I1257" s="195">
        <f>SHF!I40</f>
        <v>0</v>
      </c>
      <c r="J1257" s="195">
        <f>SHF!J40</f>
        <v>0</v>
      </c>
      <c r="K1257" s="273"/>
      <c r="L1257" s="274"/>
      <c r="M1257" s="376">
        <v>0.15</v>
      </c>
    </row>
    <row r="1258" spans="1:13">
      <c r="A1258" s="686" t="s">
        <v>1131</v>
      </c>
      <c r="B1258" s="687"/>
      <c r="C1258" s="688"/>
      <c r="D1258" s="688"/>
      <c r="E1258" s="689"/>
      <c r="F1258" s="690"/>
      <c r="G1258" s="195">
        <f>SHF!G44</f>
        <v>1.566445545112501</v>
      </c>
      <c r="H1258" s="195">
        <f>SHF!H44</f>
        <v>0.77082515176153144</v>
      </c>
      <c r="I1258" s="195">
        <f>SHF!I44</f>
        <v>2.5854696423507204</v>
      </c>
      <c r="J1258" s="195">
        <f>SHF!J44</f>
        <v>1.2722721422765415</v>
      </c>
      <c r="K1258" s="273"/>
      <c r="L1258" s="274"/>
      <c r="M1258" s="376">
        <v>1</v>
      </c>
    </row>
    <row r="1259" spans="1:13">
      <c r="A1259" s="278" t="s">
        <v>1132</v>
      </c>
      <c r="B1259" s="262"/>
      <c r="C1259" s="262"/>
      <c r="D1259" s="262"/>
      <c r="E1259" s="263"/>
      <c r="F1259" s="1052"/>
      <c r="G1259" s="1053"/>
      <c r="H1259" s="267"/>
      <c r="I1259" s="1052"/>
      <c r="J1259" s="267"/>
      <c r="K1259" s="289"/>
      <c r="L1259" s="274"/>
      <c r="M1259" s="412">
        <v>1.5</v>
      </c>
    </row>
    <row r="1260" spans="1:13">
      <c r="A1260" s="25" t="s">
        <v>991</v>
      </c>
      <c r="B1260" s="26" t="s">
        <v>989</v>
      </c>
      <c r="C1260" s="26"/>
      <c r="D1260" s="26"/>
      <c r="E1260" s="27"/>
      <c r="F1260" s="197"/>
      <c r="G1260" s="195">
        <f>SHF!G49</f>
        <v>70.238399999999984</v>
      </c>
      <c r="H1260" s="34"/>
      <c r="I1260" s="195">
        <f>SHF!I49</f>
        <v>455.14483200000001</v>
      </c>
      <c r="J1260" s="89"/>
      <c r="K1260" s="289"/>
      <c r="L1260" s="274"/>
      <c r="M1260" s="268">
        <v>1.5</v>
      </c>
    </row>
    <row r="1261" spans="1:13">
      <c r="A1261" s="25" t="s">
        <v>994</v>
      </c>
      <c r="B1261" s="26" t="s">
        <v>996</v>
      </c>
      <c r="C1261" s="26"/>
      <c r="D1261" s="26"/>
      <c r="E1261" s="27"/>
      <c r="F1261" s="197"/>
      <c r="G1261" s="195">
        <f>SHF!G53</f>
        <v>4.5540000000000003</v>
      </c>
      <c r="H1261" s="34"/>
      <c r="I1261" s="195">
        <f>SHF!I53</f>
        <v>29.509920000000008</v>
      </c>
      <c r="J1261" s="89"/>
      <c r="K1261" s="289"/>
      <c r="L1261" s="274"/>
      <c r="M1261" s="376">
        <v>1.5</v>
      </c>
    </row>
    <row r="1262" spans="1:13">
      <c r="A1262" s="25" t="s">
        <v>217</v>
      </c>
      <c r="B1262" s="26" t="s">
        <v>211</v>
      </c>
      <c r="C1262" s="26"/>
      <c r="D1262" s="26"/>
      <c r="E1262" s="27"/>
      <c r="F1262" s="197"/>
      <c r="G1262" s="195">
        <f>SHF!G55</f>
        <v>19.850764639779044</v>
      </c>
      <c r="H1262" s="34"/>
      <c r="I1262" s="195">
        <f>SHF!I55</f>
        <v>73.367744311147007</v>
      </c>
      <c r="J1262" s="89"/>
      <c r="K1262" s="289"/>
      <c r="L1262" s="274"/>
      <c r="M1262" s="376">
        <v>1.5</v>
      </c>
    </row>
    <row r="1263" spans="1:13">
      <c r="A1263" s="686" t="s">
        <v>1139</v>
      </c>
      <c r="B1263" s="688" t="s">
        <v>1140</v>
      </c>
      <c r="C1263" s="688"/>
      <c r="D1263" s="688"/>
      <c r="E1263" s="689"/>
      <c r="F1263" s="620"/>
      <c r="G1263" s="195">
        <f>SHF!G58</f>
        <v>7.3173856373850432</v>
      </c>
      <c r="H1263" s="690"/>
      <c r="I1263" s="195">
        <f>SHF!I58</f>
        <v>8.4456204005780648</v>
      </c>
      <c r="J1263" s="269"/>
      <c r="K1263" s="289"/>
      <c r="L1263" s="274"/>
      <c r="M1263" s="376">
        <v>1</v>
      </c>
    </row>
    <row r="1264" spans="1:13">
      <c r="A1264" s="278" t="s">
        <v>1135</v>
      </c>
      <c r="B1264" s="262"/>
      <c r="C1264" s="262"/>
      <c r="D1264" s="262"/>
      <c r="E1264" s="263"/>
      <c r="F1264" s="279"/>
      <c r="G1264" s="280"/>
      <c r="H1264" s="264"/>
      <c r="I1264" s="279"/>
      <c r="J1264" s="264"/>
      <c r="K1264" s="289"/>
      <c r="L1264" s="274"/>
      <c r="M1264" s="708">
        <v>0.44999999999999996</v>
      </c>
    </row>
    <row r="1265" spans="1:13">
      <c r="A1265" s="25" t="s">
        <v>997</v>
      </c>
      <c r="B1265" s="26" t="s">
        <v>988</v>
      </c>
      <c r="C1265" s="26"/>
      <c r="D1265" s="26"/>
      <c r="E1265" s="27"/>
      <c r="F1265" s="197"/>
      <c r="G1265" s="211"/>
      <c r="H1265" s="195">
        <f>SHF!H62</f>
        <v>35.119199999999992</v>
      </c>
      <c r="I1265" s="197"/>
      <c r="J1265" s="195">
        <f>SHF!J62</f>
        <v>257.60072117968605</v>
      </c>
      <c r="K1265" s="289"/>
      <c r="L1265" s="274"/>
      <c r="M1265" s="268">
        <v>0.44999999999999996</v>
      </c>
    </row>
    <row r="1266" spans="1:13">
      <c r="A1266" s="25" t="s">
        <v>998</v>
      </c>
      <c r="B1266" s="26" t="s">
        <v>989</v>
      </c>
      <c r="C1266" s="26"/>
      <c r="D1266" s="26"/>
      <c r="E1266" s="27"/>
      <c r="F1266" s="197"/>
      <c r="G1266" s="211"/>
      <c r="H1266" s="195">
        <f>SHF!H63</f>
        <v>35.119199999999992</v>
      </c>
      <c r="I1266" s="197"/>
      <c r="J1266" s="195">
        <f>SHF!J63</f>
        <v>257.60072117968605</v>
      </c>
      <c r="K1266" s="289"/>
      <c r="L1266" s="274"/>
      <c r="M1266" s="376">
        <v>0.44999999999999996</v>
      </c>
    </row>
    <row r="1267" spans="1:13">
      <c r="A1267" s="25" t="s">
        <v>1004</v>
      </c>
      <c r="B1267" s="26" t="s">
        <v>1000</v>
      </c>
      <c r="C1267" s="26"/>
      <c r="D1267" s="26"/>
      <c r="E1267" s="27"/>
      <c r="F1267" s="197"/>
      <c r="G1267" s="211"/>
      <c r="H1267" s="195">
        <f>SHF!H70</f>
        <v>0</v>
      </c>
      <c r="I1267" s="197"/>
      <c r="J1267" s="195">
        <f>SHF!J70</f>
        <v>0</v>
      </c>
      <c r="K1267" s="289"/>
      <c r="L1267" s="274"/>
      <c r="M1267" s="376">
        <v>0.09</v>
      </c>
    </row>
    <row r="1268" spans="1:13">
      <c r="A1268" s="25" t="s">
        <v>1005</v>
      </c>
      <c r="B1268" s="26" t="s">
        <v>1001</v>
      </c>
      <c r="C1268" s="26"/>
      <c r="D1268" s="26"/>
      <c r="E1268" s="27"/>
      <c r="F1268" s="197"/>
      <c r="G1268" s="211"/>
      <c r="H1268" s="195">
        <f>SHF!H71</f>
        <v>15.347938285714291</v>
      </c>
      <c r="I1268" s="197"/>
      <c r="J1268" s="195">
        <f>SHF!J71</f>
        <v>140.66385438857145</v>
      </c>
      <c r="K1268" s="289"/>
      <c r="L1268" s="274"/>
      <c r="M1268" s="376">
        <v>0.09</v>
      </c>
    </row>
    <row r="1269" spans="1:13">
      <c r="A1269" s="25" t="s">
        <v>1006</v>
      </c>
      <c r="B1269" s="26" t="s">
        <v>211</v>
      </c>
      <c r="C1269" s="26"/>
      <c r="D1269" s="26"/>
      <c r="E1269" s="27"/>
      <c r="F1269" s="197"/>
      <c r="G1269" s="211"/>
      <c r="H1269" s="195">
        <f>SHF!H73</f>
        <v>19.850764639779044</v>
      </c>
      <c r="I1269" s="197"/>
      <c r="J1269" s="195">
        <f>SHF!J73</f>
        <v>73.367744311147007</v>
      </c>
      <c r="K1269" s="289"/>
      <c r="L1269" s="274"/>
      <c r="M1269" s="376">
        <v>0.44999999999999996</v>
      </c>
    </row>
    <row r="1270" spans="1:13">
      <c r="A1270" s="686" t="s">
        <v>1138</v>
      </c>
      <c r="B1270" s="688" t="s">
        <v>1141</v>
      </c>
      <c r="C1270" s="26"/>
      <c r="D1270" s="26"/>
      <c r="E1270" s="27"/>
      <c r="F1270" s="34"/>
      <c r="G1270" s="27"/>
      <c r="H1270" s="195">
        <f>SHF!H76</f>
        <v>7.3173856373850432</v>
      </c>
      <c r="I1270" s="620"/>
      <c r="J1270" s="195">
        <f>SHF!J76</f>
        <v>8.4456204005780648</v>
      </c>
      <c r="K1270" s="289"/>
      <c r="L1270" s="274"/>
      <c r="M1270" s="376">
        <v>0.3</v>
      </c>
    </row>
    <row r="1271" spans="1:13">
      <c r="A1271" s="290" t="s">
        <v>1137</v>
      </c>
      <c r="B1271" s="11"/>
      <c r="C1271" s="11"/>
      <c r="D1271" s="11"/>
      <c r="E1271" s="191"/>
      <c r="F1271" s="197"/>
      <c r="G1271" s="211"/>
      <c r="H1271" s="89"/>
      <c r="I1271" s="197"/>
      <c r="J1271" s="89"/>
      <c r="K1271" s="289"/>
      <c r="L1271" s="274"/>
      <c r="M1271" s="994">
        <v>0.44999999999999996</v>
      </c>
    </row>
    <row r="1272" spans="1:13">
      <c r="A1272" s="25" t="s">
        <v>1007</v>
      </c>
      <c r="B1272" s="26" t="s">
        <v>988</v>
      </c>
      <c r="C1272" s="26"/>
      <c r="D1272" s="26"/>
      <c r="E1272" s="27"/>
      <c r="F1272" s="195">
        <f>SHF!F80</f>
        <v>23.412799999999997</v>
      </c>
      <c r="G1272" s="211"/>
      <c r="H1272" s="34"/>
      <c r="I1272" s="195">
        <f>SHF!I80</f>
        <v>-11.21508</v>
      </c>
      <c r="J1272" s="195">
        <f>SHF!J80</f>
        <v>0</v>
      </c>
      <c r="K1272" s="289"/>
      <c r="L1272" s="274"/>
      <c r="M1272" s="376">
        <v>0.44999999999999996</v>
      </c>
    </row>
    <row r="1273" spans="1:13">
      <c r="A1273" s="25" t="s">
        <v>1008</v>
      </c>
      <c r="B1273" s="26" t="s">
        <v>989</v>
      </c>
      <c r="C1273" s="26"/>
      <c r="D1273" s="26"/>
      <c r="E1273" s="27"/>
      <c r="F1273" s="195">
        <f>SHF!F81</f>
        <v>23.412799999999997</v>
      </c>
      <c r="G1273" s="211"/>
      <c r="H1273" s="34"/>
      <c r="I1273" s="195">
        <f>SHF!I81</f>
        <v>11.21508</v>
      </c>
      <c r="J1273" s="195">
        <f>SHF!J81</f>
        <v>0</v>
      </c>
      <c r="K1273" s="289"/>
      <c r="L1273" s="274"/>
      <c r="M1273" s="268">
        <v>0.44999999999999996</v>
      </c>
    </row>
    <row r="1274" spans="1:13">
      <c r="A1274" s="25" t="s">
        <v>1009</v>
      </c>
      <c r="B1274" s="26" t="s">
        <v>1000</v>
      </c>
      <c r="C1274" s="26"/>
      <c r="D1274" s="26"/>
      <c r="E1274" s="27"/>
      <c r="F1274" s="195">
        <f>SHF!F88</f>
        <v>0</v>
      </c>
      <c r="G1274" s="211"/>
      <c r="H1274" s="34"/>
      <c r="I1274" s="195">
        <f>SHF!I88</f>
        <v>0</v>
      </c>
      <c r="J1274" s="195">
        <f>SHF!J88</f>
        <v>0</v>
      </c>
      <c r="K1274" s="289"/>
      <c r="L1274" s="274"/>
      <c r="M1274" s="268">
        <v>0.09</v>
      </c>
    </row>
    <row r="1275" spans="1:13">
      <c r="A1275" s="25" t="s">
        <v>1010</v>
      </c>
      <c r="B1275" s="26" t="s">
        <v>1001</v>
      </c>
      <c r="C1275" s="26"/>
      <c r="D1275" s="26"/>
      <c r="E1275" s="27"/>
      <c r="F1275" s="195">
        <f>SHF!F89</f>
        <v>10.231958857142859</v>
      </c>
      <c r="G1275" s="211"/>
      <c r="H1275" s="34"/>
      <c r="I1275" s="195">
        <f>SHF!I89</f>
        <v>5.1159794285714293</v>
      </c>
      <c r="J1275" s="195">
        <f>SHF!J89</f>
        <v>-1.5868754209523803</v>
      </c>
      <c r="K1275" s="289"/>
      <c r="L1275" s="274"/>
      <c r="M1275" s="268">
        <v>0.09</v>
      </c>
    </row>
    <row r="1276" spans="1:13">
      <c r="A1276" s="25" t="s">
        <v>1011</v>
      </c>
      <c r="B1276" s="26" t="s">
        <v>211</v>
      </c>
      <c r="C1276" s="26"/>
      <c r="D1276" s="26"/>
      <c r="E1276" s="27"/>
      <c r="F1276" s="195">
        <f>SHF!F91</f>
        <v>13.233843093186028</v>
      </c>
      <c r="G1276" s="211"/>
      <c r="H1276" s="197"/>
      <c r="I1276" s="195">
        <f>SHF!I91</f>
        <v>0</v>
      </c>
      <c r="J1276" s="195">
        <f>SHF!J91</f>
        <v>0</v>
      </c>
      <c r="K1276" s="289"/>
      <c r="L1276" s="274"/>
      <c r="M1276" s="268">
        <v>0.44999999999999996</v>
      </c>
    </row>
    <row r="1277" spans="1:13">
      <c r="A1277" s="253"/>
      <c r="B1277" s="15"/>
      <c r="C1277" s="15"/>
      <c r="D1277" s="15"/>
      <c r="E1277" s="22"/>
      <c r="F1277" s="212"/>
      <c r="G1277" s="213"/>
      <c r="H1277" s="198"/>
      <c r="I1277" s="198"/>
      <c r="J1277" s="58"/>
      <c r="K1277" s="74"/>
      <c r="L1277" s="277"/>
      <c r="M1277" s="379"/>
    </row>
    <row r="1278" spans="1:13">
      <c r="A1278" s="46"/>
      <c r="B1278" s="46"/>
      <c r="C1278" s="46"/>
      <c r="D1278" s="46"/>
      <c r="E1278" s="46"/>
      <c r="F1278" s="46"/>
      <c r="G1278" s="46"/>
      <c r="H1278" s="46"/>
      <c r="I1278" s="46"/>
      <c r="J1278" s="46"/>
      <c r="K1278" s="116"/>
      <c r="L1278" s="270"/>
      <c r="M1278" s="87"/>
    </row>
    <row r="1279" spans="1:13">
      <c r="A1279" s="220" t="s">
        <v>73</v>
      </c>
      <c r="B1279" s="220" t="s">
        <v>74</v>
      </c>
      <c r="C1279" s="200"/>
      <c r="D1279" s="200"/>
      <c r="E1279" s="217"/>
      <c r="F1279" s="1636" t="s">
        <v>72</v>
      </c>
      <c r="G1279" s="1637"/>
      <c r="H1279" s="1637"/>
      <c r="I1279" s="1637"/>
      <c r="J1279" s="1638"/>
      <c r="K1279" s="116"/>
      <c r="L1279" s="270"/>
      <c r="M1279" s="87"/>
    </row>
    <row r="1280" spans="1:13" ht="18">
      <c r="A1280" s="221"/>
      <c r="B1280" s="221"/>
      <c r="C1280" s="201"/>
      <c r="D1280" s="201"/>
      <c r="E1280" s="219"/>
      <c r="F1280" s="223" t="s">
        <v>23</v>
      </c>
      <c r="G1280" s="223" t="s">
        <v>87</v>
      </c>
      <c r="H1280" s="223" t="s">
        <v>212</v>
      </c>
      <c r="I1280" s="223" t="s">
        <v>80</v>
      </c>
      <c r="J1280" s="223" t="s">
        <v>81</v>
      </c>
      <c r="K1280" s="116"/>
      <c r="L1280" s="270"/>
      <c r="M1280" s="87"/>
    </row>
    <row r="1281" spans="1:13">
      <c r="A1281" s="222"/>
      <c r="B1281" s="222"/>
      <c r="C1281" s="203"/>
      <c r="D1281" s="203"/>
      <c r="E1281" s="218"/>
      <c r="F1281" s="204" t="s">
        <v>34</v>
      </c>
      <c r="G1281" s="204" t="s">
        <v>34</v>
      </c>
      <c r="H1281" s="203" t="s">
        <v>34</v>
      </c>
      <c r="I1281" s="204" t="s">
        <v>77</v>
      </c>
      <c r="J1281" s="204" t="s">
        <v>77</v>
      </c>
      <c r="K1281" s="116"/>
      <c r="L1281" s="270"/>
      <c r="M1281" s="87"/>
    </row>
    <row r="1282" spans="1:13">
      <c r="A1282" s="202"/>
      <c r="B1282" s="200"/>
      <c r="C1282" s="200"/>
      <c r="D1282" s="200"/>
      <c r="E1282" s="217"/>
      <c r="F1282" s="205"/>
      <c r="G1282" s="205"/>
      <c r="H1282" s="201"/>
      <c r="I1282" s="205"/>
      <c r="J1282" s="205"/>
      <c r="K1282" s="116"/>
      <c r="L1282" s="270"/>
      <c r="M1282" s="87"/>
    </row>
    <row r="1283" spans="1:13">
      <c r="A1283" s="205" t="str">
        <f>A1245</f>
        <v>LC-39</v>
      </c>
      <c r="B1283" s="201" t="str">
        <f>B1245</f>
        <v>LC-24 + Seismic Sx=1,Sz=0.3,Sy=0.3</v>
      </c>
      <c r="C1283" s="201"/>
      <c r="D1283" s="201"/>
      <c r="E1283" s="219"/>
      <c r="F1283" s="1054">
        <f>SUMPRODUCT(F1248:F1276,$M$1248:$M$1276)</f>
        <v>1080.2763100293525</v>
      </c>
      <c r="G1283" s="1055">
        <f>SUMPRODUCT(G1248:G1276,$M$1248:$M$1276)</f>
        <v>150.84857814216608</v>
      </c>
      <c r="H1283" s="1055">
        <f>SUMPRODUCT(H1248:H1276,$M$1248:$M$1276)</f>
        <v>44.887479376591891</v>
      </c>
      <c r="I1283" s="1055">
        <f>SUMPRODUCT(I1248:I1276,$M$1248:$M$1276)</f>
        <v>867.25862122964941</v>
      </c>
      <c r="J1283" s="1055">
        <f>SUMPRODUCT(J1248:J1276,$M$1248:$M$1276)</f>
        <v>277.2118318188883</v>
      </c>
      <c r="K1283" s="116"/>
      <c r="L1283" s="270"/>
      <c r="M1283" s="87"/>
    </row>
    <row r="1284" spans="1:13">
      <c r="A1284" s="204"/>
      <c r="B1284" s="203"/>
      <c r="C1284" s="203"/>
      <c r="D1284" s="203"/>
      <c r="E1284" s="218"/>
      <c r="F1284" s="204"/>
      <c r="G1284" s="204"/>
      <c r="H1284" s="203"/>
      <c r="I1284" s="204"/>
      <c r="J1284" s="204"/>
      <c r="K1284" s="116"/>
      <c r="L1284" s="270"/>
      <c r="M1284" s="87"/>
    </row>
    <row r="1285" spans="1:13">
      <c r="A1285" s="1"/>
      <c r="B1285" s="1"/>
      <c r="C1285" s="1"/>
      <c r="D1285" s="1"/>
      <c r="E1285" s="1"/>
      <c r="F1285" s="1"/>
      <c r="G1285" s="1"/>
      <c r="H1285" s="1"/>
      <c r="I1285" s="1"/>
      <c r="J1285" s="1"/>
      <c r="K1285" s="1"/>
      <c r="L1285" s="1"/>
      <c r="M1285" s="1"/>
    </row>
    <row r="1286" spans="1:13">
      <c r="A1286" s="1"/>
      <c r="B1286" s="1"/>
      <c r="C1286" s="1"/>
      <c r="D1286" s="1"/>
      <c r="E1286" s="1"/>
      <c r="F1286" s="1"/>
      <c r="G1286" s="1"/>
      <c r="H1286" s="1"/>
      <c r="I1286" s="1"/>
      <c r="J1286" s="1"/>
      <c r="K1286" s="1"/>
      <c r="L1286" s="1"/>
      <c r="M1286" s="1"/>
    </row>
    <row r="1287" spans="1:13">
      <c r="A1287" s="225" t="str">
        <f>M1287</f>
        <v>LC-40</v>
      </c>
      <c r="B1287" s="24" t="str">
        <f>VLOOKUP(A1287,LC_DEF_2!A3:B42,2,FALSE)</f>
        <v>LC-24 + Seismic Sx=0.3,Sz=1,Sy=0.3</v>
      </c>
      <c r="C1287" s="24"/>
      <c r="D1287" s="24"/>
      <c r="E1287" s="21"/>
      <c r="F1287" s="1599" t="s">
        <v>742</v>
      </c>
      <c r="G1287" s="1635"/>
      <c r="H1287" s="1635"/>
      <c r="I1287" s="1635"/>
      <c r="J1287" s="1600"/>
      <c r="K1287" s="73"/>
      <c r="L1287" s="272"/>
      <c r="M1287" s="384" t="s">
        <v>1177</v>
      </c>
    </row>
    <row r="1288" spans="1:13" ht="18">
      <c r="A1288" s="25" t="s">
        <v>73</v>
      </c>
      <c r="B1288" s="26" t="s">
        <v>74</v>
      </c>
      <c r="C1288" s="26"/>
      <c r="D1288" s="26"/>
      <c r="E1288" s="27"/>
      <c r="F1288" s="33" t="s">
        <v>23</v>
      </c>
      <c r="G1288" s="33" t="s">
        <v>87</v>
      </c>
      <c r="H1288" s="33" t="s">
        <v>212</v>
      </c>
      <c r="I1288" s="33" t="s">
        <v>80</v>
      </c>
      <c r="J1288" s="33" t="s">
        <v>81</v>
      </c>
      <c r="K1288" s="273"/>
      <c r="L1288" s="274"/>
      <c r="M1288" s="376"/>
    </row>
    <row r="1289" spans="1:13">
      <c r="A1289" s="25"/>
      <c r="B1289" s="26"/>
      <c r="C1289" s="26"/>
      <c r="D1289" s="26"/>
      <c r="E1289" s="27"/>
      <c r="F1289" s="36" t="s">
        <v>34</v>
      </c>
      <c r="G1289" s="36" t="s">
        <v>34</v>
      </c>
      <c r="H1289" s="36" t="s">
        <v>34</v>
      </c>
      <c r="I1289" s="36" t="s">
        <v>77</v>
      </c>
      <c r="J1289" s="36" t="s">
        <v>77</v>
      </c>
      <c r="K1289" s="74"/>
      <c r="L1289" s="277"/>
      <c r="M1289" s="655"/>
    </row>
    <row r="1290" spans="1:13">
      <c r="A1290" s="25" t="s">
        <v>88</v>
      </c>
      <c r="B1290" s="26" t="s">
        <v>75</v>
      </c>
      <c r="C1290" s="26"/>
      <c r="D1290" s="26"/>
      <c r="E1290" s="27"/>
      <c r="F1290" s="195">
        <f>SHF!F14</f>
        <v>165.42303866482536</v>
      </c>
      <c r="G1290" s="210"/>
      <c r="H1290" s="34"/>
      <c r="I1290" s="195">
        <f>SHF!I14</f>
        <v>0</v>
      </c>
      <c r="J1290" s="195">
        <f>SHF!J14</f>
        <v>0</v>
      </c>
      <c r="K1290" s="273"/>
      <c r="L1290" s="274"/>
      <c r="M1290" s="268">
        <v>1.35</v>
      </c>
    </row>
    <row r="1291" spans="1:13">
      <c r="A1291" s="25" t="s">
        <v>250</v>
      </c>
      <c r="B1291" s="26" t="s">
        <v>967</v>
      </c>
      <c r="C1291" s="26"/>
      <c r="D1291" s="26"/>
      <c r="E1291" s="27"/>
      <c r="F1291" s="195">
        <f>SHF!F17</f>
        <v>230</v>
      </c>
      <c r="G1291" s="210"/>
      <c r="H1291" s="34"/>
      <c r="I1291" s="195">
        <f>SHF!I17</f>
        <v>-115</v>
      </c>
      <c r="J1291" s="195">
        <f>SHF!J17</f>
        <v>0</v>
      </c>
      <c r="K1291" s="273"/>
      <c r="L1291" s="274"/>
      <c r="M1291" s="268">
        <v>1.35</v>
      </c>
    </row>
    <row r="1292" spans="1:13">
      <c r="A1292" s="25" t="s">
        <v>251</v>
      </c>
      <c r="B1292" s="26" t="s">
        <v>968</v>
      </c>
      <c r="C1292" s="26"/>
      <c r="D1292" s="26"/>
      <c r="E1292" s="27"/>
      <c r="F1292" s="195">
        <f>SHF!F18</f>
        <v>20.660000000000004</v>
      </c>
      <c r="G1292" s="210"/>
      <c r="H1292" s="34"/>
      <c r="I1292" s="195">
        <f>SHF!I18</f>
        <v>-10.330000000000002</v>
      </c>
      <c r="J1292" s="195">
        <f>SHF!J18</f>
        <v>0</v>
      </c>
      <c r="K1292" s="273"/>
      <c r="L1292" s="274"/>
      <c r="M1292" s="268">
        <v>1.35</v>
      </c>
    </row>
    <row r="1293" spans="1:13">
      <c r="A1293" s="25" t="s">
        <v>97</v>
      </c>
      <c r="B1293" s="26" t="s">
        <v>969</v>
      </c>
      <c r="C1293" s="26"/>
      <c r="D1293" s="26"/>
      <c r="E1293" s="27"/>
      <c r="F1293" s="195">
        <f>SHF!F19</f>
        <v>42</v>
      </c>
      <c r="G1293" s="210"/>
      <c r="H1293" s="34"/>
      <c r="I1293" s="195">
        <f>SHF!I19</f>
        <v>-14.858499999999999</v>
      </c>
      <c r="J1293" s="195">
        <f>SHF!J19</f>
        <v>0</v>
      </c>
      <c r="K1293" s="273"/>
      <c r="L1293" s="274"/>
      <c r="M1293" s="268">
        <v>1.35</v>
      </c>
    </row>
    <row r="1294" spans="1:13">
      <c r="A1294" s="25" t="s">
        <v>250</v>
      </c>
      <c r="B1294" s="26" t="s">
        <v>970</v>
      </c>
      <c r="C1294" s="26"/>
      <c r="D1294" s="26"/>
      <c r="E1294" s="27"/>
      <c r="F1294" s="195">
        <f>SHF!F21</f>
        <v>230</v>
      </c>
      <c r="G1294" s="210"/>
      <c r="H1294" s="34"/>
      <c r="I1294" s="195">
        <f>SHF!I21</f>
        <v>115</v>
      </c>
      <c r="J1294" s="195">
        <f>SHF!J21</f>
        <v>0</v>
      </c>
      <c r="K1294" s="273"/>
      <c r="L1294" s="274"/>
      <c r="M1294" s="376">
        <v>1.35</v>
      </c>
    </row>
    <row r="1295" spans="1:13">
      <c r="A1295" s="25" t="s">
        <v>251</v>
      </c>
      <c r="B1295" s="26" t="s">
        <v>971</v>
      </c>
      <c r="C1295" s="26"/>
      <c r="D1295" s="26"/>
      <c r="E1295" s="27"/>
      <c r="F1295" s="195">
        <f>SHF!F22</f>
        <v>20.660000000000004</v>
      </c>
      <c r="G1295" s="210"/>
      <c r="H1295" s="34"/>
      <c r="I1295" s="195">
        <f>SHF!I22</f>
        <v>10.330000000000002</v>
      </c>
      <c r="J1295" s="195">
        <f>SHF!J22</f>
        <v>0</v>
      </c>
      <c r="K1295" s="273"/>
      <c r="L1295" s="274"/>
      <c r="M1295" s="376">
        <v>1.35</v>
      </c>
    </row>
    <row r="1296" spans="1:13">
      <c r="A1296" s="25" t="s">
        <v>97</v>
      </c>
      <c r="B1296" s="26" t="s">
        <v>972</v>
      </c>
      <c r="C1296" s="26"/>
      <c r="D1296" s="26"/>
      <c r="E1296" s="27"/>
      <c r="F1296" s="195">
        <f>SHF!F23</f>
        <v>42</v>
      </c>
      <c r="G1296" s="210"/>
      <c r="H1296" s="34"/>
      <c r="I1296" s="195">
        <f>SHF!I23</f>
        <v>14.858499999999999</v>
      </c>
      <c r="J1296" s="195">
        <f>SHF!J23</f>
        <v>0</v>
      </c>
      <c r="K1296" s="273"/>
      <c r="L1296" s="274"/>
      <c r="M1296" s="376">
        <v>1.75</v>
      </c>
    </row>
    <row r="1297" spans="1:13">
      <c r="A1297" s="25" t="s">
        <v>976</v>
      </c>
      <c r="B1297" s="26" t="s">
        <v>981</v>
      </c>
      <c r="C1297" s="26"/>
      <c r="D1297" s="26"/>
      <c r="E1297" s="27"/>
      <c r="F1297" s="195">
        <f>SHF!F31</f>
        <v>0</v>
      </c>
      <c r="G1297" s="210"/>
      <c r="H1297" s="34"/>
      <c r="I1297" s="195">
        <f>SHF!I31</f>
        <v>0</v>
      </c>
      <c r="J1297" s="195">
        <f>SHF!J31</f>
        <v>0</v>
      </c>
      <c r="K1297" s="273"/>
      <c r="L1297" s="274"/>
      <c r="M1297" s="376">
        <v>0.2</v>
      </c>
    </row>
    <row r="1298" spans="1:13">
      <c r="A1298" s="25" t="s">
        <v>977</v>
      </c>
      <c r="B1298" s="26" t="s">
        <v>982</v>
      </c>
      <c r="C1298" s="26"/>
      <c r="D1298" s="26"/>
      <c r="E1298" s="27"/>
      <c r="F1298" s="195">
        <f>SHF!F32</f>
        <v>127.89948571428575</v>
      </c>
      <c r="G1298" s="210"/>
      <c r="H1298" s="34"/>
      <c r="I1298" s="195">
        <f>SHF!I32</f>
        <v>63.949742857142873</v>
      </c>
      <c r="J1298" s="195">
        <f>SHF!J32</f>
        <v>-19.835942761904757</v>
      </c>
      <c r="K1298" s="273"/>
      <c r="L1298" s="274"/>
      <c r="M1298" s="376">
        <v>0.2</v>
      </c>
    </row>
    <row r="1299" spans="1:13">
      <c r="A1299" s="686" t="s">
        <v>1128</v>
      </c>
      <c r="B1299" s="687"/>
      <c r="C1299" s="688"/>
      <c r="D1299" s="688"/>
      <c r="E1299" s="689"/>
      <c r="F1299" s="195">
        <f>SHF!F40</f>
        <v>-23.695433333970961</v>
      </c>
      <c r="G1299" s="689"/>
      <c r="H1299" s="690"/>
      <c r="I1299" s="195">
        <f>SHF!I40</f>
        <v>0</v>
      </c>
      <c r="J1299" s="195">
        <f>SHF!J40</f>
        <v>0</v>
      </c>
      <c r="K1299" s="273"/>
      <c r="L1299" s="274"/>
      <c r="M1299" s="376">
        <v>0.15</v>
      </c>
    </row>
    <row r="1300" spans="1:13">
      <c r="A1300" s="686" t="s">
        <v>1131</v>
      </c>
      <c r="B1300" s="687"/>
      <c r="C1300" s="688"/>
      <c r="D1300" s="688"/>
      <c r="E1300" s="689"/>
      <c r="F1300" s="690"/>
      <c r="G1300" s="195">
        <f>SHF!G44</f>
        <v>1.566445545112501</v>
      </c>
      <c r="H1300" s="195">
        <f>SHF!H44</f>
        <v>0.77082515176153144</v>
      </c>
      <c r="I1300" s="195">
        <f>SHF!I44</f>
        <v>2.5854696423507204</v>
      </c>
      <c r="J1300" s="195">
        <f>SHF!J44</f>
        <v>1.2722721422765415</v>
      </c>
      <c r="K1300" s="273"/>
      <c r="L1300" s="274"/>
      <c r="M1300" s="376">
        <v>1</v>
      </c>
    </row>
    <row r="1301" spans="1:13">
      <c r="A1301" s="278" t="s">
        <v>1132</v>
      </c>
      <c r="B1301" s="262"/>
      <c r="C1301" s="262"/>
      <c r="D1301" s="262"/>
      <c r="E1301" s="263"/>
      <c r="F1301" s="1052"/>
      <c r="G1301" s="1053"/>
      <c r="H1301" s="267"/>
      <c r="I1301" s="1052"/>
      <c r="J1301" s="267"/>
      <c r="K1301" s="289"/>
      <c r="L1301" s="274"/>
      <c r="M1301" s="412">
        <v>1.5</v>
      </c>
    </row>
    <row r="1302" spans="1:13">
      <c r="A1302" s="25" t="s">
        <v>991</v>
      </c>
      <c r="B1302" s="26" t="s">
        <v>989</v>
      </c>
      <c r="C1302" s="26"/>
      <c r="D1302" s="26"/>
      <c r="E1302" s="27"/>
      <c r="F1302" s="197"/>
      <c r="G1302" s="195">
        <f>SHF!G49</f>
        <v>70.238399999999984</v>
      </c>
      <c r="H1302" s="34"/>
      <c r="I1302" s="195">
        <f>SHF!I49</f>
        <v>455.14483200000001</v>
      </c>
      <c r="J1302" s="89"/>
      <c r="K1302" s="289"/>
      <c r="L1302" s="274"/>
      <c r="M1302" s="268">
        <v>0.44999999999999996</v>
      </c>
    </row>
    <row r="1303" spans="1:13">
      <c r="A1303" s="25" t="s">
        <v>994</v>
      </c>
      <c r="B1303" s="26" t="s">
        <v>996</v>
      </c>
      <c r="C1303" s="26"/>
      <c r="D1303" s="26"/>
      <c r="E1303" s="27"/>
      <c r="F1303" s="197"/>
      <c r="G1303" s="195">
        <f>SHF!G53</f>
        <v>4.5540000000000003</v>
      </c>
      <c r="H1303" s="34"/>
      <c r="I1303" s="195">
        <f>SHF!I53</f>
        <v>29.509920000000008</v>
      </c>
      <c r="J1303" s="89"/>
      <c r="K1303" s="289"/>
      <c r="L1303" s="274"/>
      <c r="M1303" s="376">
        <v>1.5</v>
      </c>
    </row>
    <row r="1304" spans="1:13">
      <c r="A1304" s="25" t="s">
        <v>217</v>
      </c>
      <c r="B1304" s="26" t="s">
        <v>211</v>
      </c>
      <c r="C1304" s="26"/>
      <c r="D1304" s="26"/>
      <c r="E1304" s="27"/>
      <c r="F1304" s="197"/>
      <c r="G1304" s="195">
        <f>SHF!G55</f>
        <v>19.850764639779044</v>
      </c>
      <c r="H1304" s="34"/>
      <c r="I1304" s="195">
        <f>SHF!I55</f>
        <v>73.367744311147007</v>
      </c>
      <c r="J1304" s="89"/>
      <c r="K1304" s="289"/>
      <c r="L1304" s="274"/>
      <c r="M1304" s="376">
        <v>0.44999999999999996</v>
      </c>
    </row>
    <row r="1305" spans="1:13">
      <c r="A1305" s="686" t="s">
        <v>1139</v>
      </c>
      <c r="B1305" s="688" t="s">
        <v>1140</v>
      </c>
      <c r="C1305" s="688"/>
      <c r="D1305" s="688"/>
      <c r="E1305" s="689"/>
      <c r="F1305" s="620"/>
      <c r="G1305" s="195">
        <f>SHF!G58</f>
        <v>7.3173856373850432</v>
      </c>
      <c r="H1305" s="690"/>
      <c r="I1305" s="195">
        <f>SHF!I58</f>
        <v>8.4456204005780648</v>
      </c>
      <c r="J1305" s="269"/>
      <c r="K1305" s="289"/>
      <c r="L1305" s="274"/>
      <c r="M1305" s="376">
        <v>0.3</v>
      </c>
    </row>
    <row r="1306" spans="1:13">
      <c r="A1306" s="278" t="s">
        <v>1135</v>
      </c>
      <c r="B1306" s="262"/>
      <c r="C1306" s="262"/>
      <c r="D1306" s="262"/>
      <c r="E1306" s="263"/>
      <c r="F1306" s="279"/>
      <c r="G1306" s="280"/>
      <c r="H1306" s="264"/>
      <c r="I1306" s="279"/>
      <c r="J1306" s="264"/>
      <c r="K1306" s="289"/>
      <c r="L1306" s="274"/>
      <c r="M1306" s="708">
        <v>1.5</v>
      </c>
    </row>
    <row r="1307" spans="1:13">
      <c r="A1307" s="25" t="s">
        <v>997</v>
      </c>
      <c r="B1307" s="26" t="s">
        <v>988</v>
      </c>
      <c r="C1307" s="26"/>
      <c r="D1307" s="26"/>
      <c r="E1307" s="27"/>
      <c r="F1307" s="197"/>
      <c r="G1307" s="211"/>
      <c r="H1307" s="195">
        <f>SHF!H62</f>
        <v>35.119199999999992</v>
      </c>
      <c r="I1307" s="197"/>
      <c r="J1307" s="195">
        <f>SHF!J62</f>
        <v>257.60072117968605</v>
      </c>
      <c r="K1307" s="289"/>
      <c r="L1307" s="274"/>
      <c r="M1307" s="268">
        <v>1.5</v>
      </c>
    </row>
    <row r="1308" spans="1:13">
      <c r="A1308" s="25" t="s">
        <v>998</v>
      </c>
      <c r="B1308" s="26" t="s">
        <v>989</v>
      </c>
      <c r="C1308" s="26"/>
      <c r="D1308" s="26"/>
      <c r="E1308" s="27"/>
      <c r="F1308" s="197"/>
      <c r="G1308" s="211"/>
      <c r="H1308" s="195">
        <f>SHF!H63</f>
        <v>35.119199999999992</v>
      </c>
      <c r="I1308" s="197"/>
      <c r="J1308" s="195">
        <f>SHF!J63</f>
        <v>257.60072117968605</v>
      </c>
      <c r="K1308" s="289"/>
      <c r="L1308" s="274"/>
      <c r="M1308" s="376">
        <v>1.5</v>
      </c>
    </row>
    <row r="1309" spans="1:13">
      <c r="A1309" s="25" t="s">
        <v>1004</v>
      </c>
      <c r="B1309" s="26" t="s">
        <v>1000</v>
      </c>
      <c r="C1309" s="26"/>
      <c r="D1309" s="26"/>
      <c r="E1309" s="27"/>
      <c r="F1309" s="197"/>
      <c r="G1309" s="211"/>
      <c r="H1309" s="195">
        <f>SHF!H70</f>
        <v>0</v>
      </c>
      <c r="I1309" s="197"/>
      <c r="J1309" s="195">
        <f>SHF!J70</f>
        <v>0</v>
      </c>
      <c r="K1309" s="289"/>
      <c r="L1309" s="274"/>
      <c r="M1309" s="376">
        <v>0.30000000000000004</v>
      </c>
    </row>
    <row r="1310" spans="1:13">
      <c r="A1310" s="25" t="s">
        <v>1005</v>
      </c>
      <c r="B1310" s="26" t="s">
        <v>1001</v>
      </c>
      <c r="C1310" s="26"/>
      <c r="D1310" s="26"/>
      <c r="E1310" s="27"/>
      <c r="F1310" s="197"/>
      <c r="G1310" s="211"/>
      <c r="H1310" s="195">
        <f>SHF!H71</f>
        <v>15.347938285714291</v>
      </c>
      <c r="I1310" s="197"/>
      <c r="J1310" s="195">
        <f>SHF!J71</f>
        <v>140.66385438857145</v>
      </c>
      <c r="K1310" s="289"/>
      <c r="L1310" s="274"/>
      <c r="M1310" s="376">
        <v>0.30000000000000004</v>
      </c>
    </row>
    <row r="1311" spans="1:13">
      <c r="A1311" s="25" t="s">
        <v>1006</v>
      </c>
      <c r="B1311" s="26" t="s">
        <v>211</v>
      </c>
      <c r="C1311" s="26"/>
      <c r="D1311" s="26"/>
      <c r="E1311" s="27"/>
      <c r="F1311" s="197"/>
      <c r="G1311" s="211"/>
      <c r="H1311" s="195">
        <f>SHF!H73</f>
        <v>19.850764639779044</v>
      </c>
      <c r="I1311" s="197"/>
      <c r="J1311" s="195">
        <f>SHF!J73</f>
        <v>73.367744311147007</v>
      </c>
      <c r="K1311" s="289"/>
      <c r="L1311" s="274"/>
      <c r="M1311" s="376">
        <v>1.5</v>
      </c>
    </row>
    <row r="1312" spans="1:13">
      <c r="A1312" s="686" t="s">
        <v>1138</v>
      </c>
      <c r="B1312" s="688" t="s">
        <v>1141</v>
      </c>
      <c r="C1312" s="26"/>
      <c r="D1312" s="26"/>
      <c r="E1312" s="27"/>
      <c r="F1312" s="34"/>
      <c r="G1312" s="27"/>
      <c r="H1312" s="195">
        <f>SHF!H76</f>
        <v>7.3173856373850432</v>
      </c>
      <c r="I1312" s="620"/>
      <c r="J1312" s="195">
        <f>SHF!J76</f>
        <v>8.4456204005780648</v>
      </c>
      <c r="K1312" s="289"/>
      <c r="L1312" s="274"/>
      <c r="M1312" s="376">
        <v>1</v>
      </c>
    </row>
    <row r="1313" spans="1:13">
      <c r="A1313" s="290" t="s">
        <v>1137</v>
      </c>
      <c r="B1313" s="11"/>
      <c r="C1313" s="11"/>
      <c r="D1313" s="11"/>
      <c r="E1313" s="191"/>
      <c r="F1313" s="197"/>
      <c r="G1313" s="211"/>
      <c r="H1313" s="89"/>
      <c r="I1313" s="197"/>
      <c r="J1313" s="89"/>
      <c r="K1313" s="289"/>
      <c r="L1313" s="274"/>
      <c r="M1313" s="994">
        <v>0.44999999999999996</v>
      </c>
    </row>
    <row r="1314" spans="1:13">
      <c r="A1314" s="25" t="s">
        <v>1007</v>
      </c>
      <c r="B1314" s="26" t="s">
        <v>988</v>
      </c>
      <c r="C1314" s="26"/>
      <c r="D1314" s="26"/>
      <c r="E1314" s="27"/>
      <c r="F1314" s="195">
        <f>SHF!F80</f>
        <v>23.412799999999997</v>
      </c>
      <c r="G1314" s="211"/>
      <c r="H1314" s="34"/>
      <c r="I1314" s="195">
        <f>SHF!I80</f>
        <v>-11.21508</v>
      </c>
      <c r="J1314" s="195">
        <f>SHF!J80</f>
        <v>0</v>
      </c>
      <c r="K1314" s="289"/>
      <c r="L1314" s="274"/>
      <c r="M1314" s="376">
        <v>0.44999999999999996</v>
      </c>
    </row>
    <row r="1315" spans="1:13">
      <c r="A1315" s="25" t="s">
        <v>1008</v>
      </c>
      <c r="B1315" s="26" t="s">
        <v>989</v>
      </c>
      <c r="C1315" s="26"/>
      <c r="D1315" s="26"/>
      <c r="E1315" s="27"/>
      <c r="F1315" s="195">
        <f>SHF!F81</f>
        <v>23.412799999999997</v>
      </c>
      <c r="G1315" s="211"/>
      <c r="H1315" s="34"/>
      <c r="I1315" s="195">
        <f>SHF!I81</f>
        <v>11.21508</v>
      </c>
      <c r="J1315" s="195">
        <f>SHF!J81</f>
        <v>0</v>
      </c>
      <c r="K1315" s="289"/>
      <c r="L1315" s="274"/>
      <c r="M1315" s="268">
        <v>0.44999999999999996</v>
      </c>
    </row>
    <row r="1316" spans="1:13">
      <c r="A1316" s="25" t="s">
        <v>1009</v>
      </c>
      <c r="B1316" s="26" t="s">
        <v>1000</v>
      </c>
      <c r="C1316" s="26"/>
      <c r="D1316" s="26"/>
      <c r="E1316" s="27"/>
      <c r="F1316" s="195">
        <f>SHF!F88</f>
        <v>0</v>
      </c>
      <c r="G1316" s="211"/>
      <c r="H1316" s="34"/>
      <c r="I1316" s="195">
        <f>SHF!I88</f>
        <v>0</v>
      </c>
      <c r="J1316" s="195">
        <f>SHF!J88</f>
        <v>0</v>
      </c>
      <c r="K1316" s="289"/>
      <c r="L1316" s="274"/>
      <c r="M1316" s="268">
        <v>0.09</v>
      </c>
    </row>
    <row r="1317" spans="1:13">
      <c r="A1317" s="25" t="s">
        <v>1010</v>
      </c>
      <c r="B1317" s="26" t="s">
        <v>1001</v>
      </c>
      <c r="C1317" s="26"/>
      <c r="D1317" s="26"/>
      <c r="E1317" s="27"/>
      <c r="F1317" s="195">
        <f>SHF!F89</f>
        <v>10.231958857142859</v>
      </c>
      <c r="G1317" s="211"/>
      <c r="H1317" s="34"/>
      <c r="I1317" s="195">
        <f>SHF!I89</f>
        <v>5.1159794285714293</v>
      </c>
      <c r="J1317" s="195">
        <f>SHF!J89</f>
        <v>-1.5868754209523803</v>
      </c>
      <c r="K1317" s="289"/>
      <c r="L1317" s="274"/>
      <c r="M1317" s="268">
        <v>0.09</v>
      </c>
    </row>
    <row r="1318" spans="1:13">
      <c r="A1318" s="25" t="s">
        <v>1011</v>
      </c>
      <c r="B1318" s="26" t="s">
        <v>211</v>
      </c>
      <c r="C1318" s="26"/>
      <c r="D1318" s="26"/>
      <c r="E1318" s="27"/>
      <c r="F1318" s="195">
        <f>SHF!F91</f>
        <v>13.233843093186028</v>
      </c>
      <c r="G1318" s="211"/>
      <c r="H1318" s="197"/>
      <c r="I1318" s="195">
        <f>SHF!I91</f>
        <v>0</v>
      </c>
      <c r="J1318" s="195">
        <f>SHF!J91</f>
        <v>0</v>
      </c>
      <c r="K1318" s="289"/>
      <c r="L1318" s="274"/>
      <c r="M1318" s="268">
        <v>0.44999999999999996</v>
      </c>
    </row>
    <row r="1319" spans="1:13">
      <c r="A1319" s="253"/>
      <c r="B1319" s="15"/>
      <c r="C1319" s="15"/>
      <c r="D1319" s="15"/>
      <c r="E1319" s="22"/>
      <c r="F1319" s="212"/>
      <c r="G1319" s="213"/>
      <c r="H1319" s="198"/>
      <c r="I1319" s="198"/>
      <c r="J1319" s="58"/>
      <c r="K1319" s="74"/>
      <c r="L1319" s="277"/>
      <c r="M1319" s="379"/>
    </row>
    <row r="1320" spans="1:13">
      <c r="A1320" s="46"/>
      <c r="B1320" s="46"/>
      <c r="C1320" s="46"/>
      <c r="D1320" s="46"/>
      <c r="E1320" s="46"/>
      <c r="F1320" s="46"/>
      <c r="G1320" s="46"/>
      <c r="H1320" s="46"/>
      <c r="I1320" s="46"/>
      <c r="J1320" s="46"/>
      <c r="K1320" s="116"/>
      <c r="L1320" s="270"/>
      <c r="M1320" s="87"/>
    </row>
    <row r="1321" spans="1:13">
      <c r="A1321" s="220" t="s">
        <v>73</v>
      </c>
      <c r="B1321" s="220" t="s">
        <v>74</v>
      </c>
      <c r="C1321" s="200"/>
      <c r="D1321" s="200"/>
      <c r="E1321" s="217"/>
      <c r="F1321" s="1636" t="s">
        <v>72</v>
      </c>
      <c r="G1321" s="1637"/>
      <c r="H1321" s="1637"/>
      <c r="I1321" s="1637"/>
      <c r="J1321" s="1638"/>
      <c r="K1321" s="116"/>
      <c r="L1321" s="270"/>
      <c r="M1321" s="87"/>
    </row>
    <row r="1322" spans="1:13" ht="18">
      <c r="A1322" s="221"/>
      <c r="B1322" s="221"/>
      <c r="C1322" s="201"/>
      <c r="D1322" s="201"/>
      <c r="E1322" s="219"/>
      <c r="F1322" s="223" t="s">
        <v>23</v>
      </c>
      <c r="G1322" s="223" t="s">
        <v>87</v>
      </c>
      <c r="H1322" s="223" t="s">
        <v>212</v>
      </c>
      <c r="I1322" s="223" t="s">
        <v>80</v>
      </c>
      <c r="J1322" s="223" t="s">
        <v>81</v>
      </c>
      <c r="K1322" s="116"/>
      <c r="L1322" s="270"/>
      <c r="M1322" s="87"/>
    </row>
    <row r="1323" spans="1:13">
      <c r="A1323" s="222"/>
      <c r="B1323" s="222"/>
      <c r="C1323" s="203"/>
      <c r="D1323" s="203"/>
      <c r="E1323" s="218"/>
      <c r="F1323" s="204" t="s">
        <v>34</v>
      </c>
      <c r="G1323" s="204" t="s">
        <v>34</v>
      </c>
      <c r="H1323" s="203" t="s">
        <v>34</v>
      </c>
      <c r="I1323" s="204" t="s">
        <v>77</v>
      </c>
      <c r="J1323" s="204" t="s">
        <v>77</v>
      </c>
      <c r="K1323" s="116"/>
      <c r="L1323" s="270"/>
      <c r="M1323" s="87"/>
    </row>
    <row r="1324" spans="1:13">
      <c r="A1324" s="202"/>
      <c r="B1324" s="200"/>
      <c r="C1324" s="200"/>
      <c r="D1324" s="200"/>
      <c r="E1324" s="217"/>
      <c r="F1324" s="205"/>
      <c r="G1324" s="205"/>
      <c r="H1324" s="201"/>
      <c r="I1324" s="205"/>
      <c r="J1324" s="205"/>
      <c r="K1324" s="116"/>
      <c r="L1324" s="270"/>
      <c r="M1324" s="87"/>
    </row>
    <row r="1325" spans="1:13">
      <c r="A1325" s="205" t="str">
        <f>A1287</f>
        <v>LC-40</v>
      </c>
      <c r="B1325" s="201" t="str">
        <f>B1287</f>
        <v>LC-24 + Seismic Sx=0.3,Sz=1,Sy=0.3</v>
      </c>
      <c r="C1325" s="201"/>
      <c r="D1325" s="201"/>
      <c r="E1325" s="219"/>
      <c r="F1325" s="1054">
        <f>SUMPRODUCT(F1290:F1318,$M$1290:$M$1318)</f>
        <v>1080.2763100293525</v>
      </c>
      <c r="G1325" s="1055">
        <f>SUMPRODUCT(G1290:G1318,$M$1290:$M$1318)</f>
        <v>51.132785324228578</v>
      </c>
      <c r="H1325" s="1055">
        <f>SUMPRODUCT(H1290:H1318,$M$1290:$M$1318)</f>
        <v>147.82633923452937</v>
      </c>
      <c r="I1325" s="1055">
        <f>SUMPRODUCT(I1290:I1318,$M$1290:$M$1318)</f>
        <v>306.4084818225403</v>
      </c>
      <c r="J1325" s="1055">
        <f>SUMPRODUCT(J1290:J1318,$M$1290:$M$1318)</f>
        <v>930.660821524938</v>
      </c>
      <c r="K1325" s="116"/>
      <c r="L1325" s="270"/>
      <c r="M1325" s="87"/>
    </row>
    <row r="1326" spans="1:13">
      <c r="A1326" s="204"/>
      <c r="B1326" s="203"/>
      <c r="C1326" s="203"/>
      <c r="D1326" s="203"/>
      <c r="E1326" s="218"/>
      <c r="F1326" s="204"/>
      <c r="G1326" s="204"/>
      <c r="H1326" s="203"/>
      <c r="I1326" s="204"/>
      <c r="J1326" s="204"/>
      <c r="K1326" s="116"/>
      <c r="L1326" s="270"/>
      <c r="M1326" s="87"/>
    </row>
    <row r="1327" spans="1:13">
      <c r="A1327" s="1"/>
      <c r="B1327" s="1"/>
      <c r="C1327" s="1"/>
      <c r="D1327" s="1"/>
      <c r="E1327" s="1"/>
      <c r="F1327" s="1"/>
      <c r="G1327" s="1"/>
      <c r="H1327" s="1"/>
      <c r="I1327" s="1"/>
      <c r="J1327" s="1"/>
      <c r="K1327" s="116"/>
      <c r="L1327" s="270"/>
      <c r="M1327" s="87"/>
    </row>
    <row r="1328" spans="1:13">
      <c r="A1328" s="1"/>
      <c r="B1328" s="1"/>
      <c r="C1328" s="1"/>
      <c r="D1328" s="1"/>
      <c r="E1328" s="1"/>
      <c r="F1328" s="1"/>
      <c r="G1328" s="1"/>
      <c r="H1328" s="1"/>
      <c r="I1328" s="1"/>
      <c r="J1328" s="1"/>
      <c r="K1328" s="116"/>
      <c r="L1328" s="270"/>
      <c r="M1328" s="87"/>
    </row>
  </sheetData>
  <mergeCells count="80">
    <mergeCell ref="F1077:J1077"/>
    <mergeCell ref="F1027:J1027"/>
    <mergeCell ref="F1245:J1245"/>
    <mergeCell ref="F1287:J1287"/>
    <mergeCell ref="F1153:J1153"/>
    <mergeCell ref="F1119:J1119"/>
    <mergeCell ref="F1195:J1195"/>
    <mergeCell ref="F1161:J1161"/>
    <mergeCell ref="F1237:J1237"/>
    <mergeCell ref="F1203:J1203"/>
    <mergeCell ref="F748:J748"/>
    <mergeCell ref="F725:J725"/>
    <mergeCell ref="F779:J779"/>
    <mergeCell ref="F756:J756"/>
    <mergeCell ref="F810:J810"/>
    <mergeCell ref="F787:J787"/>
    <mergeCell ref="F667:J667"/>
    <mergeCell ref="F692:J692"/>
    <mergeCell ref="F675:J675"/>
    <mergeCell ref="F717:J717"/>
    <mergeCell ref="F700:J700"/>
    <mergeCell ref="F146:J146"/>
    <mergeCell ref="F192:J192"/>
    <mergeCell ref="F173:J173"/>
    <mergeCell ref="F224:J224"/>
    <mergeCell ref="F256:J256"/>
    <mergeCell ref="F232:J232"/>
    <mergeCell ref="F200:J200"/>
    <mergeCell ref="F165:J165"/>
    <mergeCell ref="F69:J69"/>
    <mergeCell ref="F111:J111"/>
    <mergeCell ref="F92:J92"/>
    <mergeCell ref="F138:J138"/>
    <mergeCell ref="F119:J119"/>
    <mergeCell ref="F84:J84"/>
    <mergeCell ref="F7:J7"/>
    <mergeCell ref="F17:J17"/>
    <mergeCell ref="F38:J38"/>
    <mergeCell ref="F25:J25"/>
    <mergeCell ref="F61:J61"/>
    <mergeCell ref="F46:J46"/>
    <mergeCell ref="F288:J288"/>
    <mergeCell ref="F264:J264"/>
    <mergeCell ref="F320:J320"/>
    <mergeCell ref="F296:J296"/>
    <mergeCell ref="F328:J328"/>
    <mergeCell ref="F358:J358"/>
    <mergeCell ref="F396:J396"/>
    <mergeCell ref="F366:J366"/>
    <mergeCell ref="F434:J434"/>
    <mergeCell ref="F404:J404"/>
    <mergeCell ref="F442:J442"/>
    <mergeCell ref="F472:J472"/>
    <mergeCell ref="F510:J510"/>
    <mergeCell ref="F480:J480"/>
    <mergeCell ref="F548:J548"/>
    <mergeCell ref="F518:J518"/>
    <mergeCell ref="F556:J556"/>
    <mergeCell ref="F644:J644"/>
    <mergeCell ref="F652:J652"/>
    <mergeCell ref="F586:J586"/>
    <mergeCell ref="F624:J624"/>
    <mergeCell ref="F594:J594"/>
    <mergeCell ref="F632:J632"/>
    <mergeCell ref="F841:J841"/>
    <mergeCell ref="F818:J818"/>
    <mergeCell ref="F877:J877"/>
    <mergeCell ref="F885:J885"/>
    <mergeCell ref="F1321:J1321"/>
    <mergeCell ref="F1279:J1279"/>
    <mergeCell ref="F849:J849"/>
    <mergeCell ref="F913:J913"/>
    <mergeCell ref="F949:J949"/>
    <mergeCell ref="F921:J921"/>
    <mergeCell ref="F985:J985"/>
    <mergeCell ref="F957:J957"/>
    <mergeCell ref="F993:J993"/>
    <mergeCell ref="F1069:J1069"/>
    <mergeCell ref="F1035:J1035"/>
    <mergeCell ref="F1111:J1111"/>
  </mergeCells>
  <pageMargins left="0.70866141732283505" right="0.70866141732283505" top="0.74803149606299202" bottom="0.74803149606299202" header="0.31496062992126" footer="0.31496062992126"/>
  <pageSetup paperSize="9" scale="73" orientation="portrait" blackAndWhite="1" r:id="rId1"/>
</worksheet>
</file>

<file path=xl/worksheets/sheet41.xml><?xml version="1.0" encoding="utf-8"?>
<worksheet xmlns="http://schemas.openxmlformats.org/spreadsheetml/2006/main" xmlns:r="http://schemas.openxmlformats.org/officeDocument/2006/relationships">
  <sheetPr codeName="Sheet55">
    <tabColor theme="5" tint="0.39997558519241921"/>
  </sheetPr>
  <dimension ref="A1:K161"/>
  <sheetViews>
    <sheetView view="pageBreakPreview" zoomScaleSheetLayoutView="100" workbookViewId="0">
      <selection activeCell="M33" sqref="M33"/>
    </sheetView>
  </sheetViews>
  <sheetFormatPr defaultColWidth="8.28515625" defaultRowHeight="15"/>
  <cols>
    <col min="1" max="10" width="8.28515625" style="1"/>
    <col min="12" max="16384" width="8.28515625" style="1"/>
  </cols>
  <sheetData>
    <row r="1" spans="1:7" s="1356" customFormat="1">
      <c r="A1" s="1414" t="s">
        <v>1657</v>
      </c>
      <c r="E1" s="1415"/>
      <c r="G1" s="1415"/>
    </row>
    <row r="2" spans="1:7" s="1356" customFormat="1">
      <c r="A2" s="1414"/>
      <c r="E2" s="1415"/>
      <c r="G2" s="1415"/>
    </row>
    <row r="3" spans="1:7" s="1356" customFormat="1" ht="18">
      <c r="C3" s="1417" t="s">
        <v>80</v>
      </c>
    </row>
    <row r="4" spans="1:7" s="1356" customFormat="1">
      <c r="C4" s="1417"/>
    </row>
    <row r="5" spans="1:7" s="1356" customFormat="1">
      <c r="C5" s="1417"/>
    </row>
    <row r="6" spans="1:7" s="1356" customFormat="1">
      <c r="C6" s="1428" t="s">
        <v>1640</v>
      </c>
    </row>
    <row r="7" spans="1:7" s="1356" customFormat="1" ht="18">
      <c r="E7" s="1356" t="s">
        <v>1853</v>
      </c>
    </row>
    <row r="8" spans="1:7" s="1356" customFormat="1">
      <c r="B8" s="1429" t="s">
        <v>1672</v>
      </c>
      <c r="C8" s="1417"/>
    </row>
    <row r="9" spans="1:7" s="1356" customFormat="1" ht="15" customHeight="1">
      <c r="C9" s="1417"/>
      <c r="F9" s="1430" t="s">
        <v>81</v>
      </c>
    </row>
    <row r="10" spans="1:7" s="1356" customFormat="1">
      <c r="C10" s="1417"/>
      <c r="D10" s="1432" t="s">
        <v>1647</v>
      </c>
    </row>
    <row r="11" spans="1:7" s="1356" customFormat="1">
      <c r="B11" s="1432" t="s">
        <v>1649</v>
      </c>
      <c r="C11" s="1417"/>
      <c r="E11" s="1430" t="s">
        <v>1651</v>
      </c>
      <c r="F11" s="1435">
        <f>(GEN!H196+GEN!F203/SQRT(2))*1000</f>
        <v>6348.5281374238575</v>
      </c>
    </row>
    <row r="12" spans="1:7" s="1356" customFormat="1">
      <c r="C12" s="1417"/>
    </row>
    <row r="13" spans="1:7" s="1356" customFormat="1">
      <c r="C13" s="1417"/>
    </row>
    <row r="14" spans="1:7" s="1356" customFormat="1">
      <c r="C14" s="1417"/>
    </row>
    <row r="15" spans="1:7" s="1356" customFormat="1">
      <c r="C15" s="1417"/>
    </row>
    <row r="16" spans="1:7" s="1356" customFormat="1"/>
    <row r="17" spans="1:11" s="1356" customFormat="1">
      <c r="C17" s="1428" t="s">
        <v>1650</v>
      </c>
    </row>
    <row r="18" spans="1:11" s="1356" customFormat="1">
      <c r="C18" s="1417"/>
    </row>
    <row r="19" spans="1:11" s="1356" customFormat="1">
      <c r="C19" s="1429"/>
    </row>
    <row r="20" spans="1:11" s="1356" customFormat="1">
      <c r="B20" s="1430" t="s">
        <v>1644</v>
      </c>
      <c r="C20" s="1435">
        <f>GEN!F203*1000</f>
        <v>1200</v>
      </c>
    </row>
    <row r="21" spans="1:11" s="1356" customFormat="1">
      <c r="C21" s="1417"/>
    </row>
    <row r="22" spans="1:11" s="1356" customFormat="1">
      <c r="C22" s="1417"/>
      <c r="G22" s="1452"/>
    </row>
    <row r="23" spans="1:11">
      <c r="K23" s="1"/>
    </row>
    <row r="24" spans="1:11" ht="15" customHeight="1">
      <c r="A24" s="62" t="s">
        <v>1537</v>
      </c>
      <c r="K24" s="1"/>
    </row>
    <row r="25" spans="1:11">
      <c r="A25" s="249" t="s">
        <v>213</v>
      </c>
      <c r="B25" s="229"/>
      <c r="C25" s="229"/>
      <c r="D25" s="229"/>
      <c r="E25" s="230"/>
      <c r="F25" s="229"/>
      <c r="G25" s="230"/>
      <c r="H25" s="230"/>
      <c r="I25" s="230"/>
      <c r="J25" s="231"/>
      <c r="K25" s="1"/>
    </row>
    <row r="26" spans="1:11">
      <c r="A26" s="228" t="s">
        <v>73</v>
      </c>
      <c r="B26" s="228" t="s">
        <v>74</v>
      </c>
      <c r="C26" s="229"/>
      <c r="D26" s="229"/>
      <c r="E26" s="232"/>
      <c r="F26" s="1641" t="s">
        <v>1481</v>
      </c>
      <c r="G26" s="1642"/>
      <c r="H26" s="1642"/>
      <c r="I26" s="1642"/>
      <c r="J26" s="1643"/>
      <c r="K26" s="1"/>
    </row>
    <row r="27" spans="1:11" ht="36" customHeight="1">
      <c r="A27" s="237"/>
      <c r="B27" s="237"/>
      <c r="C27" s="234"/>
      <c r="D27" s="234"/>
      <c r="E27" s="238"/>
      <c r="F27" s="1056" t="s">
        <v>598</v>
      </c>
      <c r="G27" s="247" t="s">
        <v>234</v>
      </c>
      <c r="H27" s="248" t="s">
        <v>235</v>
      </c>
      <c r="I27" s="247" t="s">
        <v>236</v>
      </c>
      <c r="J27" s="1056" t="s">
        <v>237</v>
      </c>
      <c r="K27" s="1"/>
    </row>
    <row r="28" spans="1:11">
      <c r="A28" s="411"/>
      <c r="B28" s="245"/>
      <c r="C28" s="239"/>
      <c r="D28" s="239"/>
      <c r="E28" s="246"/>
      <c r="F28" s="250" t="s">
        <v>34</v>
      </c>
      <c r="G28" s="250" t="s">
        <v>34</v>
      </c>
      <c r="H28" s="251" t="s">
        <v>34</v>
      </c>
      <c r="I28" s="250" t="s">
        <v>77</v>
      </c>
      <c r="J28" s="1078" t="s">
        <v>77</v>
      </c>
      <c r="K28" s="1"/>
    </row>
    <row r="29" spans="1:11">
      <c r="A29" s="112" t="str">
        <f>U_3.4_SH_LC!A21</f>
        <v>LC-1</v>
      </c>
      <c r="B29" s="112" t="str">
        <f>U_3.4_SH_LC!B21</f>
        <v>NS LWL Span dislodge case</v>
      </c>
      <c r="C29" s="11"/>
      <c r="D29" s="11"/>
      <c r="E29" s="191"/>
      <c r="F29" s="159">
        <f>U_3.4_SH_LC!F21</f>
        <v>635.21210219751424</v>
      </c>
      <c r="G29" s="159">
        <f>U_3.4_SH_LC!G21</f>
        <v>21.9495</v>
      </c>
      <c r="H29" s="159">
        <f>U_3.4_SH_LC!H21</f>
        <v>0</v>
      </c>
      <c r="I29" s="159">
        <f>U_3.4_SH_LC!I21</f>
        <v>337.43063500000005</v>
      </c>
      <c r="J29" s="309">
        <f>U_3.4_SH_LC!J21</f>
        <v>0</v>
      </c>
      <c r="K29" s="1"/>
    </row>
    <row r="30" spans="1:11">
      <c r="A30" s="112" t="str">
        <f>U_3.4_SH_LC!A42</f>
        <v>LC-2</v>
      </c>
      <c r="B30" s="112" t="str">
        <f>U_3.4_SH_LC!B42</f>
        <v>NS LWL No Live load</v>
      </c>
      <c r="C30" s="11"/>
      <c r="D30" s="11"/>
      <c r="E30" s="191"/>
      <c r="F30" s="159">
        <f>U_3.4_SH_LC!F42</f>
        <v>1030.3031021975144</v>
      </c>
      <c r="G30" s="159">
        <f>U_3.4_SH_LC!G42</f>
        <v>8.7798000000000016</v>
      </c>
      <c r="H30" s="159">
        <f>U_3.4_SH_LC!H42</f>
        <v>0</v>
      </c>
      <c r="I30" s="159">
        <f>U_3.4_SH_LC!I42</f>
        <v>62.836504000000012</v>
      </c>
      <c r="J30" s="309">
        <f>U_3.4_SH_LC!J42</f>
        <v>0</v>
      </c>
      <c r="K30" s="1"/>
    </row>
    <row r="31" spans="1:11">
      <c r="A31" s="112" t="str">
        <f>U_3.4_SH_LC!A65</f>
        <v>LC-3</v>
      </c>
      <c r="B31" s="112" t="str">
        <f>U_3.4_SH_LC!B65</f>
        <v>NS LWL With LL max reaction case</v>
      </c>
      <c r="C31" s="11"/>
      <c r="D31" s="11"/>
      <c r="E31" s="191"/>
      <c r="F31" s="159">
        <f>U_3.4_SH_LC!F65</f>
        <v>1240.8216736260858</v>
      </c>
      <c r="G31" s="159">
        <f>U_3.4_SH_LC!G65</f>
        <v>48.076916571428576</v>
      </c>
      <c r="H31" s="159">
        <f>U_3.4_SH_LC!H65</f>
        <v>0</v>
      </c>
      <c r="I31" s="159">
        <f>U_3.4_SH_LC!I65</f>
        <v>325.00050509714293</v>
      </c>
      <c r="J31" s="309">
        <f>U_3.4_SH_LC!J65</f>
        <v>-32.649344208494199</v>
      </c>
      <c r="K31" s="1"/>
    </row>
    <row r="32" spans="1:11">
      <c r="A32" s="112" t="str">
        <f>U_3.4_SH_LC!A88</f>
        <v>LC-4</v>
      </c>
      <c r="B32" s="112" t="str">
        <f>U_3.4_SH_LC!B88</f>
        <v>NS LWL With LL max moment case</v>
      </c>
      <c r="C32" s="11"/>
      <c r="D32" s="11"/>
      <c r="E32" s="191"/>
      <c r="F32" s="159">
        <f>U_3.4_SH_LC!F88</f>
        <v>1222.1523307689431</v>
      </c>
      <c r="G32" s="159">
        <f>U_3.4_SH_LC!G88</f>
        <v>44.997338571428571</v>
      </c>
      <c r="H32" s="159">
        <f>U_3.4_SH_LC!H88</f>
        <v>0</v>
      </c>
      <c r="I32" s="159">
        <f>U_3.4_SH_LC!I88</f>
        <v>393.45076822857152</v>
      </c>
      <c r="J32" s="309">
        <f>U_3.4_SH_LC!J88</f>
        <v>-29.753914142857134</v>
      </c>
      <c r="K32" s="1"/>
    </row>
    <row r="33" spans="1:11">
      <c r="F33" s="159"/>
      <c r="G33" s="159"/>
      <c r="H33" s="159"/>
      <c r="I33" s="159"/>
      <c r="J33" s="1059"/>
      <c r="K33" s="1"/>
    </row>
    <row r="34" spans="1:11">
      <c r="A34" s="112" t="str">
        <f>U_3.4_SH_LC!A115</f>
        <v>LC-5</v>
      </c>
      <c r="B34" s="112" t="str">
        <f>U_3.4_SH_LC!B115</f>
        <v>LC-1 + Seismic Sx=1,Sz=0.3,Sy=-0.3 (50% seismic)</v>
      </c>
      <c r="C34" s="11"/>
      <c r="D34" s="11"/>
      <c r="E34" s="191"/>
      <c r="F34" s="159">
        <f>U_3.4_SH_LC!F115</f>
        <v>626.9666075015474</v>
      </c>
      <c r="G34" s="159">
        <f>U_3.4_SH_LC!G115</f>
        <v>78.541623479834271</v>
      </c>
      <c r="H34" s="159">
        <f>U_3.4_SH_LC!H115</f>
        <v>12.368242043950282</v>
      </c>
      <c r="I34" s="159">
        <f>U_3.4_SH_LC!I115</f>
        <v>660.1752942333602</v>
      </c>
      <c r="J34" s="309">
        <f>U_3.4_SH_LC!J115</f>
        <v>74.467904735437429</v>
      </c>
      <c r="K34" s="1"/>
    </row>
    <row r="35" spans="1:11">
      <c r="A35" s="112" t="str">
        <f>U_3.4_SH_LC!A142</f>
        <v>LC-6</v>
      </c>
      <c r="B35" s="112" t="str">
        <f>U_3.4_SH_LC!B142</f>
        <v>LC-1 + Seismic Sx=0.3,Sz=1,Sy=-0.3 (50% seismic)</v>
      </c>
      <c r="C35" s="11"/>
      <c r="D35" s="11"/>
      <c r="E35" s="191"/>
      <c r="F35" s="159">
        <f>U_3.4_SH_LC!F142</f>
        <v>626.9666075015474</v>
      </c>
      <c r="G35" s="159">
        <f>U_3.4_SH_LC!G142</f>
        <v>31.244812043950279</v>
      </c>
      <c r="H35" s="159">
        <f>U_3.4_SH_LC!H142</f>
        <v>41.227473479834273</v>
      </c>
      <c r="I35" s="159">
        <f>U_3.4_SH_LC!I142</f>
        <v>382.70619167000802</v>
      </c>
      <c r="J35" s="309">
        <f>U_3.4_SH_LC!J142</f>
        <v>248.2263491181248</v>
      </c>
      <c r="K35" s="1"/>
    </row>
    <row r="36" spans="1:11">
      <c r="A36" s="112" t="str">
        <f>U_3.4_SH_LC!A169</f>
        <v>LC-7</v>
      </c>
      <c r="B36" s="112" t="str">
        <f>U_3.4_SH_LC!B169</f>
        <v>LC-1 + Seismic Sx=1,Sz=0.3,Sy=0.3 (50% seismic)</v>
      </c>
      <c r="C36" s="11"/>
      <c r="D36" s="11"/>
      <c r="E36" s="191"/>
      <c r="F36" s="159">
        <f>U_3.4_SH_LC!F169</f>
        <v>643.45759689348108</v>
      </c>
      <c r="G36" s="159">
        <f>U_3.4_SH_LC!G169</f>
        <v>78.541623479834271</v>
      </c>
      <c r="H36" s="159">
        <f>U_3.4_SH_LC!H169</f>
        <v>12.368242043950282</v>
      </c>
      <c r="I36" s="159">
        <f>U_3.4_SH_LC!I169</f>
        <v>665.22208023336032</v>
      </c>
      <c r="J36" s="309">
        <f>U_3.4_SH_LC!J169</f>
        <v>74.467904735437429</v>
      </c>
      <c r="K36" s="1"/>
    </row>
    <row r="37" spans="1:11">
      <c r="A37" s="112" t="str">
        <f>U_3.4_SH_LC!A196</f>
        <v>LC-8</v>
      </c>
      <c r="B37" s="112" t="str">
        <f>U_3.4_SH_LC!B196</f>
        <v>LC-1 + Seismic Sx=0.3,Sz=1,Sy=0.3 (50% seismic)</v>
      </c>
      <c r="C37" s="11"/>
      <c r="D37" s="11"/>
      <c r="E37" s="191"/>
      <c r="F37" s="159">
        <f>U_3.4_SH_LC!F196</f>
        <v>643.45759689348108</v>
      </c>
      <c r="G37" s="159">
        <f>U_3.4_SH_LC!G196</f>
        <v>31.244812043950279</v>
      </c>
      <c r="H37" s="159">
        <f>U_3.4_SH_LC!H196</f>
        <v>41.227473479834273</v>
      </c>
      <c r="I37" s="159">
        <f>U_3.4_SH_LC!I196</f>
        <v>387.75297767000802</v>
      </c>
      <c r="J37" s="309">
        <f>U_3.4_SH_LC!J196</f>
        <v>248.2263491181248</v>
      </c>
      <c r="K37" s="1"/>
    </row>
    <row r="38" spans="1:11">
      <c r="F38" s="159"/>
      <c r="G38" s="159"/>
      <c r="H38" s="159"/>
      <c r="I38" s="159"/>
      <c r="J38" s="1059"/>
      <c r="K38" s="1"/>
    </row>
    <row r="39" spans="1:11">
      <c r="A39" s="112" t="str">
        <f>U_3.4_SH_LC!A228</f>
        <v>LC-9</v>
      </c>
      <c r="B39" s="112" t="str">
        <f>U_3.4_SH_LC!B228</f>
        <v>LC-2 + Seismic Sx=1,Sz=0.3,Sy=-0.3</v>
      </c>
      <c r="C39" s="11"/>
      <c r="D39" s="11"/>
      <c r="E39" s="191"/>
      <c r="F39" s="159">
        <f>U_3.4_SH_LC!F228</f>
        <v>1003.2763528055807</v>
      </c>
      <c r="G39" s="159">
        <f>U_3.4_SH_LC!G228</f>
        <v>143.03556695966853</v>
      </c>
      <c r="H39" s="159">
        <f>U_3.4_SH_LC!H228</f>
        <v>40.540124087900558</v>
      </c>
      <c r="I39" s="159">
        <f>U_3.4_SH_LC!I228</f>
        <v>849.91605806672055</v>
      </c>
      <c r="J39" s="309">
        <f>U_3.4_SH_LC!J228</f>
        <v>264.85613400173355</v>
      </c>
      <c r="K39" s="1"/>
    </row>
    <row r="40" spans="1:11">
      <c r="A40" s="112" t="str">
        <f>U_3.4_SH_LC!A260</f>
        <v>LC-10</v>
      </c>
      <c r="B40" s="112" t="str">
        <f>U_3.4_SH_LC!B260</f>
        <v>LC-2 + Seismic Sx=0.3,Sz=1,Sy=-0.3</v>
      </c>
      <c r="C40" s="11"/>
      <c r="D40" s="11"/>
      <c r="E40" s="191"/>
      <c r="F40" s="159">
        <f>U_3.4_SH_LC!F260</f>
        <v>1003.2763528055807</v>
      </c>
      <c r="G40" s="159">
        <f>U_3.4_SH_LC!G260</f>
        <v>48.441944087900559</v>
      </c>
      <c r="H40" s="159">
        <f>U_3.4_SH_LC!H260</f>
        <v>135.13374695966854</v>
      </c>
      <c r="I40" s="159">
        <f>U_3.4_SH_LC!I260</f>
        <v>294.97785294001619</v>
      </c>
      <c r="J40" s="309">
        <f>U_3.4_SH_LC!J260</f>
        <v>882.85378000577862</v>
      </c>
      <c r="K40" s="1"/>
    </row>
    <row r="41" spans="1:11">
      <c r="A41" s="112" t="str">
        <f>U_3.4_SH_LC!A292</f>
        <v>LC-11</v>
      </c>
      <c r="B41" s="112" t="str">
        <f>U_3.4_SH_LC!B292</f>
        <v>LC-2 + Seismic Sx=1,Sz=0.3,Sy=0.3</v>
      </c>
      <c r="C41" s="11"/>
      <c r="D41" s="11"/>
      <c r="E41" s="191"/>
      <c r="F41" s="159">
        <f>U_3.4_SH_LC!F292</f>
        <v>1057.329851589448</v>
      </c>
      <c r="G41" s="159">
        <f>U_3.4_SH_LC!G292</f>
        <v>143.03556695966853</v>
      </c>
      <c r="H41" s="159">
        <f>U_3.4_SH_LC!H292</f>
        <v>40.540124087900558</v>
      </c>
      <c r="I41" s="159">
        <f>U_3.4_SH_LC!I292</f>
        <v>849.91605806672055</v>
      </c>
      <c r="J41" s="309">
        <f>U_3.4_SH_LC!J292</f>
        <v>264.85613400173355</v>
      </c>
      <c r="K41" s="1"/>
    </row>
    <row r="42" spans="1:11">
      <c r="A42" s="112" t="str">
        <f>U_3.4_SH_LC!A324</f>
        <v>LC-12</v>
      </c>
      <c r="B42" s="112" t="str">
        <f>U_3.4_SH_LC!B324</f>
        <v>LC-2 + Seismic Sx=0.3,Sz=1,Sy=0.3</v>
      </c>
      <c r="C42" s="11"/>
      <c r="D42" s="11"/>
      <c r="E42" s="191"/>
      <c r="F42" s="159">
        <f>U_3.4_SH_LC!F324</f>
        <v>1057.329851589448</v>
      </c>
      <c r="G42" s="159">
        <f>U_3.4_SH_LC!G324</f>
        <v>48.441944087900559</v>
      </c>
      <c r="H42" s="159">
        <f>U_3.4_SH_LC!H324</f>
        <v>135.13374695966854</v>
      </c>
      <c r="I42" s="159">
        <f>U_3.4_SH_LC!I324</f>
        <v>294.97785294001619</v>
      </c>
      <c r="J42" s="309">
        <f>U_3.4_SH_LC!J324</f>
        <v>882.85378000577862</v>
      </c>
      <c r="K42" s="1"/>
    </row>
    <row r="43" spans="1:11">
      <c r="F43" s="159"/>
      <c r="G43" s="159"/>
      <c r="H43" s="159"/>
      <c r="I43" s="159"/>
      <c r="J43" s="1059"/>
      <c r="K43" s="1"/>
    </row>
    <row r="44" spans="1:11">
      <c r="A44" s="112" t="str">
        <f>U_3.4_SH_LC!A362</f>
        <v>LC-13</v>
      </c>
      <c r="B44" s="112" t="str">
        <f>U_3.4_SH_LC!B362</f>
        <v>LC-3 + Seismic Sx=1,Sz=0.3,Sy=-0.3</v>
      </c>
      <c r="C44" s="11"/>
      <c r="D44" s="11"/>
      <c r="E44" s="191"/>
      <c r="F44" s="159">
        <f>U_3.4_SH_LC!F362</f>
        <v>1030.3350065198665</v>
      </c>
      <c r="G44" s="159">
        <f>U_3.4_SH_LC!G362</f>
        <v>141.96474695966856</v>
      </c>
      <c r="H44" s="159">
        <f>U_3.4_SH_LC!H362</f>
        <v>42.055857802186274</v>
      </c>
      <c r="I44" s="159">
        <f>U_3.4_SH_LC!I362</f>
        <v>843.94354620386332</v>
      </c>
      <c r="J44" s="309">
        <f>U_3.4_SH_LC!J362</f>
        <v>274.55130445089702</v>
      </c>
      <c r="K44" s="1"/>
    </row>
    <row r="45" spans="1:11">
      <c r="A45" s="112" t="str">
        <f>U_3.4_SH_LC!A400</f>
        <v>LC-14</v>
      </c>
      <c r="B45" s="112" t="str">
        <f>U_3.4_SH_LC!B400</f>
        <v>LC-3 + Seismic Sx=0.3,Sz=1,Sy=-0.3</v>
      </c>
      <c r="C45" s="11"/>
      <c r="D45" s="11"/>
      <c r="E45" s="191"/>
      <c r="F45" s="159">
        <f>U_3.4_SH_LC!F400</f>
        <v>1030.3350065198665</v>
      </c>
      <c r="G45" s="159">
        <f>U_3.4_SH_LC!G400</f>
        <v>47.371124087900562</v>
      </c>
      <c r="H45" s="159">
        <f>U_3.4_SH_LC!H400</f>
        <v>140.18619267395425</v>
      </c>
      <c r="I45" s="159">
        <f>U_3.4_SH_LC!I400</f>
        <v>289.00534107715902</v>
      </c>
      <c r="J45" s="309">
        <f>U_3.4_SH_LC!J400</f>
        <v>924.96291593494198</v>
      </c>
      <c r="K45" s="1"/>
    </row>
    <row r="46" spans="1:11">
      <c r="A46" s="112" t="str">
        <f>U_3.4_SH_LC!A438</f>
        <v>LC-15</v>
      </c>
      <c r="B46" s="112" t="str">
        <f>U_3.4_SH_LC!B438</f>
        <v>LC-3 + Seismic Sx=1,Sz=0.3,Sy=0.3</v>
      </c>
      <c r="C46" s="11"/>
      <c r="D46" s="11"/>
      <c r="E46" s="191"/>
      <c r="F46" s="159">
        <f>U_3.4_SH_LC!F438</f>
        <v>1086.409483589448</v>
      </c>
      <c r="G46" s="159">
        <f>U_3.4_SH_LC!G438</f>
        <v>141.96474695966856</v>
      </c>
      <c r="H46" s="159">
        <f>U_3.4_SH_LC!H438</f>
        <v>42.055857802186274</v>
      </c>
      <c r="I46" s="159">
        <f>U_3.4_SH_LC!I438</f>
        <v>844.01572558672058</v>
      </c>
      <c r="J46" s="309">
        <f>U_3.4_SH_LC!J438</f>
        <v>274.2378707464955</v>
      </c>
      <c r="K46" s="1"/>
    </row>
    <row r="47" spans="1:11">
      <c r="A47" s="112" t="str">
        <f>U_3.4_SH_LC!A476</f>
        <v>LC-16</v>
      </c>
      <c r="B47" s="112" t="str">
        <f>U_3.4_SH_LC!B476</f>
        <v>LC-3 + Seismic Sx=0.3,Sz=1,Sy=0.3</v>
      </c>
      <c r="C47" s="11"/>
      <c r="D47" s="11"/>
      <c r="E47" s="191"/>
      <c r="F47" s="159">
        <f>U_3.4_SH_LC!F476</f>
        <v>1086.409483589448</v>
      </c>
      <c r="G47" s="159">
        <f>U_3.4_SH_LC!G476</f>
        <v>47.371124087900562</v>
      </c>
      <c r="H47" s="159">
        <f>U_3.4_SH_LC!H476</f>
        <v>140.18619267395425</v>
      </c>
      <c r="I47" s="159">
        <f>U_3.4_SH_LC!I476</f>
        <v>289.07752046001616</v>
      </c>
      <c r="J47" s="309">
        <f>U_3.4_SH_LC!J476</f>
        <v>924.64948223054057</v>
      </c>
      <c r="K47" s="1"/>
    </row>
    <row r="48" spans="1:11">
      <c r="F48" s="159"/>
      <c r="G48" s="159"/>
      <c r="H48" s="159"/>
      <c r="I48" s="159"/>
      <c r="J48" s="1059"/>
      <c r="K48" s="1"/>
    </row>
    <row r="49" spans="1:11">
      <c r="A49" s="112" t="str">
        <f>U_3.4_SH_LC!A514</f>
        <v>LC-17</v>
      </c>
      <c r="B49" s="112" t="str">
        <f>U_3.4_SH_LC!B514</f>
        <v>LC-4 + Seismic Sx=1,Sz=0.3,Sy=-0.3</v>
      </c>
      <c r="C49" s="11"/>
      <c r="D49" s="11"/>
      <c r="E49" s="191"/>
      <c r="F49" s="159">
        <f>U_3.4_SH_LC!F514</f>
        <v>1027.9353736512949</v>
      </c>
      <c r="G49" s="159">
        <f>U_3.4_SH_LC!G514</f>
        <v>141.96474695966856</v>
      </c>
      <c r="H49" s="159">
        <f>U_3.4_SH_LC!H514</f>
        <v>41.921438533614847</v>
      </c>
      <c r="I49" s="159">
        <f>U_3.4_SH_LC!I514</f>
        <v>855.30665488957766</v>
      </c>
      <c r="J49" s="309">
        <f>U_3.4_SH_LC!J514</f>
        <v>273.69151113220971</v>
      </c>
      <c r="K49" s="1"/>
    </row>
    <row r="50" spans="1:11">
      <c r="A50" s="112" t="str">
        <f>U_3.4_SH_LC!A552</f>
        <v>LC-18</v>
      </c>
      <c r="B50" s="112" t="str">
        <f>U_3.4_SH_LC!B552</f>
        <v>LC-4 + Seismic Sx=0.3,Sz=1,Sy=-0.3</v>
      </c>
      <c r="C50" s="11"/>
      <c r="D50" s="11"/>
      <c r="E50" s="191"/>
      <c r="F50" s="159">
        <f>U_3.4_SH_LC!F552</f>
        <v>1027.9353736512949</v>
      </c>
      <c r="G50" s="159">
        <f>U_3.4_SH_LC!G552</f>
        <v>47.371124087900562</v>
      </c>
      <c r="H50" s="159">
        <f>U_3.4_SH_LC!H552</f>
        <v>139.73812844538281</v>
      </c>
      <c r="I50" s="159">
        <f>U_3.4_SH_LC!I552</f>
        <v>300.3684497628733</v>
      </c>
      <c r="J50" s="309">
        <f>U_3.4_SH_LC!J552</f>
        <v>921.22856655785495</v>
      </c>
      <c r="K50" s="1"/>
    </row>
    <row r="51" spans="1:11">
      <c r="A51" s="112" t="str">
        <f>U_3.4_SH_LC!A590</f>
        <v>LC-19</v>
      </c>
      <c r="B51" s="112" t="str">
        <f>U_3.4_SH_LC!B590</f>
        <v>LC-4 + Seismic Sx=1,Sz=0.3,Sy=0.3</v>
      </c>
      <c r="C51" s="11"/>
      <c r="D51" s="11"/>
      <c r="E51" s="191"/>
      <c r="F51" s="159">
        <f>U_3.4_SH_LC!F590</f>
        <v>1083.8306250294481</v>
      </c>
      <c r="G51" s="159">
        <f>U_3.4_SH_LC!G590</f>
        <v>141.96474695966856</v>
      </c>
      <c r="H51" s="159">
        <f>U_3.4_SH_LC!H590</f>
        <v>41.921438533614847</v>
      </c>
      <c r="I51" s="159">
        <f>U_3.4_SH_LC!I590</f>
        <v>856.22753118672063</v>
      </c>
      <c r="J51" s="309">
        <f>U_3.4_SH_LC!J590</f>
        <v>273.40587355643834</v>
      </c>
      <c r="K51" s="1"/>
    </row>
    <row r="52" spans="1:11">
      <c r="A52" s="112" t="str">
        <f>U_3.4_SH_LC!A628</f>
        <v>LC-20</v>
      </c>
      <c r="B52" s="112" t="str">
        <f>U_3.4_SH_LC!B628</f>
        <v>LC-4 + Seismic Sx=0.3,Sz=1,Sy=0.3</v>
      </c>
      <c r="C52" s="11"/>
      <c r="D52" s="11"/>
      <c r="E52" s="191"/>
      <c r="F52" s="159">
        <f>U_3.4_SH_LC!F628</f>
        <v>1083.8306250294481</v>
      </c>
      <c r="G52" s="159">
        <f>U_3.4_SH_LC!G628</f>
        <v>47.371124087900562</v>
      </c>
      <c r="H52" s="159">
        <f>U_3.4_SH_LC!H628</f>
        <v>139.73812844538281</v>
      </c>
      <c r="I52" s="159">
        <f>U_3.4_SH_LC!I628</f>
        <v>301.28932606001615</v>
      </c>
      <c r="J52" s="309">
        <f>U_3.4_SH_LC!J628</f>
        <v>920.94292898208346</v>
      </c>
      <c r="K52" s="1"/>
    </row>
    <row r="53" spans="1:11">
      <c r="F53" s="159"/>
      <c r="G53" s="159"/>
      <c r="H53" s="159"/>
      <c r="I53" s="159"/>
      <c r="J53" s="1059"/>
      <c r="K53" s="1"/>
    </row>
    <row r="54" spans="1:11">
      <c r="A54" s="112" t="str">
        <f>U_3.4_SH_LC!A648</f>
        <v>LC-21</v>
      </c>
      <c r="B54" s="112" t="str">
        <f>U_3.4_SH_LC!B648</f>
        <v>NS HFL Span dislodge case</v>
      </c>
      <c r="C54" s="11"/>
      <c r="D54" s="11"/>
      <c r="E54" s="191"/>
      <c r="F54" s="159">
        <f>U_3.4_SH_LC!F648</f>
        <v>631.65778719741854</v>
      </c>
      <c r="G54" s="159">
        <f>U_3.4_SH_LC!G648</f>
        <v>23.515945545112501</v>
      </c>
      <c r="H54" s="159">
        <f>U_3.4_SH_LC!H648</f>
        <v>0.77082515176153144</v>
      </c>
      <c r="I54" s="159">
        <f>U_3.4_SH_LC!I648</f>
        <v>340.0161046423508</v>
      </c>
      <c r="J54" s="309">
        <f>U_3.4_SH_LC!J648</f>
        <v>1.2722721422765415</v>
      </c>
      <c r="K54" s="1"/>
    </row>
    <row r="55" spans="1:11">
      <c r="A55" s="112" t="str">
        <f>U_3.4_SH_LC!A671</f>
        <v>LC-22</v>
      </c>
      <c r="B55" s="112" t="str">
        <f>U_3.4_SH_LC!B671</f>
        <v>NS HFL No Live load</v>
      </c>
      <c r="C55" s="11"/>
      <c r="D55" s="11"/>
      <c r="E55" s="191"/>
      <c r="F55" s="159">
        <f>U_3.4_SH_LC!F671</f>
        <v>1026.7487871974188</v>
      </c>
      <c r="G55" s="159">
        <f>U_3.4_SH_LC!G671</f>
        <v>10.346245545112502</v>
      </c>
      <c r="H55" s="159">
        <f>U_3.4_SH_LC!H671</f>
        <v>0.77082515176153144</v>
      </c>
      <c r="I55" s="159">
        <f>U_3.4_SH_LC!I671</f>
        <v>65.421973642350736</v>
      </c>
      <c r="J55" s="309">
        <f>U_3.4_SH_LC!J671</f>
        <v>1.2722721422765415</v>
      </c>
      <c r="K55" s="1"/>
    </row>
    <row r="56" spans="1:11">
      <c r="A56" s="112" t="str">
        <f>U_3.4_SH_LC!A696</f>
        <v>LC-23</v>
      </c>
      <c r="B56" s="112" t="str">
        <f>U_3.4_SH_LC!B696</f>
        <v>NS HFL With LL max reaction case</v>
      </c>
      <c r="C56" s="11"/>
      <c r="D56" s="11"/>
      <c r="E56" s="191"/>
      <c r="F56" s="159">
        <f>U_3.4_SH_LC!F696</f>
        <v>1237.2673586259903</v>
      </c>
      <c r="G56" s="159">
        <f>U_3.4_SH_LC!G696</f>
        <v>49.643362116541077</v>
      </c>
      <c r="H56" s="159">
        <f>U_3.4_SH_LC!H696</f>
        <v>0.77082515176153144</v>
      </c>
      <c r="I56" s="159">
        <f>U_3.4_SH_LC!I696</f>
        <v>327.58597473949368</v>
      </c>
      <c r="J56" s="309">
        <f>U_3.4_SH_LC!J696</f>
        <v>-31.377072066217657</v>
      </c>
      <c r="K56" s="1"/>
    </row>
    <row r="57" spans="1:11">
      <c r="A57" s="112" t="str">
        <f>U_3.4_SH_LC!A721</f>
        <v>LC-24</v>
      </c>
      <c r="B57" s="112" t="str">
        <f>U_3.4_SH_LC!B721</f>
        <v>NS HFL With LL max moment case</v>
      </c>
      <c r="C57" s="11"/>
      <c r="D57" s="11"/>
      <c r="E57" s="191"/>
      <c r="F57" s="159">
        <f>U_3.4_SH_LC!F721</f>
        <v>1218.5980157688475</v>
      </c>
      <c r="G57" s="159">
        <f>U_3.4_SH_LC!G721</f>
        <v>46.563784116541072</v>
      </c>
      <c r="H57" s="159">
        <f>U_3.4_SH_LC!H721</f>
        <v>0.77082515176153144</v>
      </c>
      <c r="I57" s="159">
        <f>U_3.4_SH_LC!I721</f>
        <v>396.03623787092226</v>
      </c>
      <c r="J57" s="309">
        <f>U_3.4_SH_LC!J721</f>
        <v>-28.481642000580592</v>
      </c>
      <c r="K57" s="1"/>
    </row>
    <row r="58" spans="1:11">
      <c r="F58" s="159"/>
      <c r="G58" s="159"/>
      <c r="H58" s="159"/>
      <c r="I58" s="159"/>
      <c r="J58" s="1059"/>
      <c r="K58" s="1"/>
    </row>
    <row r="59" spans="1:11">
      <c r="A59" s="112" t="str">
        <f>U_3.4_SH_LC!A752</f>
        <v>LC-25</v>
      </c>
      <c r="B59" s="112" t="str">
        <f>U_3.4_SH_LC!B752</f>
        <v>LC-21 + Seismic Sx=1,Sz=0.3,Sy=-0.3 (50% seismic)</v>
      </c>
      <c r="C59" s="11"/>
      <c r="D59" s="11"/>
      <c r="E59" s="191"/>
      <c r="F59" s="159">
        <f>U_3.4_SH_LC!F752</f>
        <v>623.4122925014517</v>
      </c>
      <c r="G59" s="159">
        <f>U_3.4_SH_LC!G752</f>
        <v>94.741511843639273</v>
      </c>
      <c r="H59" s="159">
        <f>U_3.4_SH_LC!H752</f>
        <v>14.785478964123449</v>
      </c>
      <c r="I59" s="159">
        <f>U_3.4_SH_LC!I752</f>
        <v>738.09995407600013</v>
      </c>
      <c r="J59" s="309">
        <f>U_3.4_SH_LC!J752</f>
        <v>77.640441467844028</v>
      </c>
      <c r="K59" s="1"/>
    </row>
    <row r="60" spans="1:11">
      <c r="A60" s="112" t="str">
        <f>U_3.4_SH_LC!A783</f>
        <v>LC-26</v>
      </c>
      <c r="B60" s="112" t="str">
        <f>U_3.4_SH_LC!B783</f>
        <v>LC-21 + Seismic Sx=0.3,Sz=1,Sy=-0.3 (50% seismic)</v>
      </c>
      <c r="C60" s="11"/>
      <c r="D60" s="11"/>
      <c r="E60" s="191"/>
      <c r="F60" s="159">
        <f>U_3.4_SH_LC!F783</f>
        <v>623.4122925014517</v>
      </c>
      <c r="G60" s="159">
        <f>U_3.4_SH_LC!G783</f>
        <v>44.883615434670531</v>
      </c>
      <c r="H60" s="159">
        <f>U_3.4_SH_LC!H783</f>
        <v>47.486337859634588</v>
      </c>
      <c r="I60" s="159">
        <f>U_3.4_SH_LC!I783</f>
        <v>457.67488437244555</v>
      </c>
      <c r="J60" s="309">
        <f>U_3.4_SH_LC!J783</f>
        <v>255.83283656083486</v>
      </c>
      <c r="K60" s="1"/>
    </row>
    <row r="61" spans="1:11">
      <c r="A61" s="112" t="str">
        <f>U_3.4_SH_LC!A814</f>
        <v>LC-27</v>
      </c>
      <c r="B61" s="112" t="str">
        <f>U_3.4_SH_LC!B814</f>
        <v>LC-21 + Seismic Sx=1,Sz=0.3,Sy=0.3 (50% seismic)</v>
      </c>
      <c r="C61" s="11"/>
      <c r="D61" s="11"/>
      <c r="E61" s="191"/>
      <c r="F61" s="159">
        <f>U_3.4_SH_LC!F814</f>
        <v>639.90328189338538</v>
      </c>
      <c r="G61" s="159">
        <f>U_3.4_SH_LC!G814</f>
        <v>94.741511843639273</v>
      </c>
      <c r="H61" s="159">
        <f>U_3.4_SH_LC!H814</f>
        <v>14.785478964123449</v>
      </c>
      <c r="I61" s="159">
        <f>U_3.4_SH_LC!I814</f>
        <v>743.14674007600024</v>
      </c>
      <c r="J61" s="309">
        <f>U_3.4_SH_LC!J814</f>
        <v>77.640441467844028</v>
      </c>
      <c r="K61" s="1"/>
    </row>
    <row r="62" spans="1:11">
      <c r="A62" s="112" t="str">
        <f>U_3.4_SH_LC!A845</f>
        <v>LC-28</v>
      </c>
      <c r="B62" s="112" t="str">
        <f>U_3.4_SH_LC!B845</f>
        <v>LC-21 + Seismic Sx=0.3,Sz=1,Sy=0.3 (50% seismic)</v>
      </c>
      <c r="C62" s="11"/>
      <c r="D62" s="11"/>
      <c r="E62" s="191"/>
      <c r="F62" s="159">
        <f>U_3.4_SH_LC!F845</f>
        <v>639.90328189338538</v>
      </c>
      <c r="G62" s="159">
        <f>U_3.4_SH_LC!G845</f>
        <v>44.883615434670531</v>
      </c>
      <c r="H62" s="159">
        <f>U_3.4_SH_LC!H845</f>
        <v>47.486337859634588</v>
      </c>
      <c r="I62" s="159">
        <f>U_3.4_SH_LC!I845</f>
        <v>462.72167037244554</v>
      </c>
      <c r="J62" s="309">
        <f>U_3.4_SH_LC!J845</f>
        <v>255.83283656083486</v>
      </c>
      <c r="K62" s="1"/>
    </row>
    <row r="63" spans="1:11">
      <c r="F63" s="159"/>
      <c r="G63" s="159"/>
      <c r="H63" s="159"/>
      <c r="I63" s="159"/>
      <c r="J63" s="1059"/>
      <c r="K63" s="1"/>
    </row>
    <row r="64" spans="1:11">
      <c r="A64" s="112" t="str">
        <f>U_3.4_SH_LC!A881</f>
        <v>LC-29</v>
      </c>
      <c r="B64" s="112" t="str">
        <f>U_3.4_SH_LC!B881</f>
        <v>LC-22 + Seismic Sx=1,Sz=0.3,Sy=-0.3</v>
      </c>
      <c r="C64" s="11"/>
      <c r="D64" s="11"/>
      <c r="E64" s="191"/>
      <c r="F64" s="159">
        <f>U_3.4_SH_LC!F881</f>
        <v>999.72203780548512</v>
      </c>
      <c r="G64" s="159">
        <f>U_3.4_SH_LC!G881</f>
        <v>152.79737814216605</v>
      </c>
      <c r="H64" s="159">
        <f>U_3.4_SH_LC!H881</f>
        <v>43.506164930877603</v>
      </c>
      <c r="I64" s="159">
        <f>U_3.4_SH_LC!I881</f>
        <v>866.63645850964929</v>
      </c>
      <c r="J64" s="309">
        <f>U_3.4_SH_LC!J881</f>
        <v>268.66209226418351</v>
      </c>
      <c r="K64" s="1"/>
    </row>
    <row r="65" spans="1:11">
      <c r="A65" s="112" t="str">
        <f>U_3.4_SH_LC!A917</f>
        <v>LC-30</v>
      </c>
      <c r="B65" s="112" t="str">
        <f>U_3.4_SH_LC!B917</f>
        <v>LC-22 + Seismic Sx=0.3,Sz=1,Sy=-0.3</v>
      </c>
      <c r="C65" s="11"/>
      <c r="D65" s="11"/>
      <c r="E65" s="191"/>
      <c r="F65" s="159">
        <f>U_3.4_SH_LC!F917</f>
        <v>999.72203780548512</v>
      </c>
      <c r="G65" s="159">
        <f>U_3.4_SH_LC!G917</f>
        <v>53.081585324228577</v>
      </c>
      <c r="H65" s="159">
        <f>U_3.4_SH_LC!H917</f>
        <v>143.2219577488151</v>
      </c>
      <c r="I65" s="159">
        <f>U_3.4_SH_LC!I917</f>
        <v>305.78631910254029</v>
      </c>
      <c r="J65" s="309">
        <f>U_3.4_SH_LC!J917</f>
        <v>892.57167254863327</v>
      </c>
      <c r="K65" s="1"/>
    </row>
    <row r="66" spans="1:11">
      <c r="A66" s="112" t="str">
        <f>U_3.4_SH_LC!A953</f>
        <v>LC-31</v>
      </c>
      <c r="B66" s="112" t="str">
        <f>U_3.4_SH_LC!B953</f>
        <v>LC-22 + Seismic Sx=1,Sz=0.3,Sy=0.3</v>
      </c>
      <c r="C66" s="11"/>
      <c r="D66" s="11"/>
      <c r="E66" s="191"/>
      <c r="F66" s="159">
        <f>U_3.4_SH_LC!F953</f>
        <v>1053.7755365893524</v>
      </c>
      <c r="G66" s="159">
        <f>U_3.4_SH_LC!G953</f>
        <v>152.79737814216605</v>
      </c>
      <c r="H66" s="159">
        <f>U_3.4_SH_LC!H953</f>
        <v>43.506164930877603</v>
      </c>
      <c r="I66" s="159">
        <f>U_3.4_SH_LC!I953</f>
        <v>866.63645850964929</v>
      </c>
      <c r="J66" s="309">
        <f>U_3.4_SH_LC!J953</f>
        <v>268.66209226418351</v>
      </c>
      <c r="K66" s="1"/>
    </row>
    <row r="67" spans="1:11">
      <c r="A67" s="112" t="str">
        <f>U_3.4_SH_LC!A989</f>
        <v>LC-32</v>
      </c>
      <c r="B67" s="112" t="str">
        <f>U_3.4_SH_LC!B989</f>
        <v>LC-22 + Seismic Sx=0.3,Sz=1,Sy=0.3</v>
      </c>
      <c r="C67" s="11"/>
      <c r="D67" s="11"/>
      <c r="E67" s="191"/>
      <c r="F67" s="159">
        <f>U_3.4_SH_LC!F989</f>
        <v>1053.7755365893524</v>
      </c>
      <c r="G67" s="159">
        <f>U_3.4_SH_LC!G989</f>
        <v>53.081585324228577</v>
      </c>
      <c r="H67" s="159">
        <f>U_3.4_SH_LC!H989</f>
        <v>143.2219577488151</v>
      </c>
      <c r="I67" s="159">
        <f>U_3.4_SH_LC!I989</f>
        <v>305.78631910254029</v>
      </c>
      <c r="J67" s="309">
        <f>U_3.4_SH_LC!J989</f>
        <v>892.57167254863327</v>
      </c>
      <c r="K67" s="1"/>
    </row>
    <row r="68" spans="1:11">
      <c r="F68" s="159"/>
      <c r="G68" s="159"/>
      <c r="H68" s="159"/>
      <c r="I68" s="159"/>
      <c r="J68" s="1059"/>
      <c r="K68" s="1"/>
    </row>
    <row r="69" spans="1:11">
      <c r="A69" s="112" t="str">
        <f>U_3.4_SH_LC!A1031</f>
        <v>LC-33</v>
      </c>
      <c r="B69" s="112" t="str">
        <f>U_3.4_SH_LC!B1031</f>
        <v>LC-23 + Seismic Sx=1,Sz=0.3,Sy=-0.3</v>
      </c>
      <c r="C69" s="11"/>
      <c r="D69" s="11"/>
      <c r="E69" s="191"/>
      <c r="F69" s="159">
        <f>U_3.4_SH_LC!F1031</f>
        <v>1026.7806915197709</v>
      </c>
      <c r="G69" s="159">
        <f>U_3.4_SH_LC!G1031</f>
        <v>150.84857814216608</v>
      </c>
      <c r="H69" s="159">
        <f>U_3.4_SH_LC!H1031</f>
        <v>45.021898645163319</v>
      </c>
      <c r="I69" s="159">
        <f>U_3.4_SH_LC!I1031</f>
        <v>854.9746362467921</v>
      </c>
      <c r="J69" s="309">
        <f>U_3.4_SH_LC!J1031</f>
        <v>278.35726271334698</v>
      </c>
      <c r="K69" s="1"/>
    </row>
    <row r="70" spans="1:11">
      <c r="A70" s="112" t="str">
        <f>U_3.4_SH_LC!A1073</f>
        <v>LC-34</v>
      </c>
      <c r="B70" s="112" t="str">
        <f>U_3.4_SH_LC!B1073</f>
        <v>LC-23 + Seismic Sx=0.3,Sz=1,Sy=-0.3</v>
      </c>
      <c r="C70" s="11"/>
      <c r="D70" s="11"/>
      <c r="E70" s="191"/>
      <c r="F70" s="159">
        <f>U_3.4_SH_LC!F1073</f>
        <v>1026.7806915197709</v>
      </c>
      <c r="G70" s="159">
        <f>U_3.4_SH_LC!G1073</f>
        <v>51.132785324228578</v>
      </c>
      <c r="H70" s="159">
        <f>U_3.4_SH_LC!H1073</f>
        <v>148.27440346310081</v>
      </c>
      <c r="I70" s="159">
        <f>U_3.4_SH_LC!I1073</f>
        <v>294.12449683968316</v>
      </c>
      <c r="J70" s="309">
        <f>U_3.4_SH_LC!J1073</f>
        <v>934.68080847779652</v>
      </c>
      <c r="K70" s="1"/>
    </row>
    <row r="71" spans="1:11">
      <c r="A71" s="112" t="str">
        <f>U_3.4_SH_LC!A1115</f>
        <v>LC-35</v>
      </c>
      <c r="B71" s="112" t="str">
        <f>U_3.4_SH_LC!B1115</f>
        <v>LC-23 + Seismic Sx=1,Sz=0.3,Sy=0.3</v>
      </c>
      <c r="C71" s="11"/>
      <c r="D71" s="11"/>
      <c r="E71" s="191"/>
      <c r="F71" s="159">
        <f>U_3.4_SH_LC!F1115</f>
        <v>1082.8551685893524</v>
      </c>
      <c r="G71" s="159">
        <f>U_3.4_SH_LC!G1115</f>
        <v>150.84857814216608</v>
      </c>
      <c r="H71" s="159">
        <f>U_3.4_SH_LC!H1115</f>
        <v>45.021898645163319</v>
      </c>
      <c r="I71" s="159">
        <f>U_3.4_SH_LC!I1115</f>
        <v>855.04681562964936</v>
      </c>
      <c r="J71" s="309">
        <f>U_3.4_SH_LC!J1115</f>
        <v>278.04382900894547</v>
      </c>
      <c r="K71" s="1"/>
    </row>
    <row r="72" spans="1:11">
      <c r="A72" s="112" t="str">
        <f>U_3.4_SH_LC!A1157</f>
        <v>LC-36</v>
      </c>
      <c r="B72" s="112" t="str">
        <f>U_3.4_SH_LC!B1157</f>
        <v>LC-23 + Seismic Sx=0.3,Sz=1,Sy=0.3</v>
      </c>
      <c r="C72" s="11"/>
      <c r="D72" s="11"/>
      <c r="E72" s="191"/>
      <c r="F72" s="159">
        <f>U_3.4_SH_LC!F1157</f>
        <v>1082.8551685893524</v>
      </c>
      <c r="G72" s="159">
        <f>U_3.4_SH_LC!G1157</f>
        <v>51.132785324228578</v>
      </c>
      <c r="H72" s="159">
        <f>U_3.4_SH_LC!H1157</f>
        <v>148.27440346310081</v>
      </c>
      <c r="I72" s="159">
        <f>U_3.4_SH_LC!I1157</f>
        <v>294.1966762225403</v>
      </c>
      <c r="J72" s="309">
        <f>U_3.4_SH_LC!J1157</f>
        <v>934.36737477339511</v>
      </c>
      <c r="K72" s="1"/>
    </row>
    <row r="73" spans="1:11">
      <c r="F73" s="159"/>
      <c r="G73" s="159"/>
      <c r="H73" s="159"/>
      <c r="I73" s="159"/>
      <c r="J73" s="1059"/>
      <c r="K73" s="1"/>
    </row>
    <row r="74" spans="1:11">
      <c r="A74" s="112" t="str">
        <f>U_3.4_SH_LC!A1199</f>
        <v>LC-37</v>
      </c>
      <c r="B74" s="112" t="str">
        <f>U_3.4_SH_LC!B1199</f>
        <v>LC-24 + Seismic Sx=1,Sz=0.3,Sy=-0.3</v>
      </c>
      <c r="C74" s="11"/>
      <c r="D74" s="11"/>
      <c r="E74" s="191"/>
      <c r="F74" s="159">
        <f>U_3.4_SH_LC!F1199</f>
        <v>1024.3810586511993</v>
      </c>
      <c r="G74" s="159">
        <f>U_3.4_SH_LC!G1199</f>
        <v>150.84857814216608</v>
      </c>
      <c r="H74" s="159">
        <f>U_3.4_SH_LC!H1199</f>
        <v>44.887479376591891</v>
      </c>
      <c r="I74" s="159">
        <f>U_3.4_SH_LC!I1199</f>
        <v>866.33774493250644</v>
      </c>
      <c r="J74" s="309">
        <f>U_3.4_SH_LC!J1199</f>
        <v>277.49746939465967</v>
      </c>
      <c r="K74" s="1"/>
    </row>
    <row r="75" spans="1:11">
      <c r="A75" s="112" t="str">
        <f>U_3.4_SH_LC!A1241</f>
        <v>LC-38</v>
      </c>
      <c r="B75" s="112" t="str">
        <f>U_3.4_SH_LC!B1241</f>
        <v>LC-24 + Seismic Sx=0.3,Sz=1,Sy=-0.3</v>
      </c>
      <c r="C75" s="11"/>
      <c r="D75" s="11"/>
      <c r="E75" s="191"/>
      <c r="F75" s="159">
        <f>U_3.4_SH_LC!F1241</f>
        <v>1024.3810586511993</v>
      </c>
      <c r="G75" s="159">
        <f>U_3.4_SH_LC!G1241</f>
        <v>51.132785324228578</v>
      </c>
      <c r="H75" s="159">
        <f>U_3.4_SH_LC!H1241</f>
        <v>147.82633923452937</v>
      </c>
      <c r="I75" s="159">
        <f>U_3.4_SH_LC!I1241</f>
        <v>305.48760552539744</v>
      </c>
      <c r="J75" s="309">
        <f>U_3.4_SH_LC!J1241</f>
        <v>930.94645910070949</v>
      </c>
      <c r="K75" s="1"/>
    </row>
    <row r="76" spans="1:11">
      <c r="A76" s="112" t="str">
        <f>U_3.4_SH_LC!A1283</f>
        <v>LC-39</v>
      </c>
      <c r="B76" s="112" t="str">
        <f>U_3.4_SH_LC!B1283</f>
        <v>LC-24 + Seismic Sx=1,Sz=0.3,Sy=0.3</v>
      </c>
      <c r="C76" s="11"/>
      <c r="D76" s="11"/>
      <c r="E76" s="191"/>
      <c r="F76" s="159">
        <f>U_3.4_SH_LC!F1283</f>
        <v>1080.2763100293525</v>
      </c>
      <c r="G76" s="159">
        <f>U_3.4_SH_LC!G1283</f>
        <v>150.84857814216608</v>
      </c>
      <c r="H76" s="159">
        <f>U_3.4_SH_LC!H1283</f>
        <v>44.887479376591891</v>
      </c>
      <c r="I76" s="159">
        <f>U_3.4_SH_LC!I1283</f>
        <v>867.25862122964941</v>
      </c>
      <c r="J76" s="309">
        <f>U_3.4_SH_LC!J1283</f>
        <v>277.2118318188883</v>
      </c>
      <c r="K76" s="1"/>
    </row>
    <row r="77" spans="1:11">
      <c r="A77" s="112" t="str">
        <f>U_3.4_SH_LC!A1325</f>
        <v>LC-40</v>
      </c>
      <c r="B77" s="112" t="str">
        <f>U_3.4_SH_LC!B1325</f>
        <v>LC-24 + Seismic Sx=0.3,Sz=1,Sy=0.3</v>
      </c>
      <c r="C77" s="11"/>
      <c r="D77" s="11"/>
      <c r="E77" s="191"/>
      <c r="F77" s="159">
        <f>U_3.4_SH_LC!F1325</f>
        <v>1080.2763100293525</v>
      </c>
      <c r="G77" s="159">
        <f>U_3.4_SH_LC!G1325</f>
        <v>51.132785324228578</v>
      </c>
      <c r="H77" s="159">
        <f>U_3.4_SH_LC!H1325</f>
        <v>147.82633923452937</v>
      </c>
      <c r="I77" s="159">
        <f>U_3.4_SH_LC!I1325</f>
        <v>306.4084818225403</v>
      </c>
      <c r="J77" s="309">
        <f>U_3.4_SH_LC!J1325</f>
        <v>930.660821524938</v>
      </c>
      <c r="K77" s="1"/>
    </row>
    <row r="78" spans="1:11">
      <c r="A78" s="112"/>
      <c r="B78" s="112"/>
      <c r="C78" s="11"/>
      <c r="D78" s="11"/>
      <c r="E78" s="191"/>
      <c r="F78" s="34"/>
      <c r="G78" s="34"/>
      <c r="H78" s="34"/>
      <c r="I78" s="34"/>
      <c r="J78" s="11"/>
      <c r="K78" s="1"/>
    </row>
    <row r="79" spans="1:11">
      <c r="K79" s="1"/>
    </row>
    <row r="80" spans="1:11">
      <c r="K80" s="1"/>
    </row>
    <row r="81" spans="11:11">
      <c r="K81" s="1"/>
    </row>
    <row r="82" spans="11:11">
      <c r="K82" s="1"/>
    </row>
    <row r="83" spans="11:11">
      <c r="K83" s="1"/>
    </row>
    <row r="84" spans="11:11">
      <c r="K84" s="1"/>
    </row>
    <row r="85" spans="11:11">
      <c r="K85" s="1"/>
    </row>
    <row r="86" spans="11:11">
      <c r="K86" s="1"/>
    </row>
    <row r="87" spans="11:11">
      <c r="K87" s="1"/>
    </row>
    <row r="88" spans="11:11">
      <c r="K88" s="1"/>
    </row>
    <row r="89" spans="11:11">
      <c r="K89" s="1"/>
    </row>
    <row r="90" spans="11:11">
      <c r="K90" s="1"/>
    </row>
    <row r="91" spans="11:11">
      <c r="K91" s="1"/>
    </row>
    <row r="92" spans="11:11">
      <c r="K92" s="1"/>
    </row>
    <row r="93" spans="11:11">
      <c r="K93" s="1"/>
    </row>
    <row r="94" spans="11:11">
      <c r="K94" s="1"/>
    </row>
    <row r="95" spans="11:11">
      <c r="K95" s="1"/>
    </row>
    <row r="96" spans="11:11">
      <c r="K96" s="1"/>
    </row>
    <row r="97" spans="11:11">
      <c r="K97" s="1"/>
    </row>
    <row r="98" spans="11:11">
      <c r="K98" s="1"/>
    </row>
    <row r="99" spans="11:11">
      <c r="K99" s="1"/>
    </row>
    <row r="100" spans="11:11">
      <c r="K100" s="1"/>
    </row>
    <row r="101" spans="11:11">
      <c r="K101" s="1"/>
    </row>
    <row r="102" spans="11:11">
      <c r="K102" s="1"/>
    </row>
    <row r="103" spans="11:11">
      <c r="K103" s="1"/>
    </row>
    <row r="104" spans="11:11">
      <c r="K104" s="1"/>
    </row>
    <row r="105" spans="11:11">
      <c r="K105" s="1"/>
    </row>
    <row r="106" spans="11:11">
      <c r="K106" s="1"/>
    </row>
    <row r="107" spans="11:11">
      <c r="K107" s="1"/>
    </row>
    <row r="108" spans="11:11">
      <c r="K108" s="1"/>
    </row>
    <row r="109" spans="11:11">
      <c r="K109" s="1"/>
    </row>
    <row r="110" spans="11:11">
      <c r="K110" s="1"/>
    </row>
    <row r="111" spans="11:11">
      <c r="K111" s="1"/>
    </row>
    <row r="112" spans="11:11">
      <c r="K112" s="1"/>
    </row>
    <row r="113" spans="11:11">
      <c r="K113" s="1"/>
    </row>
    <row r="114" spans="11:11">
      <c r="K114" s="1"/>
    </row>
    <row r="115" spans="11:11">
      <c r="K115" s="1"/>
    </row>
    <row r="116" spans="11:11">
      <c r="K116" s="1"/>
    </row>
    <row r="117" spans="11:11">
      <c r="K117" s="1"/>
    </row>
    <row r="118" spans="11:11">
      <c r="K118" s="1"/>
    </row>
    <row r="119" spans="11:11">
      <c r="K119" s="1"/>
    </row>
    <row r="120" spans="11:11">
      <c r="K120" s="1"/>
    </row>
    <row r="121" spans="11:11">
      <c r="K121" s="1"/>
    </row>
    <row r="122" spans="11:11">
      <c r="K122" s="1"/>
    </row>
    <row r="123" spans="11:11">
      <c r="K123" s="1"/>
    </row>
    <row r="124" spans="11:11">
      <c r="K124" s="1"/>
    </row>
    <row r="125" spans="11:11">
      <c r="K125" s="1"/>
    </row>
    <row r="126" spans="11:11">
      <c r="K126" s="1"/>
    </row>
    <row r="127" spans="11:11">
      <c r="K127" s="1"/>
    </row>
    <row r="128" spans="11:11">
      <c r="K128" s="1"/>
    </row>
    <row r="129" spans="11:11">
      <c r="K129" s="1"/>
    </row>
    <row r="130" spans="11:11">
      <c r="K130" s="1"/>
    </row>
    <row r="131" spans="11:11">
      <c r="K131" s="1"/>
    </row>
    <row r="132" spans="11:11">
      <c r="K132" s="1"/>
    </row>
    <row r="133" spans="11:11">
      <c r="K133" s="1"/>
    </row>
    <row r="134" spans="11:11">
      <c r="K134" s="1"/>
    </row>
    <row r="135" spans="11:11">
      <c r="K135" s="1"/>
    </row>
    <row r="136" spans="11:11">
      <c r="K136" s="1"/>
    </row>
    <row r="137" spans="11:11">
      <c r="K137" s="1"/>
    </row>
    <row r="138" spans="11:11">
      <c r="K138" s="1"/>
    </row>
    <row r="139" spans="11:11">
      <c r="K139" s="1"/>
    </row>
    <row r="140" spans="11:11">
      <c r="K140" s="1"/>
    </row>
    <row r="141" spans="11:11">
      <c r="K141" s="1"/>
    </row>
    <row r="142" spans="11:11">
      <c r="K142" s="1"/>
    </row>
    <row r="143" spans="11:11">
      <c r="K143" s="1"/>
    </row>
    <row r="144" spans="11:11">
      <c r="K144" s="1"/>
    </row>
    <row r="145" spans="11:11">
      <c r="K145" s="1"/>
    </row>
    <row r="146" spans="11:11">
      <c r="K146" s="1"/>
    </row>
    <row r="147" spans="11:11">
      <c r="K147" s="1"/>
    </row>
    <row r="148" spans="11:11">
      <c r="K148" s="1"/>
    </row>
    <row r="149" spans="11:11">
      <c r="K149" s="1"/>
    </row>
    <row r="150" spans="11:11">
      <c r="K150" s="1"/>
    </row>
    <row r="151" spans="11:11">
      <c r="K151" s="1"/>
    </row>
    <row r="152" spans="11:11">
      <c r="K152" s="1"/>
    </row>
    <row r="153" spans="11:11">
      <c r="K153" s="1"/>
    </row>
    <row r="154" spans="11:11">
      <c r="K154" s="1"/>
    </row>
    <row r="155" spans="11:11">
      <c r="K155" s="1"/>
    </row>
    <row r="156" spans="11:11">
      <c r="K156" s="1"/>
    </row>
    <row r="157" spans="11:11">
      <c r="K157" s="1"/>
    </row>
    <row r="158" spans="11:11">
      <c r="K158" s="1"/>
    </row>
    <row r="159" spans="11:11">
      <c r="K159" s="1"/>
    </row>
    <row r="160" spans="11:11">
      <c r="K160" s="1"/>
    </row>
    <row r="161" spans="11:11">
      <c r="K161" s="1"/>
    </row>
  </sheetData>
  <mergeCells count="1">
    <mergeCell ref="F26:J26"/>
  </mergeCells>
  <pageMargins left="0.70866141732283505" right="0.20866141699999999" top="0.74803149606299202" bottom="0.24803149599999999" header="0.31496062992126" footer="0.31496062992126"/>
  <pageSetup paperSize="9" scale="98" orientation="portrait" blackAndWhite="1" r:id="rId1"/>
  <rowBreaks count="1" manualBreakCount="1">
    <brk id="52" max="9" man="1"/>
  </rowBreaks>
  <drawing r:id="rId2"/>
</worksheet>
</file>

<file path=xl/worksheets/sheet42.xml><?xml version="1.0" encoding="utf-8"?>
<worksheet xmlns="http://schemas.openxmlformats.org/spreadsheetml/2006/main" xmlns:r="http://schemas.openxmlformats.org/officeDocument/2006/relationships">
  <sheetPr codeName="Sheet58">
    <tabColor theme="5" tint="0.39997558519241921"/>
  </sheetPr>
  <dimension ref="A1:U158"/>
  <sheetViews>
    <sheetView view="pageBreakPreview" topLeftCell="A88" zoomScaleSheetLayoutView="100" workbookViewId="0">
      <selection activeCell="M32" sqref="M32:M34"/>
    </sheetView>
  </sheetViews>
  <sheetFormatPr defaultColWidth="6.7109375" defaultRowHeight="15"/>
  <cols>
    <col min="1" max="16384" width="6.7109375" style="1"/>
  </cols>
  <sheetData>
    <row r="1" spans="1:18">
      <c r="A1" s="214" t="s">
        <v>1877</v>
      </c>
      <c r="I1" s="1" t="s">
        <v>1878</v>
      </c>
    </row>
    <row r="2" spans="1:18">
      <c r="C2" s="528" t="s">
        <v>1945</v>
      </c>
    </row>
    <row r="3" spans="1:18" ht="17.25">
      <c r="G3" s="1" t="s">
        <v>457</v>
      </c>
      <c r="H3" s="1" t="s">
        <v>1</v>
      </c>
      <c r="I3" s="1745">
        <f>C19*E12</f>
        <v>7618233.7649086295</v>
      </c>
      <c r="J3" s="1745"/>
      <c r="K3" s="1" t="s">
        <v>570</v>
      </c>
    </row>
    <row r="4" spans="1:18" ht="17.25">
      <c r="C4" s="291" t="s">
        <v>1640</v>
      </c>
      <c r="G4" s="1" t="s">
        <v>1179</v>
      </c>
      <c r="H4" s="1" t="s">
        <v>1</v>
      </c>
      <c r="I4" s="394">
        <f>CD!O26</f>
        <v>28148.670176164549</v>
      </c>
      <c r="J4" s="1" t="s">
        <v>570</v>
      </c>
    </row>
    <row r="5" spans="1:18">
      <c r="G5" s="1" t="s">
        <v>331</v>
      </c>
      <c r="H5" s="1" t="s">
        <v>1</v>
      </c>
      <c r="I5" s="1534">
        <f>GEN!H22</f>
        <v>15.633333333333335</v>
      </c>
      <c r="J5" s="1" t="s">
        <v>293</v>
      </c>
    </row>
    <row r="6" spans="1:18">
      <c r="G6" s="1" t="s">
        <v>304</v>
      </c>
      <c r="H6" s="1" t="s">
        <v>1</v>
      </c>
      <c r="I6" s="1534">
        <f>GEN!H29</f>
        <v>434.78260869565224</v>
      </c>
      <c r="J6" s="1" t="s">
        <v>293</v>
      </c>
    </row>
    <row r="8" spans="1:18">
      <c r="D8" s="1140" t="s">
        <v>1647</v>
      </c>
      <c r="G8" s="291" t="s">
        <v>1879</v>
      </c>
    </row>
    <row r="9" spans="1:18" ht="18.75">
      <c r="B9" s="10"/>
      <c r="E9" s="528" t="s">
        <v>1946</v>
      </c>
      <c r="G9" s="1" t="s">
        <v>1880</v>
      </c>
      <c r="L9" s="1" t="s">
        <v>1763</v>
      </c>
      <c r="M9" s="1" t="s">
        <v>1</v>
      </c>
      <c r="N9" s="1746">
        <f>E12*C19^3/12</f>
        <v>914188051789.03552</v>
      </c>
      <c r="O9" s="1746"/>
      <c r="P9" s="1" t="s">
        <v>484</v>
      </c>
    </row>
    <row r="10" spans="1:18" ht="18.75">
      <c r="G10" s="1" t="s">
        <v>1881</v>
      </c>
      <c r="L10" s="1" t="s">
        <v>1765</v>
      </c>
      <c r="M10" s="1" t="s">
        <v>1</v>
      </c>
      <c r="N10" s="1746">
        <f>E12^3*C19/12</f>
        <v>25586986873016.027</v>
      </c>
      <c r="O10" s="1746"/>
      <c r="P10" s="1" t="s">
        <v>484</v>
      </c>
    </row>
    <row r="11" spans="1:18">
      <c r="B11" s="1232" t="s">
        <v>1649</v>
      </c>
      <c r="C11" s="10"/>
      <c r="E11" s="528" t="s">
        <v>1644</v>
      </c>
    </row>
    <row r="12" spans="1:18" ht="18">
      <c r="E12" s="1230">
        <f>U_3.4_SH_SUM!F11</f>
        <v>6348.5281374238575</v>
      </c>
      <c r="G12" s="1" t="s">
        <v>1882</v>
      </c>
      <c r="L12" s="1" t="s">
        <v>1883</v>
      </c>
      <c r="M12" s="1" t="s">
        <v>1</v>
      </c>
      <c r="N12" s="1" t="s">
        <v>1884</v>
      </c>
      <c r="P12" s="1" t="s">
        <v>1</v>
      </c>
      <c r="Q12" s="1">
        <f>SQRT(N9/I3)</f>
        <v>346.41016151377545</v>
      </c>
      <c r="R12" s="1" t="s">
        <v>5</v>
      </c>
    </row>
    <row r="13" spans="1:18" ht="18">
      <c r="G13" s="1" t="s">
        <v>1885</v>
      </c>
      <c r="L13" s="1" t="s">
        <v>1886</v>
      </c>
      <c r="M13" s="1" t="s">
        <v>1</v>
      </c>
      <c r="N13" s="1" t="s">
        <v>1887</v>
      </c>
      <c r="P13" s="1" t="s">
        <v>1</v>
      </c>
      <c r="Q13" s="1">
        <f>SQRT(N10/I3)</f>
        <v>1832.6622145497888</v>
      </c>
      <c r="R13" s="1" t="s">
        <v>5</v>
      </c>
    </row>
    <row r="16" spans="1:18">
      <c r="C16" s="291" t="s">
        <v>1650</v>
      </c>
    </row>
    <row r="18" spans="1:21">
      <c r="C18" s="528"/>
    </row>
    <row r="19" spans="1:21">
      <c r="B19" s="10" t="s">
        <v>1651</v>
      </c>
      <c r="C19" s="1230">
        <f>U_3.4_SH_SUM!C20</f>
        <v>1200</v>
      </c>
    </row>
    <row r="21" spans="1:21">
      <c r="A21" s="1" t="s">
        <v>1888</v>
      </c>
      <c r="G21" s="1" t="s">
        <v>1889</v>
      </c>
      <c r="H21" s="1" t="s">
        <v>1</v>
      </c>
      <c r="I21" s="1536">
        <f>GEN!H136+GEN!G130</f>
        <v>5.8239999999999954</v>
      </c>
      <c r="J21" s="1" t="s">
        <v>2</v>
      </c>
      <c r="L21" s="150"/>
    </row>
    <row r="22" spans="1:21" ht="18">
      <c r="A22" s="1" t="s">
        <v>1890</v>
      </c>
      <c r="C22" s="528"/>
      <c r="G22" s="1" t="s">
        <v>1891</v>
      </c>
      <c r="H22" s="1" t="s">
        <v>1</v>
      </c>
      <c r="I22" s="4">
        <v>1.4</v>
      </c>
      <c r="J22" s="1" t="s">
        <v>1892</v>
      </c>
      <c r="K22" s="1" t="s">
        <v>1</v>
      </c>
      <c r="L22" s="150">
        <f>I22*I21</f>
        <v>8.1535999999999937</v>
      </c>
      <c r="M22" s="1" t="s">
        <v>2</v>
      </c>
    </row>
    <row r="23" spans="1:21" ht="18">
      <c r="A23" s="1" t="s">
        <v>1893</v>
      </c>
      <c r="G23" s="323" t="s">
        <v>1894</v>
      </c>
      <c r="H23" s="1" t="s">
        <v>1</v>
      </c>
      <c r="I23" s="1" t="s">
        <v>1895</v>
      </c>
      <c r="K23" s="1" t="s">
        <v>1</v>
      </c>
      <c r="L23" s="1">
        <f>L22*1000/Q12</f>
        <v>23.537415774322646</v>
      </c>
    </row>
    <row r="24" spans="1:21" ht="15" customHeight="1"/>
    <row r="25" spans="1:21" ht="18">
      <c r="A25" s="1" t="s">
        <v>1896</v>
      </c>
      <c r="C25" s="528"/>
      <c r="G25" s="1" t="s">
        <v>1897</v>
      </c>
      <c r="H25" s="1" t="s">
        <v>1</v>
      </c>
      <c r="I25" s="4">
        <v>2.2999999999999998</v>
      </c>
      <c r="J25" s="1" t="s">
        <v>1892</v>
      </c>
      <c r="K25" s="1" t="s">
        <v>1</v>
      </c>
      <c r="L25" s="150">
        <f>I25*I21</f>
        <v>13.395199999999988</v>
      </c>
      <c r="M25" s="1" t="s">
        <v>2</v>
      </c>
    </row>
    <row r="26" spans="1:21" ht="18">
      <c r="A26" s="1" t="s">
        <v>1898</v>
      </c>
      <c r="G26" s="323" t="s">
        <v>1899</v>
      </c>
      <c r="H26" s="1" t="s">
        <v>1</v>
      </c>
      <c r="I26" s="1" t="s">
        <v>1900</v>
      </c>
      <c r="K26" s="1" t="s">
        <v>1</v>
      </c>
      <c r="L26" s="302">
        <f>L25*1000/Q13</f>
        <v>7.3091483491357128</v>
      </c>
    </row>
    <row r="28" spans="1:21" ht="18">
      <c r="A28" s="291" t="s">
        <v>125</v>
      </c>
      <c r="C28" s="323" t="s">
        <v>1901</v>
      </c>
      <c r="D28" s="1" t="s">
        <v>1</v>
      </c>
      <c r="E28" s="79">
        <f>L23/L26</f>
        <v>3.2202678957947106</v>
      </c>
      <c r="F28" s="528" t="str">
        <f>IF(E28&gt;G28,"&gt;","&lt;")</f>
        <v>&gt;</v>
      </c>
      <c r="G28" s="6">
        <v>2</v>
      </c>
      <c r="I28" s="334" t="str">
        <f>IF(E28&lt;G28,"Ignore second order effect","Check for limiting slenderness ratio")</f>
        <v>Check for limiting slenderness ratio</v>
      </c>
      <c r="J28" s="334"/>
      <c r="K28" s="334"/>
      <c r="L28" s="334"/>
    </row>
    <row r="29" spans="1:21" ht="18">
      <c r="B29" s="1" t="s">
        <v>1902</v>
      </c>
      <c r="C29" s="323" t="s">
        <v>1903</v>
      </c>
      <c r="D29" s="1" t="s">
        <v>1</v>
      </c>
      <c r="E29" s="79">
        <f>L26/L23</f>
        <v>0.31053317064269148</v>
      </c>
      <c r="F29" s="528" t="str">
        <f>IF(E29&gt;G29,"&gt;","&lt;")</f>
        <v>&lt;</v>
      </c>
      <c r="G29" s="6">
        <v>2</v>
      </c>
      <c r="I29" s="334" t="str">
        <f>IF(E29&lt;G29,"Ignore second order effect","Check for limiting slenderness ratio")</f>
        <v>Ignore second order effect</v>
      </c>
      <c r="J29" s="334"/>
      <c r="K29" s="334"/>
      <c r="L29" s="334"/>
    </row>
    <row r="31" spans="1:21">
      <c r="A31" s="249" t="s">
        <v>1904</v>
      </c>
      <c r="B31" s="229"/>
      <c r="C31" s="229"/>
      <c r="D31" s="229"/>
      <c r="E31" s="230"/>
      <c r="F31" s="229"/>
      <c r="G31" s="230"/>
      <c r="H31" s="230"/>
      <c r="I31" s="230"/>
      <c r="J31" s="231"/>
      <c r="K31" s="223"/>
      <c r="L31" s="1636" t="s">
        <v>1905</v>
      </c>
      <c r="M31" s="1637"/>
      <c r="N31" s="1637"/>
      <c r="O31" s="1637"/>
      <c r="P31" s="1637"/>
      <c r="Q31" s="1637"/>
      <c r="R31" s="1637"/>
      <c r="S31" s="1637"/>
      <c r="T31" s="1637"/>
      <c r="U31" s="1638"/>
    </row>
    <row r="32" spans="1:21" ht="18" customHeight="1">
      <c r="A32" s="220" t="s">
        <v>73</v>
      </c>
      <c r="B32" s="220" t="s">
        <v>74</v>
      </c>
      <c r="C32" s="200"/>
      <c r="D32" s="200"/>
      <c r="E32" s="217"/>
      <c r="F32" s="1636" t="s">
        <v>1906</v>
      </c>
      <c r="G32" s="1637"/>
      <c r="H32" s="1637"/>
      <c r="I32" s="1637"/>
      <c r="J32" s="1638"/>
      <c r="K32" s="1537"/>
      <c r="L32" s="1747" t="s">
        <v>1907</v>
      </c>
      <c r="M32" s="1747" t="s">
        <v>1908</v>
      </c>
      <c r="N32" s="1747" t="s">
        <v>1909</v>
      </c>
      <c r="O32" s="1747" t="s">
        <v>1910</v>
      </c>
      <c r="P32" s="1750" t="s">
        <v>1911</v>
      </c>
      <c r="Q32" s="1750" t="s">
        <v>1912</v>
      </c>
      <c r="R32" s="1714" t="s">
        <v>1913</v>
      </c>
      <c r="S32" s="1753"/>
      <c r="T32" s="1753"/>
      <c r="U32" s="1715"/>
    </row>
    <row r="33" spans="1:21" ht="18">
      <c r="A33" s="221"/>
      <c r="B33" s="221"/>
      <c r="C33" s="201"/>
      <c r="D33" s="201"/>
      <c r="E33" s="219"/>
      <c r="F33" s="1521" t="s">
        <v>1484</v>
      </c>
      <c r="G33" s="1522" t="s">
        <v>87</v>
      </c>
      <c r="H33" s="1538" t="s">
        <v>212</v>
      </c>
      <c r="I33" s="1522" t="s">
        <v>1914</v>
      </c>
      <c r="J33" s="1522" t="s">
        <v>1915</v>
      </c>
      <c r="K33" s="1539"/>
      <c r="L33" s="1748"/>
      <c r="M33" s="1748"/>
      <c r="N33" s="1748"/>
      <c r="O33" s="1748"/>
      <c r="P33" s="1751"/>
      <c r="Q33" s="1751"/>
      <c r="R33" s="1716"/>
      <c r="S33" s="1754"/>
      <c r="T33" s="1754"/>
      <c r="U33" s="1717"/>
    </row>
    <row r="34" spans="1:21">
      <c r="A34" s="222"/>
      <c r="B34" s="221"/>
      <c r="C34" s="201"/>
      <c r="D34" s="201"/>
      <c r="E34" s="219"/>
      <c r="F34" s="223" t="s">
        <v>34</v>
      </c>
      <c r="G34" s="223" t="s">
        <v>34</v>
      </c>
      <c r="H34" s="1406" t="s">
        <v>34</v>
      </c>
      <c r="I34" s="223" t="s">
        <v>77</v>
      </c>
      <c r="J34" s="223" t="s">
        <v>77</v>
      </c>
      <c r="K34" s="1412"/>
      <c r="L34" s="1749"/>
      <c r="M34" s="1749"/>
      <c r="N34" s="1749"/>
      <c r="O34" s="1749"/>
      <c r="P34" s="1752"/>
      <c r="Q34" s="1752"/>
      <c r="R34" s="1718"/>
      <c r="S34" s="1755"/>
      <c r="T34" s="1755"/>
      <c r="U34" s="1719"/>
    </row>
    <row r="35" spans="1:21">
      <c r="A35" s="1558" t="str">
        <f>U_3.4_SH_SUM!A29</f>
        <v>LC-1</v>
      </c>
      <c r="B35" s="1558" t="str">
        <f>U_3.4_SH_SUM!B29</f>
        <v>NS LWL Span dislodge case</v>
      </c>
      <c r="C35" s="227"/>
      <c r="D35" s="227"/>
      <c r="E35" s="657"/>
      <c r="F35" s="1559">
        <f>U_3.4_SH_SUM!F29</f>
        <v>635.21210219751424</v>
      </c>
      <c r="G35" s="1559">
        <f>U_3.4_SH_SUM!G29</f>
        <v>21.9495</v>
      </c>
      <c r="H35" s="1559">
        <f>U_3.4_SH_SUM!H29</f>
        <v>0</v>
      </c>
      <c r="I35" s="1559">
        <f>U_3.4_SH_SUM!I29</f>
        <v>337.43063500000005</v>
      </c>
      <c r="J35" s="1559">
        <f>U_3.4_SH_SUM!J29</f>
        <v>0</v>
      </c>
      <c r="K35" s="33"/>
      <c r="L35" s="464">
        <f>I35/F35</f>
        <v>0.53120939263068168</v>
      </c>
      <c r="M35" s="464">
        <f>J35/F35</f>
        <v>0</v>
      </c>
      <c r="N35" s="464">
        <f>L35/($C$19/1000)</f>
        <v>0.4426744938589014</v>
      </c>
      <c r="O35" s="1541">
        <f>M35/($E$12/1000)</f>
        <v>0</v>
      </c>
      <c r="P35" s="1542">
        <f>IF(O35=0,100,N35/O35)</f>
        <v>100</v>
      </c>
      <c r="Q35" s="1543">
        <f>O35/N35</f>
        <v>0</v>
      </c>
      <c r="R35" s="1544" t="str">
        <f>IF(AND(P35&lt;0.2,Q35&lt;0.2),"Ignore II order effect","Check for limiting slen.")</f>
        <v>Check for limiting slen.</v>
      </c>
      <c r="S35" s="1545"/>
      <c r="T35" s="1545"/>
      <c r="U35" s="1546"/>
    </row>
    <row r="36" spans="1:21">
      <c r="A36" s="1540" t="str">
        <f>U_3.4_SH_SUM!A30</f>
        <v>LC-2</v>
      </c>
      <c r="B36" s="1558" t="str">
        <f>U_3.4_SH_SUM!B30</f>
        <v>NS LWL No Live load</v>
      </c>
      <c r="C36" s="227"/>
      <c r="D36" s="227"/>
      <c r="E36" s="657"/>
      <c r="F36" s="1559">
        <f>U_3.4_SH_SUM!F30</f>
        <v>1030.3031021975144</v>
      </c>
      <c r="G36" s="1559">
        <f>U_3.4_SH_SUM!G30</f>
        <v>8.7798000000000016</v>
      </c>
      <c r="H36" s="1559">
        <f>U_3.4_SH_SUM!H30</f>
        <v>0</v>
      </c>
      <c r="I36" s="1559">
        <f>U_3.4_SH_SUM!I30</f>
        <v>62.836504000000012</v>
      </c>
      <c r="J36" s="1559">
        <f>U_3.4_SH_SUM!J30</f>
        <v>0</v>
      </c>
      <c r="K36" s="58"/>
      <c r="L36" s="464">
        <f t="shared" ref="L36:L83" si="0">I36/F36</f>
        <v>6.0988367273647141E-2</v>
      </c>
      <c r="M36" s="464">
        <f t="shared" ref="M36:M83" si="1">J36/F36</f>
        <v>0</v>
      </c>
      <c r="N36" s="464">
        <f t="shared" ref="N36:N83" si="2">L36/($C$19/1000)</f>
        <v>5.0823639394705952E-2</v>
      </c>
      <c r="O36" s="1541">
        <f t="shared" ref="O36:O83" si="3">M36/($E$12/1000)</f>
        <v>0</v>
      </c>
      <c r="P36" s="1542">
        <f t="shared" ref="P36:P83" si="4">IF(O36=0,100,N36/O36)</f>
        <v>100</v>
      </c>
      <c r="Q36" s="1543">
        <f t="shared" ref="Q36:Q83" si="5">O36/N36</f>
        <v>0</v>
      </c>
      <c r="R36" s="1544" t="str">
        <f t="shared" ref="R36:R83" si="6">IF(AND(P36&lt;0.2,Q36&lt;0.2),"Ignore II order effect","Check for limiting slen.")</f>
        <v>Check for limiting slen.</v>
      </c>
      <c r="S36" s="1545"/>
      <c r="T36" s="1545"/>
      <c r="U36" s="1546"/>
    </row>
    <row r="37" spans="1:21">
      <c r="A37" s="1540" t="str">
        <f>U_3.4_SH_SUM!A31</f>
        <v>LC-3</v>
      </c>
      <c r="B37" s="1558" t="str">
        <f>U_3.4_SH_SUM!B31</f>
        <v>NS LWL With LL max reaction case</v>
      </c>
      <c r="C37" s="227"/>
      <c r="D37" s="227"/>
      <c r="E37" s="657"/>
      <c r="F37" s="1559">
        <f>U_3.4_SH_SUM!F31</f>
        <v>1240.8216736260858</v>
      </c>
      <c r="G37" s="1559">
        <f>U_3.4_SH_SUM!G31</f>
        <v>48.076916571428576</v>
      </c>
      <c r="H37" s="1559">
        <f>U_3.4_SH_SUM!H31</f>
        <v>0</v>
      </c>
      <c r="I37" s="1559">
        <f>U_3.4_SH_SUM!I31</f>
        <v>325.00050509714293</v>
      </c>
      <c r="J37" s="1559">
        <f>U_3.4_SH_SUM!J31</f>
        <v>-32.649344208494199</v>
      </c>
      <c r="K37" s="58"/>
      <c r="L37" s="464">
        <f t="shared" si="0"/>
        <v>0.26192362045658457</v>
      </c>
      <c r="M37" s="464">
        <f t="shared" si="1"/>
        <v>-2.6312680462037837E-2</v>
      </c>
      <c r="N37" s="464">
        <f t="shared" si="2"/>
        <v>0.21826968371382049</v>
      </c>
      <c r="O37" s="1541">
        <f t="shared" si="3"/>
        <v>-4.144689901731325E-3</v>
      </c>
      <c r="P37" s="1542">
        <f t="shared" si="4"/>
        <v>-52.6624883619507</v>
      </c>
      <c r="Q37" s="1543">
        <f t="shared" si="5"/>
        <v>-1.8988848250522709E-2</v>
      </c>
      <c r="R37" s="1544" t="str">
        <f t="shared" si="6"/>
        <v>Ignore II order effect</v>
      </c>
      <c r="S37" s="1545"/>
      <c r="T37" s="1545"/>
      <c r="U37" s="1546"/>
    </row>
    <row r="38" spans="1:21">
      <c r="A38" s="1540" t="str">
        <f>U_3.4_SH_SUM!A32</f>
        <v>LC-4</v>
      </c>
      <c r="B38" s="1558" t="str">
        <f>U_3.4_SH_SUM!B32</f>
        <v>NS LWL With LL max moment case</v>
      </c>
      <c r="C38" s="227"/>
      <c r="D38" s="227"/>
      <c r="E38" s="657"/>
      <c r="F38" s="1559">
        <f>U_3.4_SH_SUM!F32</f>
        <v>1222.1523307689431</v>
      </c>
      <c r="G38" s="1559">
        <f>U_3.4_SH_SUM!G32</f>
        <v>44.997338571428571</v>
      </c>
      <c r="H38" s="1559">
        <f>U_3.4_SH_SUM!H32</f>
        <v>0</v>
      </c>
      <c r="I38" s="1559">
        <f>U_3.4_SH_SUM!I32</f>
        <v>393.45076822857152</v>
      </c>
      <c r="J38" s="1559">
        <f>U_3.4_SH_SUM!J32</f>
        <v>-29.753914142857134</v>
      </c>
      <c r="K38" s="58"/>
      <c r="L38" s="464">
        <f t="shared" si="0"/>
        <v>0.32193267428539257</v>
      </c>
      <c r="M38" s="464">
        <f t="shared" si="1"/>
        <v>-2.4345503742677337E-2</v>
      </c>
      <c r="N38" s="464">
        <f t="shared" si="2"/>
        <v>0.26827722857116049</v>
      </c>
      <c r="O38" s="1541">
        <f t="shared" si="3"/>
        <v>-3.8348264693296922E-3</v>
      </c>
      <c r="P38" s="1542">
        <f t="shared" si="4"/>
        <v>-69.958114328457199</v>
      </c>
      <c r="Q38" s="1543">
        <f t="shared" si="5"/>
        <v>-1.4294267499906371E-2</v>
      </c>
      <c r="R38" s="1544" t="str">
        <f t="shared" si="6"/>
        <v>Ignore II order effect</v>
      </c>
      <c r="S38" s="1545"/>
      <c r="T38" s="1545"/>
      <c r="U38" s="1546"/>
    </row>
    <row r="39" spans="1:21">
      <c r="A39" s="1540"/>
      <c r="B39" s="1558"/>
      <c r="C39" s="227"/>
      <c r="D39" s="227"/>
      <c r="E39" s="657"/>
      <c r="F39" s="1559"/>
      <c r="G39" s="1559"/>
      <c r="H39" s="1559"/>
      <c r="I39" s="1559"/>
      <c r="J39" s="1559"/>
      <c r="K39" s="58"/>
      <c r="L39" s="464"/>
      <c r="M39" s="464"/>
      <c r="N39" s="464"/>
      <c r="O39" s="1541"/>
      <c r="P39" s="1542"/>
      <c r="Q39" s="1543"/>
      <c r="R39" s="1544"/>
      <c r="S39" s="1545"/>
      <c r="T39" s="1545"/>
      <c r="U39" s="1546"/>
    </row>
    <row r="40" spans="1:21">
      <c r="A40" s="1540" t="str">
        <f>U_3.4_SH_SUM!A34</f>
        <v>LC-5</v>
      </c>
      <c r="B40" s="1558" t="str">
        <f>U_3.4_SH_SUM!B34</f>
        <v>LC-1 + Seismic Sx=1,Sz=0.3,Sy=-0.3 (50% seismic)</v>
      </c>
      <c r="C40" s="227"/>
      <c r="D40" s="227"/>
      <c r="E40" s="657"/>
      <c r="F40" s="1559">
        <f>U_3.4_SH_SUM!F34</f>
        <v>626.9666075015474</v>
      </c>
      <c r="G40" s="1559">
        <f>U_3.4_SH_SUM!G34</f>
        <v>78.541623479834271</v>
      </c>
      <c r="H40" s="1559">
        <f>U_3.4_SH_SUM!H34</f>
        <v>12.368242043950282</v>
      </c>
      <c r="I40" s="1559">
        <f>U_3.4_SH_SUM!I34</f>
        <v>660.1752942333602</v>
      </c>
      <c r="J40" s="1559">
        <f>U_3.4_SH_SUM!J34</f>
        <v>74.467904735437429</v>
      </c>
      <c r="K40" s="58"/>
      <c r="L40" s="464">
        <f t="shared" si="0"/>
        <v>1.0529672335567422</v>
      </c>
      <c r="M40" s="464">
        <f t="shared" si="1"/>
        <v>0.118774913758471</v>
      </c>
      <c r="N40" s="464">
        <f t="shared" si="2"/>
        <v>0.8774726946306185</v>
      </c>
      <c r="O40" s="1541">
        <f t="shared" si="3"/>
        <v>1.8709047386638533E-2</v>
      </c>
      <c r="P40" s="1542">
        <f t="shared" si="4"/>
        <v>46.900981995335819</v>
      </c>
      <c r="Q40" s="1543">
        <f t="shared" si="5"/>
        <v>2.1321515189158459E-2</v>
      </c>
      <c r="R40" s="1544" t="str">
        <f t="shared" si="6"/>
        <v>Check for limiting slen.</v>
      </c>
      <c r="S40" s="1545"/>
      <c r="T40" s="1545"/>
      <c r="U40" s="1546"/>
    </row>
    <row r="41" spans="1:21">
      <c r="A41" s="1540" t="str">
        <f>U_3.4_SH_SUM!A35</f>
        <v>LC-6</v>
      </c>
      <c r="B41" s="1558" t="str">
        <f>U_3.4_SH_SUM!B35</f>
        <v>LC-1 + Seismic Sx=0.3,Sz=1,Sy=-0.3 (50% seismic)</v>
      </c>
      <c r="C41" s="227"/>
      <c r="D41" s="227"/>
      <c r="E41" s="657"/>
      <c r="F41" s="1559">
        <f>U_3.4_SH_SUM!F35</f>
        <v>626.9666075015474</v>
      </c>
      <c r="G41" s="1559">
        <f>U_3.4_SH_SUM!G35</f>
        <v>31.244812043950279</v>
      </c>
      <c r="H41" s="1559">
        <f>U_3.4_SH_SUM!H35</f>
        <v>41.227473479834273</v>
      </c>
      <c r="I41" s="1559">
        <f>U_3.4_SH_SUM!I35</f>
        <v>382.70619167000802</v>
      </c>
      <c r="J41" s="1559">
        <f>U_3.4_SH_SUM!J35</f>
        <v>248.2263491181248</v>
      </c>
      <c r="K41" s="33"/>
      <c r="L41" s="464">
        <f t="shared" si="0"/>
        <v>0.61040921014132876</v>
      </c>
      <c r="M41" s="464">
        <f t="shared" si="1"/>
        <v>0.39591637919490341</v>
      </c>
      <c r="N41" s="464">
        <f t="shared" si="2"/>
        <v>0.50867434178444071</v>
      </c>
      <c r="O41" s="1541">
        <f t="shared" si="3"/>
        <v>6.236349128879512E-2</v>
      </c>
      <c r="P41" s="1542">
        <f t="shared" si="4"/>
        <v>8.1566046299244714</v>
      </c>
      <c r="Q41" s="1543">
        <f t="shared" si="5"/>
        <v>0.12260003339272554</v>
      </c>
      <c r="R41" s="1544" t="str">
        <f t="shared" si="6"/>
        <v>Check for limiting slen.</v>
      </c>
      <c r="S41" s="1545"/>
      <c r="T41" s="1545"/>
      <c r="U41" s="1546"/>
    </row>
    <row r="42" spans="1:21">
      <c r="A42" s="1540" t="str">
        <f>U_3.4_SH_SUM!A36</f>
        <v>LC-7</v>
      </c>
      <c r="B42" s="1558" t="str">
        <f>U_3.4_SH_SUM!B36</f>
        <v>LC-1 + Seismic Sx=1,Sz=0.3,Sy=0.3 (50% seismic)</v>
      </c>
      <c r="C42" s="227"/>
      <c r="D42" s="227"/>
      <c r="E42" s="657"/>
      <c r="F42" s="1559">
        <f>U_3.4_SH_SUM!F36</f>
        <v>643.45759689348108</v>
      </c>
      <c r="G42" s="1559">
        <f>U_3.4_SH_SUM!G36</f>
        <v>78.541623479834271</v>
      </c>
      <c r="H42" s="1559">
        <f>U_3.4_SH_SUM!H36</f>
        <v>12.368242043950282</v>
      </c>
      <c r="I42" s="1559">
        <f>U_3.4_SH_SUM!I36</f>
        <v>665.22208023336032</v>
      </c>
      <c r="J42" s="1559">
        <f>U_3.4_SH_SUM!J36</f>
        <v>74.467904735437429</v>
      </c>
      <c r="K42" s="58"/>
      <c r="L42" s="464">
        <f t="shared" si="0"/>
        <v>1.0338242697653348</v>
      </c>
      <c r="M42" s="464">
        <f t="shared" si="1"/>
        <v>0.11573086570887896</v>
      </c>
      <c r="N42" s="464">
        <f t="shared" si="2"/>
        <v>0.86152022480444568</v>
      </c>
      <c r="O42" s="1541">
        <f t="shared" si="3"/>
        <v>1.8229558600624068E-2</v>
      </c>
      <c r="P42" s="1542">
        <f t="shared" si="4"/>
        <v>47.259521948872234</v>
      </c>
      <c r="Q42" s="1543">
        <f t="shared" si="5"/>
        <v>2.1159756992079844E-2</v>
      </c>
      <c r="R42" s="1544" t="str">
        <f t="shared" si="6"/>
        <v>Check for limiting slen.</v>
      </c>
      <c r="S42" s="1545"/>
      <c r="T42" s="1545"/>
      <c r="U42" s="1546"/>
    </row>
    <row r="43" spans="1:21">
      <c r="A43" s="1540" t="str">
        <f>U_3.4_SH_SUM!A37</f>
        <v>LC-8</v>
      </c>
      <c r="B43" s="1558" t="str">
        <f>U_3.4_SH_SUM!B37</f>
        <v>LC-1 + Seismic Sx=0.3,Sz=1,Sy=0.3 (50% seismic)</v>
      </c>
      <c r="C43" s="227"/>
      <c r="D43" s="227"/>
      <c r="E43" s="657"/>
      <c r="F43" s="1559">
        <f>U_3.4_SH_SUM!F37</f>
        <v>643.45759689348108</v>
      </c>
      <c r="G43" s="1559">
        <f>U_3.4_SH_SUM!G37</f>
        <v>31.244812043950279</v>
      </c>
      <c r="H43" s="1559">
        <f>U_3.4_SH_SUM!H37</f>
        <v>41.227473479834273</v>
      </c>
      <c r="I43" s="1559">
        <f>U_3.4_SH_SUM!I37</f>
        <v>387.75297767000802</v>
      </c>
      <c r="J43" s="1559">
        <f>U_3.4_SH_SUM!J37</f>
        <v>248.2263491181248</v>
      </c>
      <c r="K43" s="58"/>
      <c r="L43" s="464">
        <f t="shared" si="0"/>
        <v>0.60260843844570733</v>
      </c>
      <c r="M43" s="464">
        <f t="shared" si="1"/>
        <v>0.38576955236292992</v>
      </c>
      <c r="N43" s="464">
        <f t="shared" si="2"/>
        <v>0.50217369870475614</v>
      </c>
      <c r="O43" s="1541">
        <f t="shared" si="3"/>
        <v>6.0765195335413566E-2</v>
      </c>
      <c r="P43" s="1542">
        <f t="shared" si="4"/>
        <v>8.2641666159853937</v>
      </c>
      <c r="Q43" s="1543">
        <f t="shared" si="5"/>
        <v>0.12100433673078397</v>
      </c>
      <c r="R43" s="1544" t="str">
        <f t="shared" si="6"/>
        <v>Check for limiting slen.</v>
      </c>
      <c r="S43" s="1545"/>
      <c r="T43" s="1545"/>
      <c r="U43" s="1546"/>
    </row>
    <row r="44" spans="1:21">
      <c r="A44" s="1540"/>
      <c r="B44" s="1558"/>
      <c r="C44" s="227"/>
      <c r="D44" s="227"/>
      <c r="E44" s="657"/>
      <c r="F44" s="1559"/>
      <c r="G44" s="1559"/>
      <c r="H44" s="1559"/>
      <c r="I44" s="1559"/>
      <c r="J44" s="1559"/>
      <c r="K44" s="58"/>
      <c r="L44" s="464"/>
      <c r="M44" s="464"/>
      <c r="N44" s="464"/>
      <c r="O44" s="1541"/>
      <c r="P44" s="1542"/>
      <c r="Q44" s="1543"/>
      <c r="R44" s="1544"/>
      <c r="S44" s="1545"/>
      <c r="T44" s="1545"/>
      <c r="U44" s="1546"/>
    </row>
    <row r="45" spans="1:21">
      <c r="A45" s="1540" t="str">
        <f>U_3.4_SH_SUM!A39</f>
        <v>LC-9</v>
      </c>
      <c r="B45" s="1558" t="str">
        <f>U_3.4_SH_SUM!B39</f>
        <v>LC-2 + Seismic Sx=1,Sz=0.3,Sy=-0.3</v>
      </c>
      <c r="C45" s="227"/>
      <c r="D45" s="227"/>
      <c r="E45" s="657"/>
      <c r="F45" s="1559">
        <f>U_3.4_SH_SUM!F39</f>
        <v>1003.2763528055807</v>
      </c>
      <c r="G45" s="1559">
        <f>U_3.4_SH_SUM!G39</f>
        <v>143.03556695966853</v>
      </c>
      <c r="H45" s="1559">
        <f>U_3.4_SH_SUM!H39</f>
        <v>40.540124087900558</v>
      </c>
      <c r="I45" s="1559">
        <f>U_3.4_SH_SUM!I39</f>
        <v>849.91605806672055</v>
      </c>
      <c r="J45" s="1559">
        <f>U_3.4_SH_SUM!J39</f>
        <v>264.85613400173355</v>
      </c>
      <c r="K45" s="58"/>
      <c r="L45" s="464">
        <f t="shared" si="0"/>
        <v>0.84714052682493657</v>
      </c>
      <c r="M45" s="464">
        <f t="shared" si="1"/>
        <v>0.26399120567437367</v>
      </c>
      <c r="N45" s="464">
        <f t="shared" si="2"/>
        <v>0.70595043902078047</v>
      </c>
      <c r="O45" s="1541">
        <f t="shared" si="3"/>
        <v>4.1583056727460231E-2</v>
      </c>
      <c r="P45" s="1542">
        <f t="shared" si="4"/>
        <v>16.976876992176276</v>
      </c>
      <c r="Q45" s="1543">
        <f t="shared" si="5"/>
        <v>5.8903648795997396E-2</v>
      </c>
      <c r="R45" s="1544" t="str">
        <f t="shared" si="6"/>
        <v>Check for limiting slen.</v>
      </c>
      <c r="S45" s="1545"/>
      <c r="T45" s="1545"/>
      <c r="U45" s="1546"/>
    </row>
    <row r="46" spans="1:21">
      <c r="A46" s="1540" t="str">
        <f>U_3.4_SH_SUM!A40</f>
        <v>LC-10</v>
      </c>
      <c r="B46" s="1558" t="str">
        <f>U_3.4_SH_SUM!B40</f>
        <v>LC-2 + Seismic Sx=0.3,Sz=1,Sy=-0.3</v>
      </c>
      <c r="C46" s="227"/>
      <c r="D46" s="227"/>
      <c r="E46" s="657"/>
      <c r="F46" s="1559">
        <f>U_3.4_SH_SUM!F40</f>
        <v>1003.2763528055807</v>
      </c>
      <c r="G46" s="1559">
        <f>U_3.4_SH_SUM!G40</f>
        <v>48.441944087900559</v>
      </c>
      <c r="H46" s="1559">
        <f>U_3.4_SH_SUM!H40</f>
        <v>135.13374695966854</v>
      </c>
      <c r="I46" s="1559">
        <f>U_3.4_SH_SUM!I40</f>
        <v>294.97785294001619</v>
      </c>
      <c r="J46" s="1559">
        <f>U_3.4_SH_SUM!J40</f>
        <v>882.85378000577862</v>
      </c>
      <c r="K46" s="58"/>
      <c r="L46" s="464">
        <f t="shared" si="0"/>
        <v>0.29401455751960526</v>
      </c>
      <c r="M46" s="464">
        <f t="shared" si="1"/>
        <v>0.87997068558124569</v>
      </c>
      <c r="N46" s="464">
        <f t="shared" si="2"/>
        <v>0.24501213126633772</v>
      </c>
      <c r="O46" s="1541">
        <f t="shared" si="3"/>
        <v>0.13861018909153411</v>
      </c>
      <c r="P46" s="1542">
        <f t="shared" si="4"/>
        <v>1.7676343483273</v>
      </c>
      <c r="Q46" s="1543">
        <f t="shared" si="5"/>
        <v>0.56572786161702104</v>
      </c>
      <c r="R46" s="1544" t="str">
        <f t="shared" si="6"/>
        <v>Check for limiting slen.</v>
      </c>
      <c r="S46" s="1545"/>
      <c r="T46" s="1545"/>
      <c r="U46" s="1546"/>
    </row>
    <row r="47" spans="1:21">
      <c r="A47" s="1540" t="str">
        <f>U_3.4_SH_SUM!A41</f>
        <v>LC-11</v>
      </c>
      <c r="B47" s="1558" t="str">
        <f>U_3.4_SH_SUM!B41</f>
        <v>LC-2 + Seismic Sx=1,Sz=0.3,Sy=0.3</v>
      </c>
      <c r="C47" s="227"/>
      <c r="D47" s="227"/>
      <c r="E47" s="657"/>
      <c r="F47" s="1559">
        <f>U_3.4_SH_SUM!F41</f>
        <v>1057.329851589448</v>
      </c>
      <c r="G47" s="1559">
        <f>U_3.4_SH_SUM!G41</f>
        <v>143.03556695966853</v>
      </c>
      <c r="H47" s="1559">
        <f>U_3.4_SH_SUM!H41</f>
        <v>40.540124087900558</v>
      </c>
      <c r="I47" s="1559">
        <f>U_3.4_SH_SUM!I41</f>
        <v>849.91605806672055</v>
      </c>
      <c r="J47" s="1559">
        <f>U_3.4_SH_SUM!J41</f>
        <v>264.85613400173355</v>
      </c>
      <c r="K47" s="58"/>
      <c r="L47" s="464">
        <f t="shared" si="0"/>
        <v>0.80383246230026573</v>
      </c>
      <c r="M47" s="464">
        <f t="shared" si="1"/>
        <v>0.25049527695031437</v>
      </c>
      <c r="N47" s="464">
        <f t="shared" si="2"/>
        <v>0.66986038525022151</v>
      </c>
      <c r="O47" s="1541">
        <f t="shared" si="3"/>
        <v>3.9457220875130566E-2</v>
      </c>
      <c r="P47" s="1542">
        <f t="shared" si="4"/>
        <v>16.976876992176273</v>
      </c>
      <c r="Q47" s="1543">
        <f t="shared" si="5"/>
        <v>5.8903648795997403E-2</v>
      </c>
      <c r="R47" s="1544" t="str">
        <f t="shared" si="6"/>
        <v>Check for limiting slen.</v>
      </c>
      <c r="S47" s="1545"/>
      <c r="T47" s="1545"/>
      <c r="U47" s="1546"/>
    </row>
    <row r="48" spans="1:21">
      <c r="A48" s="1540" t="str">
        <f>U_3.4_SH_SUM!A42</f>
        <v>LC-12</v>
      </c>
      <c r="B48" s="1558" t="str">
        <f>U_3.4_SH_SUM!B42</f>
        <v>LC-2 + Seismic Sx=0.3,Sz=1,Sy=0.3</v>
      </c>
      <c r="C48" s="227"/>
      <c r="D48" s="227"/>
      <c r="E48" s="657"/>
      <c r="F48" s="1559">
        <f>U_3.4_SH_SUM!F42</f>
        <v>1057.329851589448</v>
      </c>
      <c r="G48" s="1559">
        <f>U_3.4_SH_SUM!G42</f>
        <v>48.441944087900559</v>
      </c>
      <c r="H48" s="1559">
        <f>U_3.4_SH_SUM!H42</f>
        <v>135.13374695966854</v>
      </c>
      <c r="I48" s="1559">
        <f>U_3.4_SH_SUM!I42</f>
        <v>294.97785294001619</v>
      </c>
      <c r="J48" s="1559">
        <f>U_3.4_SH_SUM!J42</f>
        <v>882.85378000577862</v>
      </c>
      <c r="K48" s="58"/>
      <c r="L48" s="464">
        <f t="shared" si="0"/>
        <v>0.278983755633671</v>
      </c>
      <c r="M48" s="464">
        <f t="shared" si="1"/>
        <v>0.83498425650104791</v>
      </c>
      <c r="N48" s="464">
        <f t="shared" si="2"/>
        <v>0.23248646302805917</v>
      </c>
      <c r="O48" s="1541">
        <f t="shared" si="3"/>
        <v>0.13152406958376855</v>
      </c>
      <c r="P48" s="1542">
        <f t="shared" si="4"/>
        <v>1.7676343483272998</v>
      </c>
      <c r="Q48" s="1543">
        <f t="shared" si="5"/>
        <v>0.56572786161702115</v>
      </c>
      <c r="R48" s="1544" t="str">
        <f t="shared" si="6"/>
        <v>Check for limiting slen.</v>
      </c>
      <c r="S48" s="1545"/>
      <c r="T48" s="1545"/>
      <c r="U48" s="1546"/>
    </row>
    <row r="49" spans="1:21">
      <c r="A49" s="1540"/>
      <c r="B49" s="1558"/>
      <c r="C49" s="227"/>
      <c r="D49" s="227"/>
      <c r="E49" s="657"/>
      <c r="F49" s="1559"/>
      <c r="G49" s="1559"/>
      <c r="H49" s="1559"/>
      <c r="I49" s="1559"/>
      <c r="J49" s="1559"/>
      <c r="K49" s="58"/>
      <c r="L49" s="464"/>
      <c r="M49" s="464"/>
      <c r="N49" s="464"/>
      <c r="O49" s="1541"/>
      <c r="P49" s="1542"/>
      <c r="Q49" s="1543"/>
      <c r="R49" s="1544"/>
      <c r="S49" s="1545"/>
      <c r="T49" s="1545"/>
      <c r="U49" s="1546"/>
    </row>
    <row r="50" spans="1:21">
      <c r="A50" s="1540" t="str">
        <f>U_3.4_SH_SUM!A44</f>
        <v>LC-13</v>
      </c>
      <c r="B50" s="1558" t="str">
        <f>U_3.4_SH_SUM!B44</f>
        <v>LC-3 + Seismic Sx=1,Sz=0.3,Sy=-0.3</v>
      </c>
      <c r="C50" s="227"/>
      <c r="D50" s="227"/>
      <c r="E50" s="657"/>
      <c r="F50" s="1559">
        <f>U_3.4_SH_SUM!F44</f>
        <v>1030.3350065198665</v>
      </c>
      <c r="G50" s="1559">
        <f>U_3.4_SH_SUM!G44</f>
        <v>141.96474695966856</v>
      </c>
      <c r="H50" s="1559">
        <f>U_3.4_SH_SUM!H44</f>
        <v>42.055857802186274</v>
      </c>
      <c r="I50" s="1559">
        <f>U_3.4_SH_SUM!I44</f>
        <v>843.94354620386332</v>
      </c>
      <c r="J50" s="1559">
        <f>U_3.4_SH_SUM!J44</f>
        <v>274.55130445089702</v>
      </c>
      <c r="K50" s="58"/>
      <c r="L50" s="464">
        <f t="shared" si="0"/>
        <v>0.81909625593953916</v>
      </c>
      <c r="M50" s="464">
        <f t="shared" si="1"/>
        <v>0.26646799605328486</v>
      </c>
      <c r="N50" s="464">
        <f t="shared" si="2"/>
        <v>0.68258021328294938</v>
      </c>
      <c r="O50" s="1541">
        <f t="shared" si="3"/>
        <v>4.1973192885841691E-2</v>
      </c>
      <c r="P50" s="1542">
        <f t="shared" si="4"/>
        <v>16.262289484133952</v>
      </c>
      <c r="Q50" s="1543">
        <f t="shared" si="5"/>
        <v>6.1491956650730775E-2</v>
      </c>
      <c r="R50" s="1544" t="str">
        <f t="shared" si="6"/>
        <v>Check for limiting slen.</v>
      </c>
      <c r="S50" s="1545"/>
      <c r="T50" s="1545"/>
      <c r="U50" s="1546"/>
    </row>
    <row r="51" spans="1:21">
      <c r="A51" s="1540" t="str">
        <f>U_3.4_SH_SUM!A45</f>
        <v>LC-14</v>
      </c>
      <c r="B51" s="1558" t="str">
        <f>U_3.4_SH_SUM!B45</f>
        <v>LC-3 + Seismic Sx=0.3,Sz=1,Sy=-0.3</v>
      </c>
      <c r="C51" s="227"/>
      <c r="D51" s="227"/>
      <c r="E51" s="657"/>
      <c r="F51" s="1559">
        <f>U_3.4_SH_SUM!F45</f>
        <v>1030.3350065198665</v>
      </c>
      <c r="G51" s="1559">
        <f>U_3.4_SH_SUM!G45</f>
        <v>47.371124087900562</v>
      </c>
      <c r="H51" s="1559">
        <f>U_3.4_SH_SUM!H45</f>
        <v>140.18619267395425</v>
      </c>
      <c r="I51" s="1559">
        <f>U_3.4_SH_SUM!I45</f>
        <v>289.00534107715902</v>
      </c>
      <c r="J51" s="1559">
        <f>U_3.4_SH_SUM!J45</f>
        <v>924.96291593494198</v>
      </c>
      <c r="K51" s="58"/>
      <c r="L51" s="464">
        <f t="shared" si="0"/>
        <v>0.28049647857091081</v>
      </c>
      <c r="M51" s="464">
        <f t="shared" si="1"/>
        <v>0.89773026256689381</v>
      </c>
      <c r="N51" s="464">
        <f t="shared" si="2"/>
        <v>0.23374706547575902</v>
      </c>
      <c r="O51" s="1541">
        <f t="shared" si="3"/>
        <v>0.14140762128388079</v>
      </c>
      <c r="P51" s="1542">
        <f t="shared" si="4"/>
        <v>1.6530018916484248</v>
      </c>
      <c r="Q51" s="1543">
        <f t="shared" si="5"/>
        <v>0.60495998525613837</v>
      </c>
      <c r="R51" s="1544" t="str">
        <f t="shared" si="6"/>
        <v>Check for limiting slen.</v>
      </c>
      <c r="S51" s="1545"/>
      <c r="T51" s="1545"/>
      <c r="U51" s="1546"/>
    </row>
    <row r="52" spans="1:21">
      <c r="A52" s="1540" t="str">
        <f>U_3.4_SH_SUM!A46</f>
        <v>LC-15</v>
      </c>
      <c r="B52" s="1558" t="str">
        <f>U_3.4_SH_SUM!B46</f>
        <v>LC-3 + Seismic Sx=1,Sz=0.3,Sy=0.3</v>
      </c>
      <c r="C52" s="227"/>
      <c r="D52" s="227"/>
      <c r="E52" s="657"/>
      <c r="F52" s="1559">
        <f>U_3.4_SH_SUM!F46</f>
        <v>1086.409483589448</v>
      </c>
      <c r="G52" s="1559">
        <f>U_3.4_SH_SUM!G46</f>
        <v>141.96474695966856</v>
      </c>
      <c r="H52" s="1559">
        <f>U_3.4_SH_SUM!H46</f>
        <v>42.055857802186274</v>
      </c>
      <c r="I52" s="1559">
        <f>U_3.4_SH_SUM!I46</f>
        <v>844.01572558672058</v>
      </c>
      <c r="J52" s="1559">
        <f>U_3.4_SH_SUM!J46</f>
        <v>274.2378707464955</v>
      </c>
      <c r="K52" s="58"/>
      <c r="L52" s="464">
        <f t="shared" si="0"/>
        <v>0.77688545464287617</v>
      </c>
      <c r="M52" s="464">
        <f t="shared" si="1"/>
        <v>0.25242588074657257</v>
      </c>
      <c r="N52" s="464">
        <f t="shared" si="2"/>
        <v>0.64740454553573012</v>
      </c>
      <c r="O52" s="1541">
        <f t="shared" si="3"/>
        <v>3.9761323456778977E-2</v>
      </c>
      <c r="P52" s="1542">
        <f t="shared" si="4"/>
        <v>16.282268527592308</v>
      </c>
      <c r="Q52" s="1543">
        <f t="shared" si="5"/>
        <v>6.1416503376380077E-2</v>
      </c>
      <c r="R52" s="1544" t="str">
        <f t="shared" si="6"/>
        <v>Check for limiting slen.</v>
      </c>
      <c r="S52" s="1545"/>
      <c r="T52" s="1545"/>
      <c r="U52" s="1546"/>
    </row>
    <row r="53" spans="1:21">
      <c r="A53" s="1540" t="str">
        <f>U_3.4_SH_SUM!A47</f>
        <v>LC-16</v>
      </c>
      <c r="B53" s="1558" t="str">
        <f>U_3.4_SH_SUM!B47</f>
        <v>LC-3 + Seismic Sx=0.3,Sz=1,Sy=0.3</v>
      </c>
      <c r="C53" s="227"/>
      <c r="D53" s="227"/>
      <c r="E53" s="657"/>
      <c r="F53" s="1559">
        <f>U_3.4_SH_SUM!F47</f>
        <v>1086.409483589448</v>
      </c>
      <c r="G53" s="1559">
        <f>U_3.4_SH_SUM!G47</f>
        <v>47.371124087900562</v>
      </c>
      <c r="H53" s="1559">
        <f>U_3.4_SH_SUM!H47</f>
        <v>140.18619267395425</v>
      </c>
      <c r="I53" s="1559">
        <f>U_3.4_SH_SUM!I47</f>
        <v>289.07752046001616</v>
      </c>
      <c r="J53" s="1559">
        <f>U_3.4_SH_SUM!J47</f>
        <v>924.64948223054057</v>
      </c>
      <c r="K53" s="58"/>
      <c r="L53" s="464">
        <f t="shared" si="0"/>
        <v>0.26608523289479863</v>
      </c>
      <c r="M53" s="464">
        <f t="shared" si="1"/>
        <v>0.85110586403898125</v>
      </c>
      <c r="N53" s="464">
        <f t="shared" si="2"/>
        <v>0.22173769407899888</v>
      </c>
      <c r="O53" s="1541">
        <f t="shared" si="3"/>
        <v>0.13406349402813672</v>
      </c>
      <c r="P53" s="1542">
        <f t="shared" si="4"/>
        <v>1.6539751979943282</v>
      </c>
      <c r="Q53" s="1543">
        <f t="shared" si="5"/>
        <v>0.6046039875402226</v>
      </c>
      <c r="R53" s="1544" t="str">
        <f t="shared" si="6"/>
        <v>Check for limiting slen.</v>
      </c>
      <c r="S53" s="1545"/>
      <c r="T53" s="1545"/>
      <c r="U53" s="1546"/>
    </row>
    <row r="54" spans="1:21">
      <c r="A54" s="1540"/>
      <c r="B54" s="1558"/>
      <c r="C54" s="227"/>
      <c r="D54" s="227"/>
      <c r="E54" s="657"/>
      <c r="F54" s="1559"/>
      <c r="G54" s="1559"/>
      <c r="H54" s="1559"/>
      <c r="I54" s="1559"/>
      <c r="J54" s="1559"/>
      <c r="K54" s="58"/>
      <c r="L54" s="464"/>
      <c r="M54" s="464"/>
      <c r="N54" s="464"/>
      <c r="O54" s="1541"/>
      <c r="P54" s="1542"/>
      <c r="Q54" s="1543"/>
      <c r="R54" s="1544"/>
      <c r="S54" s="1545"/>
      <c r="T54" s="1545"/>
      <c r="U54" s="1546"/>
    </row>
    <row r="55" spans="1:21">
      <c r="A55" s="1540" t="str">
        <f>U_3.4_SH_SUM!A49</f>
        <v>LC-17</v>
      </c>
      <c r="B55" s="1558" t="str">
        <f>U_3.4_SH_SUM!B49</f>
        <v>LC-4 + Seismic Sx=1,Sz=0.3,Sy=-0.3</v>
      </c>
      <c r="C55" s="227"/>
      <c r="D55" s="227"/>
      <c r="E55" s="657"/>
      <c r="F55" s="1559">
        <f>U_3.4_SH_SUM!F49</f>
        <v>1027.9353736512949</v>
      </c>
      <c r="G55" s="1559">
        <f>U_3.4_SH_SUM!G49</f>
        <v>141.96474695966856</v>
      </c>
      <c r="H55" s="1559">
        <f>U_3.4_SH_SUM!H49</f>
        <v>41.921438533614847</v>
      </c>
      <c r="I55" s="1559">
        <f>U_3.4_SH_SUM!I49</f>
        <v>855.30665488957766</v>
      </c>
      <c r="J55" s="1559">
        <f>U_3.4_SH_SUM!J49</f>
        <v>273.69151113220971</v>
      </c>
      <c r="K55" s="58"/>
      <c r="L55" s="464">
        <f t="shared" si="0"/>
        <v>0.83206267321210237</v>
      </c>
      <c r="M55" s="464">
        <f t="shared" si="1"/>
        <v>0.26625361685923821</v>
      </c>
      <c r="N55" s="464">
        <f t="shared" si="2"/>
        <v>0.69338556101008531</v>
      </c>
      <c r="O55" s="1541">
        <f t="shared" si="3"/>
        <v>4.1939424555701842E-2</v>
      </c>
      <c r="P55" s="1542">
        <f t="shared" si="4"/>
        <v>16.533025151290889</v>
      </c>
      <c r="Q55" s="1543">
        <f t="shared" si="5"/>
        <v>6.0484998410706495E-2</v>
      </c>
      <c r="R55" s="1544" t="str">
        <f t="shared" si="6"/>
        <v>Check for limiting slen.</v>
      </c>
      <c r="S55" s="1545"/>
      <c r="T55" s="1545"/>
      <c r="U55" s="1546"/>
    </row>
    <row r="56" spans="1:21">
      <c r="A56" s="1540" t="str">
        <f>U_3.4_SH_SUM!A50</f>
        <v>LC-18</v>
      </c>
      <c r="B56" s="1558" t="str">
        <f>U_3.4_SH_SUM!B50</f>
        <v>LC-4 + Seismic Sx=0.3,Sz=1,Sy=-0.3</v>
      </c>
      <c r="C56" s="227"/>
      <c r="D56" s="227"/>
      <c r="E56" s="657"/>
      <c r="F56" s="1559">
        <f>U_3.4_SH_SUM!F50</f>
        <v>1027.9353736512949</v>
      </c>
      <c r="G56" s="1559">
        <f>U_3.4_SH_SUM!G50</f>
        <v>47.371124087900562</v>
      </c>
      <c r="H56" s="1559">
        <f>U_3.4_SH_SUM!H50</f>
        <v>139.73812844538281</v>
      </c>
      <c r="I56" s="1559">
        <f>U_3.4_SH_SUM!I50</f>
        <v>300.3684497628733</v>
      </c>
      <c r="J56" s="1559">
        <f>U_3.4_SH_SUM!J50</f>
        <v>921.22856655785495</v>
      </c>
      <c r="K56" s="58"/>
      <c r="L56" s="464">
        <f t="shared" si="0"/>
        <v>0.2922055777650151</v>
      </c>
      <c r="M56" s="464">
        <f t="shared" si="1"/>
        <v>0.89619307805858428</v>
      </c>
      <c r="N56" s="464">
        <f t="shared" si="2"/>
        <v>0.2435046481375126</v>
      </c>
      <c r="O56" s="1541">
        <f t="shared" si="3"/>
        <v>0.14116548885963459</v>
      </c>
      <c r="P56" s="1542">
        <f t="shared" si="4"/>
        <v>1.7249587707632787</v>
      </c>
      <c r="Q56" s="1543">
        <f t="shared" si="5"/>
        <v>0.57972400091482124</v>
      </c>
      <c r="R56" s="1544" t="str">
        <f t="shared" si="6"/>
        <v>Check for limiting slen.</v>
      </c>
      <c r="S56" s="1545"/>
      <c r="T56" s="1545"/>
      <c r="U56" s="1546"/>
    </row>
    <row r="57" spans="1:21">
      <c r="A57" s="1540" t="str">
        <f>U_3.4_SH_SUM!A51</f>
        <v>LC-19</v>
      </c>
      <c r="B57" s="1558" t="str">
        <f>U_3.4_SH_SUM!B51</f>
        <v>LC-4 + Seismic Sx=1,Sz=0.3,Sy=0.3</v>
      </c>
      <c r="C57" s="227"/>
      <c r="D57" s="227"/>
      <c r="E57" s="657"/>
      <c r="F57" s="1559">
        <f>U_3.4_SH_SUM!F51</f>
        <v>1083.8306250294481</v>
      </c>
      <c r="G57" s="1559">
        <f>U_3.4_SH_SUM!G51</f>
        <v>141.96474695966856</v>
      </c>
      <c r="H57" s="1559">
        <f>U_3.4_SH_SUM!H51</f>
        <v>41.921438533614847</v>
      </c>
      <c r="I57" s="1559">
        <f>U_3.4_SH_SUM!I51</f>
        <v>856.22753118672063</v>
      </c>
      <c r="J57" s="1559">
        <f>U_3.4_SH_SUM!J51</f>
        <v>273.40587355643834</v>
      </c>
      <c r="K57" s="58"/>
      <c r="L57" s="464">
        <f t="shared" si="0"/>
        <v>0.79000123396905908</v>
      </c>
      <c r="M57" s="464">
        <f t="shared" si="1"/>
        <v>0.25225885598961534</v>
      </c>
      <c r="N57" s="464">
        <f t="shared" si="2"/>
        <v>0.65833436164088255</v>
      </c>
      <c r="O57" s="1541">
        <f t="shared" si="3"/>
        <v>3.9735014247251711E-2</v>
      </c>
      <c r="P57" s="1542">
        <f t="shared" si="4"/>
        <v>16.568116914326172</v>
      </c>
      <c r="Q57" s="1543">
        <f t="shared" si="5"/>
        <v>6.0356889390086134E-2</v>
      </c>
      <c r="R57" s="1544" t="str">
        <f t="shared" si="6"/>
        <v>Check for limiting slen.</v>
      </c>
      <c r="S57" s="1545"/>
      <c r="T57" s="1545"/>
      <c r="U57" s="1546"/>
    </row>
    <row r="58" spans="1:21">
      <c r="A58" s="1540" t="str">
        <f>U_3.4_SH_SUM!A52</f>
        <v>LC-20</v>
      </c>
      <c r="B58" s="1558" t="str">
        <f>U_3.4_SH_SUM!B52</f>
        <v>LC-4 + Seismic Sx=0.3,Sz=1,Sy=0.3</v>
      </c>
      <c r="C58" s="227"/>
      <c r="D58" s="227"/>
      <c r="E58" s="657"/>
      <c r="F58" s="1559">
        <f>U_3.4_SH_SUM!F52</f>
        <v>1083.8306250294481</v>
      </c>
      <c r="G58" s="1559">
        <f>U_3.4_SH_SUM!G52</f>
        <v>47.371124087900562</v>
      </c>
      <c r="H58" s="1559">
        <f>U_3.4_SH_SUM!H52</f>
        <v>139.73812844538281</v>
      </c>
      <c r="I58" s="1559">
        <f>U_3.4_SH_SUM!I52</f>
        <v>301.28932606001615</v>
      </c>
      <c r="J58" s="1559">
        <f>U_3.4_SH_SUM!J52</f>
        <v>920.94292898208346</v>
      </c>
      <c r="K58" s="58"/>
      <c r="L58" s="464">
        <f t="shared" si="0"/>
        <v>0.27798561795744609</v>
      </c>
      <c r="M58" s="464">
        <f t="shared" si="1"/>
        <v>0.84971111510810193</v>
      </c>
      <c r="N58" s="464">
        <f t="shared" si="2"/>
        <v>0.23165468163120509</v>
      </c>
      <c r="O58" s="1541">
        <f t="shared" si="3"/>
        <v>0.13384379760391243</v>
      </c>
      <c r="P58" s="1542">
        <f t="shared" si="4"/>
        <v>1.730783837415814</v>
      </c>
      <c r="Q58" s="1543">
        <f t="shared" si="5"/>
        <v>0.57777290172357554</v>
      </c>
      <c r="R58" s="1544" t="str">
        <f t="shared" si="6"/>
        <v>Check for limiting slen.</v>
      </c>
      <c r="S58" s="1545"/>
      <c r="T58" s="1545"/>
      <c r="U58" s="1546"/>
    </row>
    <row r="59" spans="1:21">
      <c r="A59" s="1540"/>
      <c r="B59" s="1558"/>
      <c r="C59" s="227"/>
      <c r="D59" s="227"/>
      <c r="E59" s="657"/>
      <c r="F59" s="1559"/>
      <c r="G59" s="1559"/>
      <c r="H59" s="1559"/>
      <c r="I59" s="1559"/>
      <c r="J59" s="1559"/>
      <c r="K59" s="58"/>
      <c r="L59" s="464"/>
      <c r="M59" s="464"/>
      <c r="N59" s="464"/>
      <c r="O59" s="1541"/>
      <c r="P59" s="1542"/>
      <c r="Q59" s="1543"/>
      <c r="R59" s="1544"/>
      <c r="S59" s="1545"/>
      <c r="T59" s="1545"/>
      <c r="U59" s="1546"/>
    </row>
    <row r="60" spans="1:21">
      <c r="A60" s="1540" t="str">
        <f>U_3.4_SH_SUM!A54</f>
        <v>LC-21</v>
      </c>
      <c r="B60" s="1558" t="str">
        <f>U_3.4_SH_SUM!B54</f>
        <v>NS HFL Span dislodge case</v>
      </c>
      <c r="C60" s="227"/>
      <c r="D60" s="227"/>
      <c r="E60" s="657"/>
      <c r="F60" s="1559">
        <f>U_3.4_SH_SUM!F54</f>
        <v>631.65778719741854</v>
      </c>
      <c r="G60" s="1559">
        <f>U_3.4_SH_SUM!G54</f>
        <v>23.515945545112501</v>
      </c>
      <c r="H60" s="1559">
        <f>U_3.4_SH_SUM!H54</f>
        <v>0.77082515176153144</v>
      </c>
      <c r="I60" s="1559">
        <f>U_3.4_SH_SUM!I54</f>
        <v>340.0161046423508</v>
      </c>
      <c r="J60" s="1559">
        <f>U_3.4_SH_SUM!J54</f>
        <v>1.2722721422765415</v>
      </c>
      <c r="K60" s="58"/>
      <c r="L60" s="464">
        <f t="shared" si="0"/>
        <v>0.53829163755101783</v>
      </c>
      <c r="M60" s="464">
        <f t="shared" si="1"/>
        <v>2.0141794624609056E-3</v>
      </c>
      <c r="N60" s="464">
        <f t="shared" si="2"/>
        <v>0.44857636462584821</v>
      </c>
      <c r="O60" s="1541">
        <f t="shared" si="3"/>
        <v>3.1726715529345218E-4</v>
      </c>
      <c r="P60" s="1542">
        <f t="shared" si="4"/>
        <v>1413.87583663031</v>
      </c>
      <c r="Q60" s="1543">
        <f t="shared" si="5"/>
        <v>7.0727568439340452E-4</v>
      </c>
      <c r="R60" s="1544" t="str">
        <f t="shared" si="6"/>
        <v>Check for limiting slen.</v>
      </c>
      <c r="S60" s="1545"/>
      <c r="T60" s="1545"/>
      <c r="U60" s="1546"/>
    </row>
    <row r="61" spans="1:21">
      <c r="A61" s="1540" t="str">
        <f>U_3.4_SH_SUM!A55</f>
        <v>LC-22</v>
      </c>
      <c r="B61" s="1558" t="str">
        <f>U_3.4_SH_SUM!B55</f>
        <v>NS HFL No Live load</v>
      </c>
      <c r="C61" s="227"/>
      <c r="D61" s="227"/>
      <c r="E61" s="657"/>
      <c r="F61" s="1559">
        <f>U_3.4_SH_SUM!F55</f>
        <v>1026.7487871974188</v>
      </c>
      <c r="G61" s="1559">
        <f>U_3.4_SH_SUM!G55</f>
        <v>10.346245545112502</v>
      </c>
      <c r="H61" s="1559">
        <f>U_3.4_SH_SUM!H55</f>
        <v>0.77082515176153144</v>
      </c>
      <c r="I61" s="1559">
        <f>U_3.4_SH_SUM!I55</f>
        <v>65.421973642350736</v>
      </c>
      <c r="J61" s="1559">
        <f>U_3.4_SH_SUM!J55</f>
        <v>1.2722721422765415</v>
      </c>
      <c r="K61" s="58"/>
      <c r="L61" s="464">
        <f t="shared" si="0"/>
        <v>6.3717604985854909E-2</v>
      </c>
      <c r="M61" s="464">
        <f t="shared" si="1"/>
        <v>1.2391269978991606E-3</v>
      </c>
      <c r="N61" s="464">
        <f t="shared" si="2"/>
        <v>5.3098004154879093E-2</v>
      </c>
      <c r="O61" s="1541">
        <f t="shared" si="3"/>
        <v>1.9518335133377558E-4</v>
      </c>
      <c r="P61" s="1542">
        <f t="shared" si="4"/>
        <v>272.04166642306609</v>
      </c>
      <c r="Q61" s="1543">
        <f t="shared" si="5"/>
        <v>3.6759074929531128E-3</v>
      </c>
      <c r="R61" s="1544" t="str">
        <f t="shared" si="6"/>
        <v>Check for limiting slen.</v>
      </c>
      <c r="S61" s="1545"/>
      <c r="T61" s="1545"/>
      <c r="U61" s="1546"/>
    </row>
    <row r="62" spans="1:21">
      <c r="A62" s="1540" t="str">
        <f>U_3.4_SH_SUM!A56</f>
        <v>LC-23</v>
      </c>
      <c r="B62" s="1558" t="str">
        <f>U_3.4_SH_SUM!B56</f>
        <v>NS HFL With LL max reaction case</v>
      </c>
      <c r="C62" s="227"/>
      <c r="D62" s="227"/>
      <c r="E62" s="657"/>
      <c r="F62" s="1559">
        <f>U_3.4_SH_SUM!F56</f>
        <v>1237.2673586259903</v>
      </c>
      <c r="G62" s="1559">
        <f>U_3.4_SH_SUM!G56</f>
        <v>49.643362116541077</v>
      </c>
      <c r="H62" s="1559">
        <f>U_3.4_SH_SUM!H56</f>
        <v>0.77082515176153144</v>
      </c>
      <c r="I62" s="1559">
        <f>U_3.4_SH_SUM!I56</f>
        <v>327.58597473949368</v>
      </c>
      <c r="J62" s="1559">
        <f>U_3.4_SH_SUM!J56</f>
        <v>-31.377072066217657</v>
      </c>
      <c r="K62" s="58"/>
      <c r="L62" s="464">
        <f t="shared" si="0"/>
        <v>0.26476571329197945</v>
      </c>
      <c r="M62" s="464">
        <f t="shared" si="1"/>
        <v>-2.5359977249430159E-2</v>
      </c>
      <c r="N62" s="464">
        <f t="shared" si="2"/>
        <v>0.22063809440998289</v>
      </c>
      <c r="O62" s="1541">
        <f t="shared" si="3"/>
        <v>-3.994623115858297E-3</v>
      </c>
      <c r="P62" s="1542">
        <f t="shared" si="4"/>
        <v>-55.233769997992894</v>
      </c>
      <c r="Q62" s="1543">
        <f t="shared" si="5"/>
        <v>-1.8104865918736644E-2</v>
      </c>
      <c r="R62" s="1544" t="str">
        <f t="shared" si="6"/>
        <v>Ignore II order effect</v>
      </c>
      <c r="S62" s="1545"/>
      <c r="T62" s="1545"/>
      <c r="U62" s="1546"/>
    </row>
    <row r="63" spans="1:21">
      <c r="A63" s="1540" t="str">
        <f>U_3.4_SH_SUM!A57</f>
        <v>LC-24</v>
      </c>
      <c r="B63" s="1558" t="str">
        <f>U_3.4_SH_SUM!B57</f>
        <v>NS HFL With LL max moment case</v>
      </c>
      <c r="C63" s="227"/>
      <c r="D63" s="227"/>
      <c r="E63" s="657"/>
      <c r="F63" s="1559">
        <f>U_3.4_SH_SUM!F57</f>
        <v>1218.5980157688475</v>
      </c>
      <c r="G63" s="1559">
        <f>U_3.4_SH_SUM!G57</f>
        <v>46.563784116541072</v>
      </c>
      <c r="H63" s="1559">
        <f>U_3.4_SH_SUM!H57</f>
        <v>0.77082515176153144</v>
      </c>
      <c r="I63" s="1559">
        <f>U_3.4_SH_SUM!I57</f>
        <v>396.03623787092226</v>
      </c>
      <c r="J63" s="1559">
        <f>U_3.4_SH_SUM!J57</f>
        <v>-28.481642000580592</v>
      </c>
      <c r="K63" s="58"/>
      <c r="L63" s="464">
        <f t="shared" si="0"/>
        <v>0.32499333885838633</v>
      </c>
      <c r="M63" s="464">
        <f t="shared" si="1"/>
        <v>-2.3372467074477165E-2</v>
      </c>
      <c r="N63" s="464">
        <f t="shared" si="2"/>
        <v>0.27082778238198862</v>
      </c>
      <c r="O63" s="1541">
        <f t="shared" si="3"/>
        <v>-3.6815568220764602E-3</v>
      </c>
      <c r="P63" s="1542">
        <f t="shared" si="4"/>
        <v>-73.563385130434355</v>
      </c>
      <c r="Q63" s="1543">
        <f t="shared" si="5"/>
        <v>-1.3593719188247142E-2</v>
      </c>
      <c r="R63" s="1544" t="str">
        <f t="shared" si="6"/>
        <v>Ignore II order effect</v>
      </c>
      <c r="S63" s="1545"/>
      <c r="T63" s="1545"/>
      <c r="U63" s="1546"/>
    </row>
    <row r="64" spans="1:21">
      <c r="A64" s="1540"/>
      <c r="B64" s="1558"/>
      <c r="C64" s="227"/>
      <c r="D64" s="227"/>
      <c r="E64" s="657"/>
      <c r="F64" s="1559"/>
      <c r="G64" s="1559"/>
      <c r="H64" s="1559"/>
      <c r="I64" s="1559"/>
      <c r="J64" s="1559"/>
      <c r="K64" s="58"/>
      <c r="L64" s="464"/>
      <c r="M64" s="464"/>
      <c r="N64" s="464"/>
      <c r="O64" s="1541"/>
      <c r="P64" s="1542"/>
      <c r="Q64" s="1543"/>
      <c r="R64" s="1544"/>
      <c r="S64" s="1545"/>
      <c r="T64" s="1545"/>
      <c r="U64" s="1546"/>
    </row>
    <row r="65" spans="1:21">
      <c r="A65" s="1540" t="str">
        <f>U_3.4_SH_SUM!A59</f>
        <v>LC-25</v>
      </c>
      <c r="B65" s="1558" t="str">
        <f>U_3.4_SH_SUM!B59</f>
        <v>LC-21 + Seismic Sx=1,Sz=0.3,Sy=-0.3 (50% seismic)</v>
      </c>
      <c r="C65" s="227"/>
      <c r="D65" s="227"/>
      <c r="E65" s="657"/>
      <c r="F65" s="1559">
        <f>U_3.4_SH_SUM!F59</f>
        <v>623.4122925014517</v>
      </c>
      <c r="G65" s="1559">
        <f>U_3.4_SH_SUM!G59</f>
        <v>94.741511843639273</v>
      </c>
      <c r="H65" s="1559">
        <f>U_3.4_SH_SUM!H59</f>
        <v>14.785478964123449</v>
      </c>
      <c r="I65" s="1559">
        <f>U_3.4_SH_SUM!I59</f>
        <v>738.09995407600013</v>
      </c>
      <c r="J65" s="1559">
        <f>U_3.4_SH_SUM!J59</f>
        <v>77.640441467844028</v>
      </c>
      <c r="K65" s="58"/>
      <c r="L65" s="464">
        <f t="shared" si="0"/>
        <v>1.1839675972932173</v>
      </c>
      <c r="M65" s="464">
        <f t="shared" si="1"/>
        <v>0.12454108204429291</v>
      </c>
      <c r="N65" s="464">
        <f t="shared" si="2"/>
        <v>0.98663966441101447</v>
      </c>
      <c r="O65" s="1541">
        <f t="shared" si="3"/>
        <v>1.9617315911405871E-2</v>
      </c>
      <c r="P65" s="1542">
        <f t="shared" si="4"/>
        <v>50.294325119032408</v>
      </c>
      <c r="Q65" s="1543">
        <f t="shared" si="5"/>
        <v>1.9882958915012447E-2</v>
      </c>
      <c r="R65" s="1544" t="str">
        <f t="shared" si="6"/>
        <v>Check for limiting slen.</v>
      </c>
      <c r="S65" s="1545"/>
      <c r="T65" s="1545"/>
      <c r="U65" s="1546"/>
    </row>
    <row r="66" spans="1:21">
      <c r="A66" s="1540" t="str">
        <f>U_3.4_SH_SUM!A60</f>
        <v>LC-26</v>
      </c>
      <c r="B66" s="1558" t="str">
        <f>U_3.4_SH_SUM!B60</f>
        <v>LC-21 + Seismic Sx=0.3,Sz=1,Sy=-0.3 (50% seismic)</v>
      </c>
      <c r="C66" s="227"/>
      <c r="D66" s="227"/>
      <c r="E66" s="657"/>
      <c r="F66" s="1559">
        <f>U_3.4_SH_SUM!F60</f>
        <v>623.4122925014517</v>
      </c>
      <c r="G66" s="1559">
        <f>U_3.4_SH_SUM!G60</f>
        <v>44.883615434670531</v>
      </c>
      <c r="H66" s="1559">
        <f>U_3.4_SH_SUM!H60</f>
        <v>47.486337859634588</v>
      </c>
      <c r="I66" s="1559">
        <f>U_3.4_SH_SUM!I60</f>
        <v>457.67488437244555</v>
      </c>
      <c r="J66" s="1559">
        <f>U_3.4_SH_SUM!J60</f>
        <v>255.83283656083486</v>
      </c>
      <c r="K66" s="58"/>
      <c r="L66" s="464">
        <f t="shared" si="0"/>
        <v>0.73414478648795622</v>
      </c>
      <c r="M66" s="464">
        <f t="shared" si="1"/>
        <v>0.41037502731025971</v>
      </c>
      <c r="N66" s="464">
        <f t="shared" si="2"/>
        <v>0.61178732207329689</v>
      </c>
      <c r="O66" s="1541">
        <f t="shared" si="3"/>
        <v>6.4640971643670483E-2</v>
      </c>
      <c r="P66" s="1542">
        <f t="shared" si="4"/>
        <v>9.464389326412638</v>
      </c>
      <c r="Q66" s="1543">
        <f t="shared" si="5"/>
        <v>0.10565922063341808</v>
      </c>
      <c r="R66" s="1544" t="str">
        <f t="shared" si="6"/>
        <v>Check for limiting slen.</v>
      </c>
      <c r="S66" s="1545"/>
      <c r="T66" s="1545"/>
      <c r="U66" s="1546"/>
    </row>
    <row r="67" spans="1:21">
      <c r="A67" s="1540" t="str">
        <f>U_3.4_SH_SUM!A61</f>
        <v>LC-27</v>
      </c>
      <c r="B67" s="1558" t="str">
        <f>U_3.4_SH_SUM!B61</f>
        <v>LC-21 + Seismic Sx=1,Sz=0.3,Sy=0.3 (50% seismic)</v>
      </c>
      <c r="C67" s="227"/>
      <c r="D67" s="227"/>
      <c r="E67" s="657"/>
      <c r="F67" s="1559">
        <f>U_3.4_SH_SUM!F61</f>
        <v>639.90328189338538</v>
      </c>
      <c r="G67" s="1559">
        <f>U_3.4_SH_SUM!G61</f>
        <v>94.741511843639273</v>
      </c>
      <c r="H67" s="1559">
        <f>U_3.4_SH_SUM!H61</f>
        <v>14.785478964123449</v>
      </c>
      <c r="I67" s="1559">
        <f>U_3.4_SH_SUM!I61</f>
        <v>743.14674007600024</v>
      </c>
      <c r="J67" s="1559">
        <f>U_3.4_SH_SUM!J61</f>
        <v>77.640441467844028</v>
      </c>
      <c r="K67" s="58"/>
      <c r="L67" s="464">
        <f t="shared" si="0"/>
        <v>1.1613422857859577</v>
      </c>
      <c r="M67" s="464">
        <f t="shared" si="1"/>
        <v>0.12133152566137291</v>
      </c>
      <c r="N67" s="464">
        <f t="shared" si="2"/>
        <v>0.96778523815496476</v>
      </c>
      <c r="O67" s="1541">
        <f t="shared" si="3"/>
        <v>1.9111756778100619E-2</v>
      </c>
      <c r="P67" s="1542">
        <f t="shared" si="4"/>
        <v>50.638214445252373</v>
      </c>
      <c r="Q67" s="1543">
        <f t="shared" si="5"/>
        <v>1.9747931694573322E-2</v>
      </c>
      <c r="R67" s="1544" t="str">
        <f t="shared" si="6"/>
        <v>Check for limiting slen.</v>
      </c>
      <c r="S67" s="1545"/>
      <c r="T67" s="1545"/>
      <c r="U67" s="1546"/>
    </row>
    <row r="68" spans="1:21">
      <c r="A68" s="1540" t="str">
        <f>U_3.4_SH_SUM!A62</f>
        <v>LC-28</v>
      </c>
      <c r="B68" s="1558" t="str">
        <f>U_3.4_SH_SUM!B62</f>
        <v>LC-21 + Seismic Sx=0.3,Sz=1,Sy=0.3 (50% seismic)</v>
      </c>
      <c r="C68" s="227"/>
      <c r="D68" s="227"/>
      <c r="E68" s="657"/>
      <c r="F68" s="1559">
        <f>U_3.4_SH_SUM!F62</f>
        <v>639.90328189338538</v>
      </c>
      <c r="G68" s="1559">
        <f>U_3.4_SH_SUM!G62</f>
        <v>44.883615434670531</v>
      </c>
      <c r="H68" s="1559">
        <f>U_3.4_SH_SUM!H62</f>
        <v>47.486337859634588</v>
      </c>
      <c r="I68" s="1559">
        <f>U_3.4_SH_SUM!I62</f>
        <v>462.72167037244554</v>
      </c>
      <c r="J68" s="1559">
        <f>U_3.4_SH_SUM!J62</f>
        <v>255.83283656083486</v>
      </c>
      <c r="K68" s="58"/>
      <c r="L68" s="464">
        <f t="shared" si="0"/>
        <v>0.72311188810177074</v>
      </c>
      <c r="M68" s="464">
        <f t="shared" si="1"/>
        <v>0.39979922560150161</v>
      </c>
      <c r="N68" s="464">
        <f t="shared" si="2"/>
        <v>0.60259324008480897</v>
      </c>
      <c r="O68" s="1541">
        <f t="shared" si="3"/>
        <v>6.2975104929397771E-2</v>
      </c>
      <c r="P68" s="1542">
        <f t="shared" si="4"/>
        <v>9.5687532519458962</v>
      </c>
      <c r="Q68" s="1543">
        <f t="shared" si="5"/>
        <v>0.10450682274586195</v>
      </c>
      <c r="R68" s="1544" t="str">
        <f t="shared" si="6"/>
        <v>Check for limiting slen.</v>
      </c>
      <c r="S68" s="1545"/>
      <c r="T68" s="1545"/>
      <c r="U68" s="1546"/>
    </row>
    <row r="69" spans="1:21">
      <c r="A69" s="1540"/>
      <c r="B69" s="1558"/>
      <c r="C69" s="227"/>
      <c r="D69" s="227"/>
      <c r="E69" s="657"/>
      <c r="F69" s="1559"/>
      <c r="G69" s="1559"/>
      <c r="H69" s="1559"/>
      <c r="I69" s="1559"/>
      <c r="J69" s="1559"/>
      <c r="K69" s="58"/>
      <c r="L69" s="464"/>
      <c r="M69" s="464"/>
      <c r="N69" s="464"/>
      <c r="O69" s="1541"/>
      <c r="P69" s="1542"/>
      <c r="Q69" s="1543"/>
      <c r="R69" s="1544"/>
      <c r="S69" s="1545"/>
      <c r="T69" s="1545"/>
      <c r="U69" s="1546"/>
    </row>
    <row r="70" spans="1:21">
      <c r="A70" s="1540" t="str">
        <f>U_3.4_SH_SUM!A64</f>
        <v>LC-29</v>
      </c>
      <c r="B70" s="1558" t="str">
        <f>U_3.4_SH_SUM!B64</f>
        <v>LC-22 + Seismic Sx=1,Sz=0.3,Sy=-0.3</v>
      </c>
      <c r="C70" s="227"/>
      <c r="D70" s="227"/>
      <c r="E70" s="657"/>
      <c r="F70" s="1559">
        <f>U_3.4_SH_SUM!F64</f>
        <v>999.72203780548512</v>
      </c>
      <c r="G70" s="1559">
        <f>U_3.4_SH_SUM!G64</f>
        <v>152.79737814216605</v>
      </c>
      <c r="H70" s="1559">
        <f>U_3.4_SH_SUM!H64</f>
        <v>43.506164930877603</v>
      </c>
      <c r="I70" s="1559">
        <f>U_3.4_SH_SUM!I64</f>
        <v>866.63645850964929</v>
      </c>
      <c r="J70" s="1559">
        <f>U_3.4_SH_SUM!J64</f>
        <v>268.66209226418351</v>
      </c>
      <c r="K70" s="58"/>
      <c r="L70" s="464">
        <f t="shared" si="0"/>
        <v>0.86687741765903714</v>
      </c>
      <c r="M70" s="464">
        <f t="shared" si="1"/>
        <v>0.26873679093233793</v>
      </c>
      <c r="N70" s="464">
        <f t="shared" si="2"/>
        <v>0.7223978480491976</v>
      </c>
      <c r="O70" s="1541">
        <f t="shared" si="3"/>
        <v>4.2330566253328053E-2</v>
      </c>
      <c r="P70" s="1542">
        <f t="shared" si="4"/>
        <v>17.065631575207249</v>
      </c>
      <c r="Q70" s="1543">
        <f t="shared" si="5"/>
        <v>5.8597303920048784E-2</v>
      </c>
      <c r="R70" s="1544" t="str">
        <f t="shared" si="6"/>
        <v>Check for limiting slen.</v>
      </c>
      <c r="S70" s="1545"/>
      <c r="T70" s="1545"/>
      <c r="U70" s="1546"/>
    </row>
    <row r="71" spans="1:21">
      <c r="A71" s="1540" t="str">
        <f>U_3.4_SH_SUM!A65</f>
        <v>LC-30</v>
      </c>
      <c r="B71" s="1558" t="str">
        <f>U_3.4_SH_SUM!B65</f>
        <v>LC-22 + Seismic Sx=0.3,Sz=1,Sy=-0.3</v>
      </c>
      <c r="C71" s="227"/>
      <c r="D71" s="227"/>
      <c r="E71" s="657"/>
      <c r="F71" s="1559">
        <f>U_3.4_SH_SUM!F65</f>
        <v>999.72203780548512</v>
      </c>
      <c r="G71" s="1559">
        <f>U_3.4_SH_SUM!G65</f>
        <v>53.081585324228577</v>
      </c>
      <c r="H71" s="1559">
        <f>U_3.4_SH_SUM!H65</f>
        <v>143.2219577488151</v>
      </c>
      <c r="I71" s="1559">
        <f>U_3.4_SH_SUM!I65</f>
        <v>305.78631910254029</v>
      </c>
      <c r="J71" s="1559">
        <f>U_3.4_SH_SUM!J65</f>
        <v>892.57167254863327</v>
      </c>
      <c r="K71" s="58"/>
      <c r="L71" s="464">
        <f t="shared" si="0"/>
        <v>0.30587133977138237</v>
      </c>
      <c r="M71" s="464">
        <f t="shared" si="1"/>
        <v>0.89281984271141979</v>
      </c>
      <c r="N71" s="464">
        <f t="shared" si="2"/>
        <v>0.25489278314281866</v>
      </c>
      <c r="O71" s="1541">
        <f t="shared" si="3"/>
        <v>0.14063414753544959</v>
      </c>
      <c r="P71" s="1542">
        <f t="shared" si="4"/>
        <v>1.8124530038379758</v>
      </c>
      <c r="Q71" s="1543">
        <f t="shared" si="5"/>
        <v>0.55173844391134075</v>
      </c>
      <c r="R71" s="1544" t="str">
        <f t="shared" si="6"/>
        <v>Check for limiting slen.</v>
      </c>
      <c r="S71" s="1545"/>
      <c r="T71" s="1545"/>
      <c r="U71" s="1546"/>
    </row>
    <row r="72" spans="1:21">
      <c r="A72" s="1540" t="str">
        <f>U_3.4_SH_SUM!A66</f>
        <v>LC-31</v>
      </c>
      <c r="B72" s="1558" t="str">
        <f>U_3.4_SH_SUM!B66</f>
        <v>LC-22 + Seismic Sx=1,Sz=0.3,Sy=0.3</v>
      </c>
      <c r="C72" s="227"/>
      <c r="D72" s="227"/>
      <c r="E72" s="657"/>
      <c r="F72" s="1559">
        <f>U_3.4_SH_SUM!F66</f>
        <v>1053.7755365893524</v>
      </c>
      <c r="G72" s="1559">
        <f>U_3.4_SH_SUM!G66</f>
        <v>152.79737814216605</v>
      </c>
      <c r="H72" s="1559">
        <f>U_3.4_SH_SUM!H66</f>
        <v>43.506164930877603</v>
      </c>
      <c r="I72" s="1559">
        <f>U_3.4_SH_SUM!I66</f>
        <v>866.63645850964929</v>
      </c>
      <c r="J72" s="1559">
        <f>U_3.4_SH_SUM!J66</f>
        <v>268.66209226418351</v>
      </c>
      <c r="K72" s="58"/>
      <c r="L72" s="464">
        <f t="shared" si="0"/>
        <v>0.82241087254179668</v>
      </c>
      <c r="M72" s="464">
        <f t="shared" si="1"/>
        <v>0.25495191616777768</v>
      </c>
      <c r="N72" s="464">
        <f t="shared" si="2"/>
        <v>0.68534239378483064</v>
      </c>
      <c r="O72" s="1541">
        <f t="shared" si="3"/>
        <v>4.0159216537903469E-2</v>
      </c>
      <c r="P72" s="1542">
        <f t="shared" si="4"/>
        <v>17.065631575207249</v>
      </c>
      <c r="Q72" s="1543">
        <f t="shared" si="5"/>
        <v>5.8597303920048777E-2</v>
      </c>
      <c r="R72" s="1544" t="str">
        <f t="shared" si="6"/>
        <v>Check for limiting slen.</v>
      </c>
      <c r="S72" s="1545"/>
      <c r="T72" s="1545"/>
      <c r="U72" s="1546"/>
    </row>
    <row r="73" spans="1:21">
      <c r="A73" s="1540" t="str">
        <f>U_3.4_SH_SUM!A67</f>
        <v>LC-32</v>
      </c>
      <c r="B73" s="1558" t="str">
        <f>U_3.4_SH_SUM!B67</f>
        <v>LC-22 + Seismic Sx=0.3,Sz=1,Sy=0.3</v>
      </c>
      <c r="C73" s="227"/>
      <c r="D73" s="227"/>
      <c r="E73" s="657"/>
      <c r="F73" s="1559">
        <f>U_3.4_SH_SUM!F67</f>
        <v>1053.7755365893524</v>
      </c>
      <c r="G73" s="1559">
        <f>U_3.4_SH_SUM!G67</f>
        <v>53.081585324228577</v>
      </c>
      <c r="H73" s="1559">
        <f>U_3.4_SH_SUM!H67</f>
        <v>143.2219577488151</v>
      </c>
      <c r="I73" s="1559">
        <f>U_3.4_SH_SUM!I67</f>
        <v>305.78631910254029</v>
      </c>
      <c r="J73" s="1559">
        <f>U_3.4_SH_SUM!J67</f>
        <v>892.57167254863327</v>
      </c>
      <c r="K73" s="58"/>
      <c r="L73" s="464">
        <f t="shared" si="0"/>
        <v>0.29018164541212221</v>
      </c>
      <c r="M73" s="464">
        <f t="shared" si="1"/>
        <v>0.84702257886677534</v>
      </c>
      <c r="N73" s="464">
        <f t="shared" si="2"/>
        <v>0.2418180378434352</v>
      </c>
      <c r="O73" s="1541">
        <f t="shared" si="3"/>
        <v>0.13342030790943066</v>
      </c>
      <c r="P73" s="1542">
        <f t="shared" si="4"/>
        <v>1.8124530038379756</v>
      </c>
      <c r="Q73" s="1543">
        <f t="shared" si="5"/>
        <v>0.55173844391134075</v>
      </c>
      <c r="R73" s="1544" t="str">
        <f t="shared" si="6"/>
        <v>Check for limiting slen.</v>
      </c>
      <c r="S73" s="1545"/>
      <c r="T73" s="1545"/>
      <c r="U73" s="1546"/>
    </row>
    <row r="74" spans="1:21">
      <c r="A74" s="1540"/>
      <c r="B74" s="1558"/>
      <c r="C74" s="227"/>
      <c r="D74" s="227"/>
      <c r="E74" s="657"/>
      <c r="F74" s="1559"/>
      <c r="G74" s="1559"/>
      <c r="H74" s="1559"/>
      <c r="I74" s="1559"/>
      <c r="J74" s="1559"/>
      <c r="K74" s="58"/>
      <c r="L74" s="464"/>
      <c r="M74" s="464"/>
      <c r="N74" s="464"/>
      <c r="O74" s="1541"/>
      <c r="P74" s="1542"/>
      <c r="Q74" s="1543"/>
      <c r="R74" s="1544"/>
      <c r="S74" s="1545"/>
      <c r="T74" s="1545"/>
      <c r="U74" s="1546"/>
    </row>
    <row r="75" spans="1:21">
      <c r="A75" s="1540" t="str">
        <f>U_3.4_SH_SUM!A69</f>
        <v>LC-33</v>
      </c>
      <c r="B75" s="1558" t="str">
        <f>U_3.4_SH_SUM!B69</f>
        <v>LC-23 + Seismic Sx=1,Sz=0.3,Sy=-0.3</v>
      </c>
      <c r="C75" s="227"/>
      <c r="D75" s="227"/>
      <c r="E75" s="657"/>
      <c r="F75" s="1559">
        <f>U_3.4_SH_SUM!F69</f>
        <v>1026.7806915197709</v>
      </c>
      <c r="G75" s="1559">
        <f>U_3.4_SH_SUM!G69</f>
        <v>150.84857814216608</v>
      </c>
      <c r="H75" s="1559">
        <f>U_3.4_SH_SUM!H69</f>
        <v>45.021898645163319</v>
      </c>
      <c r="I75" s="1559">
        <f>U_3.4_SH_SUM!I69</f>
        <v>854.9746362467921</v>
      </c>
      <c r="J75" s="1559">
        <f>U_3.4_SH_SUM!J69</f>
        <v>278.35726271334698</v>
      </c>
      <c r="K75" s="58"/>
      <c r="L75" s="464">
        <f t="shared" si="0"/>
        <v>0.83267502331127474</v>
      </c>
      <c r="M75" s="464">
        <f t="shared" si="1"/>
        <v>0.27109709503919627</v>
      </c>
      <c r="N75" s="464">
        <f t="shared" si="2"/>
        <v>0.69389585275939569</v>
      </c>
      <c r="O75" s="1541">
        <f t="shared" si="3"/>
        <v>4.2702353863899485E-2</v>
      </c>
      <c r="P75" s="1542">
        <f t="shared" si="4"/>
        <v>16.249592586183272</v>
      </c>
      <c r="Q75" s="1543">
        <f t="shared" si="5"/>
        <v>6.1540004446036481E-2</v>
      </c>
      <c r="R75" s="1544" t="str">
        <f t="shared" si="6"/>
        <v>Check for limiting slen.</v>
      </c>
      <c r="S75" s="1545"/>
      <c r="T75" s="1545"/>
      <c r="U75" s="1546"/>
    </row>
    <row r="76" spans="1:21">
      <c r="A76" s="1540" t="str">
        <f>U_3.4_SH_SUM!A70</f>
        <v>LC-34</v>
      </c>
      <c r="B76" s="1558" t="str">
        <f>U_3.4_SH_SUM!B70</f>
        <v>LC-23 + Seismic Sx=0.3,Sz=1,Sy=-0.3</v>
      </c>
      <c r="C76" s="227"/>
      <c r="D76" s="227"/>
      <c r="E76" s="657"/>
      <c r="F76" s="1559">
        <f>U_3.4_SH_SUM!F70</f>
        <v>1026.7806915197709</v>
      </c>
      <c r="G76" s="1559">
        <f>U_3.4_SH_SUM!G70</f>
        <v>51.132785324228578</v>
      </c>
      <c r="H76" s="1559">
        <f>U_3.4_SH_SUM!H70</f>
        <v>148.27440346310081</v>
      </c>
      <c r="I76" s="1559">
        <f>U_3.4_SH_SUM!I70</f>
        <v>294.12449683968316</v>
      </c>
      <c r="J76" s="1559">
        <f>U_3.4_SH_SUM!J70</f>
        <v>934.68080847779652</v>
      </c>
      <c r="K76" s="58"/>
      <c r="L76" s="464">
        <f t="shared" si="0"/>
        <v>0.28645308513187961</v>
      </c>
      <c r="M76" s="464">
        <f t="shared" si="1"/>
        <v>0.91030228382493794</v>
      </c>
      <c r="N76" s="464">
        <f t="shared" si="2"/>
        <v>0.23871090427656635</v>
      </c>
      <c r="O76" s="1541">
        <f t="shared" si="3"/>
        <v>0.14338792616493398</v>
      </c>
      <c r="P76" s="1542">
        <f t="shared" si="4"/>
        <v>1.6647908276599648</v>
      </c>
      <c r="Q76" s="1543">
        <f t="shared" si="5"/>
        <v>0.60067606295356823</v>
      </c>
      <c r="R76" s="1544" t="str">
        <f t="shared" si="6"/>
        <v>Check for limiting slen.</v>
      </c>
      <c r="S76" s="1545"/>
      <c r="T76" s="1545"/>
      <c r="U76" s="1546"/>
    </row>
    <row r="77" spans="1:21">
      <c r="A77" s="1540" t="str">
        <f>U_3.4_SH_SUM!A71</f>
        <v>LC-35</v>
      </c>
      <c r="B77" s="1558" t="str">
        <f>U_3.4_SH_SUM!B71</f>
        <v>LC-23 + Seismic Sx=1,Sz=0.3,Sy=0.3</v>
      </c>
      <c r="C77" s="227"/>
      <c r="D77" s="227"/>
      <c r="E77" s="657"/>
      <c r="F77" s="1559">
        <f>U_3.4_SH_SUM!F71</f>
        <v>1082.8551685893524</v>
      </c>
      <c r="G77" s="1559">
        <f>U_3.4_SH_SUM!G71</f>
        <v>150.84857814216608</v>
      </c>
      <c r="H77" s="1559">
        <f>U_3.4_SH_SUM!H71</f>
        <v>45.021898645163319</v>
      </c>
      <c r="I77" s="1559">
        <f>U_3.4_SH_SUM!I71</f>
        <v>855.04681562964936</v>
      </c>
      <c r="J77" s="1559">
        <f>U_3.4_SH_SUM!J71</f>
        <v>278.04382900894547</v>
      </c>
      <c r="K77" s="58"/>
      <c r="L77" s="464">
        <f t="shared" si="0"/>
        <v>0.78962250948437407</v>
      </c>
      <c r="M77" s="464">
        <f t="shared" si="1"/>
        <v>0.25676917567023877</v>
      </c>
      <c r="N77" s="464">
        <f t="shared" si="2"/>
        <v>0.65801875790364506</v>
      </c>
      <c r="O77" s="1541">
        <f t="shared" si="3"/>
        <v>4.044546548618308E-2</v>
      </c>
      <c r="P77" s="1542">
        <f t="shared" si="4"/>
        <v>16.269283836736566</v>
      </c>
      <c r="Q77" s="1543">
        <f t="shared" si="5"/>
        <v>6.1465520549956097E-2</v>
      </c>
      <c r="R77" s="1544" t="str">
        <f t="shared" si="6"/>
        <v>Check for limiting slen.</v>
      </c>
      <c r="S77" s="1545"/>
      <c r="T77" s="1545"/>
      <c r="U77" s="1546"/>
    </row>
    <row r="78" spans="1:21">
      <c r="A78" s="1540" t="str">
        <f>U_3.4_SH_SUM!A72</f>
        <v>LC-36</v>
      </c>
      <c r="B78" s="1558" t="str">
        <f>U_3.4_SH_SUM!B72</f>
        <v>LC-23 + Seismic Sx=0.3,Sz=1,Sy=0.3</v>
      </c>
      <c r="C78" s="227"/>
      <c r="D78" s="227"/>
      <c r="E78" s="657"/>
      <c r="F78" s="1559">
        <f>U_3.4_SH_SUM!F72</f>
        <v>1082.8551685893524</v>
      </c>
      <c r="G78" s="1559">
        <f>U_3.4_SH_SUM!G72</f>
        <v>51.132785324228578</v>
      </c>
      <c r="H78" s="1559">
        <f>U_3.4_SH_SUM!H72</f>
        <v>148.27440346310081</v>
      </c>
      <c r="I78" s="1559">
        <f>U_3.4_SH_SUM!I72</f>
        <v>294.1966762225403</v>
      </c>
      <c r="J78" s="1559">
        <f>U_3.4_SH_SUM!J72</f>
        <v>934.36737477339511</v>
      </c>
      <c r="K78" s="58"/>
      <c r="L78" s="464">
        <f t="shared" si="0"/>
        <v>0.27168608024080787</v>
      </c>
      <c r="M78" s="464">
        <f t="shared" si="1"/>
        <v>0.8628738190266072</v>
      </c>
      <c r="N78" s="464">
        <f t="shared" si="2"/>
        <v>0.22640506686733991</v>
      </c>
      <c r="O78" s="1541">
        <f t="shared" si="3"/>
        <v>0.13591714494263063</v>
      </c>
      <c r="P78" s="1542">
        <f t="shared" si="4"/>
        <v>1.6657579657290726</v>
      </c>
      <c r="Q78" s="1543">
        <f t="shared" si="5"/>
        <v>0.60032731079410917</v>
      </c>
      <c r="R78" s="1544" t="str">
        <f t="shared" si="6"/>
        <v>Check for limiting slen.</v>
      </c>
      <c r="S78" s="1545"/>
      <c r="T78" s="1545"/>
      <c r="U78" s="1546"/>
    </row>
    <row r="79" spans="1:21">
      <c r="A79" s="1540"/>
      <c r="B79" s="1558"/>
      <c r="C79" s="227"/>
      <c r="D79" s="227"/>
      <c r="E79" s="657"/>
      <c r="F79" s="1559"/>
      <c r="G79" s="1559"/>
      <c r="H79" s="1559"/>
      <c r="I79" s="1559"/>
      <c r="J79" s="1559"/>
      <c r="K79" s="58"/>
      <c r="L79" s="464"/>
      <c r="M79" s="464"/>
      <c r="N79" s="464"/>
      <c r="O79" s="1541"/>
      <c r="P79" s="1542"/>
      <c r="Q79" s="1543"/>
      <c r="R79" s="1544"/>
      <c r="S79" s="1545"/>
      <c r="T79" s="1545"/>
      <c r="U79" s="1546"/>
    </row>
    <row r="80" spans="1:21">
      <c r="A80" s="1540" t="str">
        <f>U_3.4_SH_SUM!A74</f>
        <v>LC-37</v>
      </c>
      <c r="B80" s="1558" t="str">
        <f>U_3.4_SH_SUM!B74</f>
        <v>LC-24 + Seismic Sx=1,Sz=0.3,Sy=-0.3</v>
      </c>
      <c r="C80" s="227"/>
      <c r="D80" s="227"/>
      <c r="E80" s="657"/>
      <c r="F80" s="1559">
        <f>U_3.4_SH_SUM!F74</f>
        <v>1024.3810586511993</v>
      </c>
      <c r="G80" s="1559">
        <f>U_3.4_SH_SUM!G74</f>
        <v>150.84857814216608</v>
      </c>
      <c r="H80" s="1559">
        <f>U_3.4_SH_SUM!H74</f>
        <v>44.887479376591891</v>
      </c>
      <c r="I80" s="1559">
        <f>U_3.4_SH_SUM!I74</f>
        <v>866.33774493250644</v>
      </c>
      <c r="J80" s="1559">
        <f>U_3.4_SH_SUM!J74</f>
        <v>277.49746939465967</v>
      </c>
      <c r="K80" s="58"/>
      <c r="L80" s="464">
        <f t="shared" si="0"/>
        <v>0.84571823894636611</v>
      </c>
      <c r="M80" s="464">
        <f t="shared" si="1"/>
        <v>0.27089281576529745</v>
      </c>
      <c r="N80" s="464">
        <f t="shared" si="2"/>
        <v>0.70476519912197177</v>
      </c>
      <c r="O80" s="1541">
        <f t="shared" si="3"/>
        <v>4.2670176441121033E-2</v>
      </c>
      <c r="P80" s="1542">
        <f t="shared" si="4"/>
        <v>16.516575695309129</v>
      </c>
      <c r="Q80" s="1543">
        <f t="shared" si="5"/>
        <v>6.0545237611450538E-2</v>
      </c>
      <c r="R80" s="1544" t="str">
        <f t="shared" si="6"/>
        <v>Check for limiting slen.</v>
      </c>
      <c r="S80" s="1545"/>
      <c r="T80" s="1545"/>
      <c r="U80" s="1546"/>
    </row>
    <row r="81" spans="1:21">
      <c r="A81" s="1540" t="str">
        <f>U_3.4_SH_SUM!A75</f>
        <v>LC-38</v>
      </c>
      <c r="B81" s="1558" t="str">
        <f>U_3.4_SH_SUM!B75</f>
        <v>LC-24 + Seismic Sx=0.3,Sz=1,Sy=-0.3</v>
      </c>
      <c r="C81" s="227"/>
      <c r="D81" s="227"/>
      <c r="E81" s="657"/>
      <c r="F81" s="1559">
        <f>U_3.4_SH_SUM!F75</f>
        <v>1024.3810586511993</v>
      </c>
      <c r="G81" s="1559">
        <f>U_3.4_SH_SUM!G75</f>
        <v>51.132785324228578</v>
      </c>
      <c r="H81" s="1559">
        <f>U_3.4_SH_SUM!H75</f>
        <v>147.82633923452937</v>
      </c>
      <c r="I81" s="1559">
        <f>U_3.4_SH_SUM!I75</f>
        <v>305.48760552539744</v>
      </c>
      <c r="J81" s="1559">
        <f>U_3.4_SH_SUM!J75</f>
        <v>930.94645910070949</v>
      </c>
      <c r="K81" s="58"/>
      <c r="L81" s="464">
        <f t="shared" si="0"/>
        <v>0.29821676508508704</v>
      </c>
      <c r="M81" s="464">
        <f t="shared" si="1"/>
        <v>0.90878921592564887</v>
      </c>
      <c r="N81" s="464">
        <f t="shared" si="2"/>
        <v>0.24851397090423921</v>
      </c>
      <c r="O81" s="1541">
        <f t="shared" si="3"/>
        <v>0.14314959251238707</v>
      </c>
      <c r="P81" s="1542">
        <f t="shared" si="4"/>
        <v>1.7360438583346629</v>
      </c>
      <c r="Q81" s="1543">
        <f t="shared" si="5"/>
        <v>0.57602231372153889</v>
      </c>
      <c r="R81" s="1544" t="str">
        <f t="shared" si="6"/>
        <v>Check for limiting slen.</v>
      </c>
      <c r="S81" s="1545"/>
      <c r="T81" s="1545"/>
      <c r="U81" s="1546"/>
    </row>
    <row r="82" spans="1:21">
      <c r="A82" s="1540" t="str">
        <f>U_3.4_SH_SUM!A76</f>
        <v>LC-39</v>
      </c>
      <c r="B82" s="1558" t="str">
        <f>U_3.4_SH_SUM!B76</f>
        <v>LC-24 + Seismic Sx=1,Sz=0.3,Sy=0.3</v>
      </c>
      <c r="C82" s="227"/>
      <c r="D82" s="227"/>
      <c r="E82" s="657"/>
      <c r="F82" s="1559">
        <f>U_3.4_SH_SUM!F76</f>
        <v>1080.2763100293525</v>
      </c>
      <c r="G82" s="1559">
        <f>U_3.4_SH_SUM!G76</f>
        <v>150.84857814216608</v>
      </c>
      <c r="H82" s="1559">
        <f>U_3.4_SH_SUM!H76</f>
        <v>44.887479376591891</v>
      </c>
      <c r="I82" s="1559">
        <f>U_3.4_SH_SUM!I76</f>
        <v>867.25862122964941</v>
      </c>
      <c r="J82" s="1559">
        <f>U_3.4_SH_SUM!J76</f>
        <v>277.2118318188883</v>
      </c>
      <c r="K82" s="58"/>
      <c r="L82" s="464">
        <f t="shared" si="0"/>
        <v>0.80281184839282904</v>
      </c>
      <c r="M82" s="464">
        <f t="shared" si="1"/>
        <v>0.25661196977591416</v>
      </c>
      <c r="N82" s="464">
        <f t="shared" si="2"/>
        <v>0.66900987366069087</v>
      </c>
      <c r="O82" s="1541">
        <f t="shared" si="3"/>
        <v>4.0420702912729575E-2</v>
      </c>
      <c r="P82" s="1542">
        <f t="shared" si="4"/>
        <v>16.551168719285222</v>
      </c>
      <c r="Q82" s="1543">
        <f t="shared" si="5"/>
        <v>6.0418694109184684E-2</v>
      </c>
      <c r="R82" s="1544" t="str">
        <f t="shared" si="6"/>
        <v>Check for limiting slen.</v>
      </c>
      <c r="S82" s="1545"/>
      <c r="T82" s="1545"/>
      <c r="U82" s="1546"/>
    </row>
    <row r="83" spans="1:21">
      <c r="A83" s="1540" t="str">
        <f>U_3.4_SH_SUM!A77</f>
        <v>LC-40</v>
      </c>
      <c r="B83" s="1558" t="str">
        <f>U_3.4_SH_SUM!B77</f>
        <v>LC-24 + Seismic Sx=0.3,Sz=1,Sy=0.3</v>
      </c>
      <c r="C83" s="227"/>
      <c r="D83" s="227"/>
      <c r="E83" s="657"/>
      <c r="F83" s="1559">
        <f>U_3.4_SH_SUM!F77</f>
        <v>1080.2763100293525</v>
      </c>
      <c r="G83" s="1559">
        <f>U_3.4_SH_SUM!G77</f>
        <v>51.132785324228578</v>
      </c>
      <c r="H83" s="1559">
        <f>U_3.4_SH_SUM!H77</f>
        <v>147.82633923452937</v>
      </c>
      <c r="I83" s="1559">
        <f>U_3.4_SH_SUM!I77</f>
        <v>306.4084818225403</v>
      </c>
      <c r="J83" s="1559">
        <f>U_3.4_SH_SUM!J77</f>
        <v>930.660821524938</v>
      </c>
      <c r="K83" s="58"/>
      <c r="L83" s="464">
        <f t="shared" si="0"/>
        <v>0.28363899030074513</v>
      </c>
      <c r="M83" s="464">
        <f t="shared" si="1"/>
        <v>0.86150257381803619</v>
      </c>
      <c r="N83" s="464">
        <f t="shared" si="2"/>
        <v>0.23636582525062094</v>
      </c>
      <c r="O83" s="1541">
        <f t="shared" si="3"/>
        <v>0.1357011507501362</v>
      </c>
      <c r="P83" s="1542">
        <f t="shared" si="4"/>
        <v>1.7418115022903276</v>
      </c>
      <c r="Q83" s="1543">
        <f t="shared" si="5"/>
        <v>0.57411493648140954</v>
      </c>
      <c r="R83" s="1544" t="str">
        <f t="shared" si="6"/>
        <v>Check for limiting slen.</v>
      </c>
      <c r="S83" s="1545"/>
      <c r="T83" s="1545"/>
      <c r="U83" s="1546"/>
    </row>
    <row r="85" spans="1:21">
      <c r="A85" s="214" t="s">
        <v>1916</v>
      </c>
      <c r="J85" s="1" t="s">
        <v>1917</v>
      </c>
    </row>
    <row r="86" spans="1:21">
      <c r="A86" s="291" t="s">
        <v>1918</v>
      </c>
    </row>
    <row r="87" spans="1:21" ht="18">
      <c r="A87" s="1" t="s">
        <v>1919</v>
      </c>
      <c r="B87" s="1" t="s">
        <v>1</v>
      </c>
      <c r="C87" s="1" t="s">
        <v>1920</v>
      </c>
    </row>
    <row r="88" spans="1:21">
      <c r="A88" s="414" t="s">
        <v>1941</v>
      </c>
      <c r="B88" s="414"/>
      <c r="C88" s="414"/>
      <c r="D88" s="11"/>
    </row>
    <row r="89" spans="1:21">
      <c r="A89" s="414" t="s">
        <v>1942</v>
      </c>
      <c r="B89" s="414"/>
      <c r="C89" s="414"/>
      <c r="D89" s="11"/>
    </row>
    <row r="91" spans="1:21" ht="18">
      <c r="A91" s="1" t="s">
        <v>1921</v>
      </c>
      <c r="C91" s="1" t="s">
        <v>1</v>
      </c>
      <c r="D91" s="1016">
        <f>GEN!G55</f>
        <v>1.8237251004215971</v>
      </c>
      <c r="E91" s="291" t="s">
        <v>1413</v>
      </c>
    </row>
    <row r="92" spans="1:21" ht="18">
      <c r="A92" s="1" t="s">
        <v>1922</v>
      </c>
      <c r="C92" s="1" t="s">
        <v>1</v>
      </c>
      <c r="D92" s="1" t="s">
        <v>1923</v>
      </c>
    </row>
    <row r="93" spans="1:21" ht="18">
      <c r="A93" s="1" t="s">
        <v>1924</v>
      </c>
      <c r="C93" s="1" t="s">
        <v>1</v>
      </c>
      <c r="D93" s="1" t="s">
        <v>1925</v>
      </c>
    </row>
    <row r="94" spans="1:21" ht="18">
      <c r="A94" s="1" t="s">
        <v>171</v>
      </c>
      <c r="C94" s="1" t="s">
        <v>1</v>
      </c>
      <c r="D94" s="1" t="s">
        <v>1926</v>
      </c>
    </row>
    <row r="96" spans="1:21">
      <c r="A96" s="323" t="s">
        <v>1927</v>
      </c>
      <c r="C96" s="1" t="s">
        <v>1</v>
      </c>
      <c r="D96" s="1" t="s">
        <v>1928</v>
      </c>
      <c r="F96" s="1" t="s">
        <v>1</v>
      </c>
      <c r="G96" s="327">
        <f>I4*I6/I3/I5</f>
        <v>0.10276001607251725</v>
      </c>
    </row>
    <row r="97" spans="1:21">
      <c r="D97" s="528"/>
    </row>
    <row r="98" spans="1:21">
      <c r="A98" s="1" t="s">
        <v>25</v>
      </c>
      <c r="C98" s="1" t="s">
        <v>1</v>
      </c>
      <c r="D98" s="1" t="s">
        <v>1929</v>
      </c>
      <c r="F98" s="1" t="s">
        <v>1</v>
      </c>
      <c r="G98" s="14">
        <f>SQRT(1+2*G96)</f>
        <v>1.0979617626060729</v>
      </c>
    </row>
    <row r="99" spans="1:21">
      <c r="D99" s="528"/>
    </row>
    <row r="100" spans="1:21" ht="18">
      <c r="A100" s="529" t="s">
        <v>1930</v>
      </c>
      <c r="C100" s="1" t="s">
        <v>1</v>
      </c>
      <c r="D100" s="529" t="s">
        <v>1931</v>
      </c>
      <c r="F100" s="1" t="s">
        <v>1</v>
      </c>
      <c r="G100" s="1520">
        <v>0</v>
      </c>
    </row>
    <row r="101" spans="1:21">
      <c r="A101" s="1" t="s">
        <v>1947</v>
      </c>
    </row>
    <row r="102" spans="1:21" ht="18">
      <c r="A102" s="1" t="s">
        <v>227</v>
      </c>
      <c r="C102" s="1" t="s">
        <v>1</v>
      </c>
      <c r="D102" s="529" t="s">
        <v>1932</v>
      </c>
      <c r="E102" s="1" t="s">
        <v>1</v>
      </c>
      <c r="F102" s="529">
        <f>1.7-G100</f>
        <v>1.7</v>
      </c>
    </row>
    <row r="103" spans="1:21">
      <c r="C103" s="528"/>
    </row>
    <row r="104" spans="1:21" ht="18">
      <c r="A104" s="1" t="s">
        <v>576</v>
      </c>
      <c r="C104" s="1" t="s">
        <v>1</v>
      </c>
      <c r="D104" s="529" t="s">
        <v>1933</v>
      </c>
      <c r="F104" s="1" t="s">
        <v>1</v>
      </c>
      <c r="G104" s="529" t="s">
        <v>1934</v>
      </c>
      <c r="H104" s="529">
        <f>I3*I5/10^4</f>
        <v>11909.838785807158</v>
      </c>
      <c r="I104" s="1" t="s">
        <v>1935</v>
      </c>
    </row>
    <row r="106" spans="1:21">
      <c r="A106" s="1547" t="s">
        <v>1904</v>
      </c>
      <c r="B106" s="1548"/>
      <c r="C106" s="1548"/>
      <c r="D106" s="1548"/>
      <c r="E106" s="1549"/>
      <c r="F106" s="1550"/>
      <c r="H106" s="1758" t="s">
        <v>1936</v>
      </c>
      <c r="I106" s="1758"/>
      <c r="J106" s="1758"/>
      <c r="K106" s="1758"/>
      <c r="L106" s="1758"/>
      <c r="M106" s="1758"/>
      <c r="O106" s="1756" t="s">
        <v>1943</v>
      </c>
      <c r="P106" s="1758" t="s">
        <v>1944</v>
      </c>
      <c r="Q106" s="1758"/>
      <c r="R106" s="1758"/>
      <c r="S106" s="1758"/>
      <c r="T106" s="1758"/>
      <c r="U106" s="1758"/>
    </row>
    <row r="107" spans="1:21" ht="18" customHeight="1">
      <c r="A107" s="1551" t="s">
        <v>73</v>
      </c>
      <c r="B107" s="1760" t="s">
        <v>1937</v>
      </c>
      <c r="C107" s="1761"/>
      <c r="D107" s="1762"/>
      <c r="E107" s="1760" t="s">
        <v>1938</v>
      </c>
      <c r="F107" s="1762"/>
      <c r="H107" s="1756" t="s">
        <v>1939</v>
      </c>
      <c r="I107" s="1759" t="s">
        <v>1924</v>
      </c>
      <c r="J107" s="1756" t="s">
        <v>171</v>
      </c>
      <c r="K107" s="1756" t="s">
        <v>576</v>
      </c>
      <c r="L107" s="1759" t="s">
        <v>1919</v>
      </c>
      <c r="M107" s="1757" t="s">
        <v>1940</v>
      </c>
      <c r="O107" s="1756"/>
      <c r="P107" s="1756" t="s">
        <v>1939</v>
      </c>
      <c r="Q107" s="1759" t="s">
        <v>1924</v>
      </c>
      <c r="R107" s="1756" t="s">
        <v>171</v>
      </c>
      <c r="S107" s="1756" t="s">
        <v>576</v>
      </c>
      <c r="T107" s="1759" t="s">
        <v>1919</v>
      </c>
      <c r="U107" s="1757" t="s">
        <v>1940</v>
      </c>
    </row>
    <row r="108" spans="1:21" ht="18" customHeight="1">
      <c r="A108" s="1552"/>
      <c r="B108" s="1553" t="s">
        <v>1484</v>
      </c>
      <c r="C108" s="1553" t="s">
        <v>1914</v>
      </c>
      <c r="D108" s="1553" t="s">
        <v>1915</v>
      </c>
      <c r="E108" s="1553" t="s">
        <v>1914</v>
      </c>
      <c r="F108" s="1553" t="s">
        <v>1915</v>
      </c>
      <c r="H108" s="1756"/>
      <c r="I108" s="1759"/>
      <c r="J108" s="1756"/>
      <c r="K108" s="1756"/>
      <c r="L108" s="1759"/>
      <c r="M108" s="1757"/>
      <c r="O108" s="1756"/>
      <c r="P108" s="1756"/>
      <c r="Q108" s="1759"/>
      <c r="R108" s="1756"/>
      <c r="S108" s="1756"/>
      <c r="T108" s="1759"/>
      <c r="U108" s="1757"/>
    </row>
    <row r="109" spans="1:21">
      <c r="A109" s="1554"/>
      <c r="B109" s="1555" t="s">
        <v>34</v>
      </c>
      <c r="C109" s="1555" t="s">
        <v>77</v>
      </c>
      <c r="D109" s="1555" t="s">
        <v>77</v>
      </c>
      <c r="E109" s="1555" t="s">
        <v>77</v>
      </c>
      <c r="F109" s="1555" t="s">
        <v>77</v>
      </c>
      <c r="H109" s="1756"/>
      <c r="I109" s="1759"/>
      <c r="J109" s="1756"/>
      <c r="K109" s="1756"/>
      <c r="L109" s="1759"/>
      <c r="M109" s="1757"/>
      <c r="O109" s="1756"/>
      <c r="P109" s="1756"/>
      <c r="Q109" s="1759"/>
      <c r="R109" s="1756"/>
      <c r="S109" s="1756"/>
      <c r="T109" s="1759"/>
      <c r="U109" s="1757"/>
    </row>
    <row r="110" spans="1:21">
      <c r="A110" s="117" t="str">
        <f>SLEN!A35</f>
        <v>LC-1</v>
      </c>
      <c r="B110" s="1540">
        <f>SLEN!F35</f>
        <v>635.21210219751424</v>
      </c>
      <c r="C110" s="1540">
        <f>SLEN!I35</f>
        <v>337.43063500000005</v>
      </c>
      <c r="D110" s="1540">
        <f>SLEN!J35</f>
        <v>0</v>
      </c>
      <c r="E110" s="1540">
        <f>S_3.3_SH_SUM!I25</f>
        <v>37.928736000000015</v>
      </c>
      <c r="F110" s="1540">
        <f>S_3.3_SH_SUM!J25</f>
        <v>0</v>
      </c>
      <c r="H110" s="1556">
        <f>E110/C110</f>
        <v>0.11240454204758264</v>
      </c>
      <c r="I110" s="1556">
        <f>$D$91*H110</f>
        <v>0.20499498473357128</v>
      </c>
      <c r="J110" s="1556">
        <f>1/(1+0.2*I110)</f>
        <v>0.96061571906700616</v>
      </c>
      <c r="K110" s="1556">
        <f>B110/$H$104</f>
        <v>5.3335071416289064E-2</v>
      </c>
      <c r="L110" s="1556">
        <f>20*J110*$G$98*$F$102/SQRT(K110)</f>
        <v>155.27780428073177</v>
      </c>
      <c r="M110" s="1561" t="str">
        <f>IF(L110&gt;$L$23,"Ignore","Consider")</f>
        <v>Ignore</v>
      </c>
      <c r="O110" s="117" t="str">
        <f>A110</f>
        <v>LC-1</v>
      </c>
      <c r="P110" s="1560">
        <f>IF(F110&lt;0.1,0,F110/D110)</f>
        <v>0</v>
      </c>
      <c r="Q110" s="1560">
        <f>$D$91*P110</f>
        <v>0</v>
      </c>
      <c r="R110" s="1560">
        <f>1/(1+0.2*Q110)</f>
        <v>1</v>
      </c>
      <c r="S110" s="1556">
        <f>B110/$H$104</f>
        <v>5.3335071416289064E-2</v>
      </c>
      <c r="T110" s="1556">
        <f>20*R110*$G$98*$F$102/SQRT(S110)</f>
        <v>161.64403850432998</v>
      </c>
      <c r="U110" s="1561" t="str">
        <f>IF(T110&gt;$L$26,"Ignore","Consider")</f>
        <v>Ignore</v>
      </c>
    </row>
    <row r="111" spans="1:21">
      <c r="A111" s="117" t="str">
        <f>SLEN!A36</f>
        <v>LC-2</v>
      </c>
      <c r="B111" s="1540">
        <f>SLEN!F36</f>
        <v>1030.3031021975144</v>
      </c>
      <c r="C111" s="1540">
        <f>SLEN!I36</f>
        <v>62.836504000000012</v>
      </c>
      <c r="D111" s="1540">
        <f>SLEN!J36</f>
        <v>0</v>
      </c>
      <c r="E111" s="1540">
        <f>E110</f>
        <v>37.928736000000015</v>
      </c>
      <c r="F111" s="1540">
        <f>F110</f>
        <v>0</v>
      </c>
      <c r="H111" s="1556">
        <f t="shared" ref="H111:H158" si="7">E111/C111</f>
        <v>0.60360990165843742</v>
      </c>
      <c r="I111" s="1556">
        <f t="shared" ref="I111:I158" si="8">$D$91*H111</f>
        <v>1.1008185285175041</v>
      </c>
      <c r="J111" s="1556">
        <f t="shared" ref="J111:J158" si="9">1/(1+0.2*I111)</f>
        <v>0.81956215819699152</v>
      </c>
      <c r="K111" s="1556">
        <f>B111/$H$104</f>
        <v>8.6508568312890749E-2</v>
      </c>
      <c r="L111" s="1556">
        <f>20*J111*$G$98*$F$102/SQRT(K111)</f>
        <v>104.02038763919269</v>
      </c>
      <c r="M111" s="1561" t="str">
        <f>IF(L111&gt;$L$23,"Ignore","Consider")</f>
        <v>Ignore</v>
      </c>
      <c r="O111" s="117" t="str">
        <f>A111</f>
        <v>LC-2</v>
      </c>
      <c r="P111" s="1560">
        <f>IF(F111&lt;0.1,0,F111/D111)</f>
        <v>0</v>
      </c>
      <c r="Q111" s="1560">
        <f t="shared" ref="Q111:Q158" si="10">$D$91*P111</f>
        <v>0</v>
      </c>
      <c r="R111" s="1560">
        <f t="shared" ref="R111:R158" si="11">1/(1+0.2*Q111)</f>
        <v>1</v>
      </c>
      <c r="S111" s="1556">
        <f>B111/$H$104</f>
        <v>8.6508568312890749E-2</v>
      </c>
      <c r="T111" s="1556">
        <f>20*R111*$G$98*$F$102/SQRT(S111)</f>
        <v>126.92190165055197</v>
      </c>
      <c r="U111" s="1561" t="str">
        <f>IF(T111&gt;$L$26,"Ignore","Consider")</f>
        <v>Ignore</v>
      </c>
    </row>
    <row r="112" spans="1:21">
      <c r="A112" s="117" t="str">
        <f>SLEN!A37</f>
        <v>LC-3</v>
      </c>
      <c r="B112" s="1540">
        <f>SLEN!F37</f>
        <v>1240.8216736260858</v>
      </c>
      <c r="C112" s="1540">
        <f>SLEN!I37</f>
        <v>325.00050509714293</v>
      </c>
      <c r="D112" s="1540">
        <f>SLEN!J37</f>
        <v>-32.649344208494199</v>
      </c>
      <c r="E112" s="1540">
        <f t="shared" ref="E112:E128" si="12">E111</f>
        <v>37.928736000000015</v>
      </c>
      <c r="F112" s="1540">
        <f t="shared" ref="F112:F128" si="13">F111</f>
        <v>0</v>
      </c>
      <c r="H112" s="1556">
        <f t="shared" si="7"/>
        <v>0.11670362170256653</v>
      </c>
      <c r="I112" s="1556">
        <f t="shared" si="8"/>
        <v>0.21283532420907722</v>
      </c>
      <c r="J112" s="1556">
        <f t="shared" si="9"/>
        <v>0.95917090969272656</v>
      </c>
      <c r="K112" s="1556">
        <f>B112/$H$104</f>
        <v>0.10418459023179737</v>
      </c>
      <c r="L112" s="1556">
        <f>20*J112*$G$98*$F$102/SQRT(K112)</f>
        <v>110.9329053925681</v>
      </c>
      <c r="M112" s="1561" t="str">
        <f>IF(L112&gt;$L$23,"Ignore","Consider")</f>
        <v>Ignore</v>
      </c>
      <c r="O112" s="117" t="str">
        <f>A112</f>
        <v>LC-3</v>
      </c>
      <c r="P112" s="1560">
        <f>IF(F112&lt;0.1,0,F112/D112)</f>
        <v>0</v>
      </c>
      <c r="Q112" s="1560">
        <f t="shared" si="10"/>
        <v>0</v>
      </c>
      <c r="R112" s="1560">
        <f t="shared" si="11"/>
        <v>1</v>
      </c>
      <c r="S112" s="1556">
        <f>B112/$H$104</f>
        <v>0.10418459023179737</v>
      </c>
      <c r="T112" s="1556">
        <f>20*R112*$G$98*$F$102/SQRT(S112)</f>
        <v>115.65499356950453</v>
      </c>
      <c r="U112" s="1561" t="str">
        <f>IF(T112&gt;$L$26,"Ignore","Consider")</f>
        <v>Ignore</v>
      </c>
    </row>
    <row r="113" spans="1:21">
      <c r="A113" s="117" t="str">
        <f>SLEN!A38</f>
        <v>LC-4</v>
      </c>
      <c r="B113" s="1540">
        <f>SLEN!F38</f>
        <v>1222.1523307689431</v>
      </c>
      <c r="C113" s="1540">
        <f>SLEN!I38</f>
        <v>393.45076822857152</v>
      </c>
      <c r="D113" s="1540">
        <f>SLEN!J38</f>
        <v>-29.753914142857134</v>
      </c>
      <c r="E113" s="1540">
        <f t="shared" si="12"/>
        <v>37.928736000000015</v>
      </c>
      <c r="F113" s="1540">
        <f t="shared" si="13"/>
        <v>0</v>
      </c>
      <c r="H113" s="1556">
        <f t="shared" si="7"/>
        <v>9.6400208266884543E-2</v>
      </c>
      <c r="I113" s="1556">
        <f t="shared" si="8"/>
        <v>0.17580747950218689</v>
      </c>
      <c r="J113" s="1556">
        <f t="shared" si="9"/>
        <v>0.96603284024793434</v>
      </c>
      <c r="K113" s="1556">
        <f>B113/$H$104</f>
        <v>0.10261703392873549</v>
      </c>
      <c r="L113" s="1556">
        <f>20*J113*$G$98*$F$102/SQRT(K113)</f>
        <v>112.57664312939009</v>
      </c>
      <c r="M113" s="1561" t="str">
        <f>IF(L113&gt;$L$23,"Ignore","Consider")</f>
        <v>Ignore</v>
      </c>
      <c r="O113" s="117" t="str">
        <f>A113</f>
        <v>LC-4</v>
      </c>
      <c r="P113" s="1560">
        <f>IF(F113&lt;0.1,0,F113/D113)</f>
        <v>0</v>
      </c>
      <c r="Q113" s="1560">
        <f t="shared" si="10"/>
        <v>0</v>
      </c>
      <c r="R113" s="1560">
        <f t="shared" si="11"/>
        <v>1</v>
      </c>
      <c r="S113" s="1556">
        <f>B113/$H$104</f>
        <v>0.10261703392873549</v>
      </c>
      <c r="T113" s="1556">
        <f>20*R113*$G$98*$F$102/SQRT(S113)</f>
        <v>116.53500630526914</v>
      </c>
      <c r="U113" s="1561" t="str">
        <f>IF(T113&gt;$L$26,"Ignore","Consider")</f>
        <v>Ignore</v>
      </c>
    </row>
    <row r="114" spans="1:21">
      <c r="A114" s="117"/>
      <c r="B114" s="1540"/>
      <c r="C114" s="1540"/>
      <c r="D114" s="1540"/>
      <c r="E114" s="1540"/>
      <c r="F114" s="1540"/>
      <c r="H114" s="1556"/>
      <c r="I114" s="1556"/>
      <c r="J114" s="1556"/>
      <c r="K114" s="1556"/>
      <c r="L114" s="1556"/>
      <c r="M114" s="1561"/>
      <c r="O114" s="117"/>
      <c r="P114" s="1560"/>
      <c r="Q114" s="1560"/>
      <c r="R114" s="1560"/>
      <c r="S114" s="1556"/>
      <c r="T114" s="1556"/>
      <c r="U114" s="1561"/>
    </row>
    <row r="115" spans="1:21">
      <c r="A115" s="117" t="str">
        <f>SLEN!A40</f>
        <v>LC-5</v>
      </c>
      <c r="B115" s="1540">
        <f>SLEN!F40</f>
        <v>626.9666075015474</v>
      </c>
      <c r="C115" s="1540">
        <f>SLEN!I40</f>
        <v>660.1752942333602</v>
      </c>
      <c r="D115" s="1540">
        <f>SLEN!J40</f>
        <v>74.467904735437429</v>
      </c>
      <c r="E115" s="1540">
        <f>E113</f>
        <v>37.928736000000015</v>
      </c>
      <c r="F115" s="1540">
        <f>F113</f>
        <v>0</v>
      </c>
      <c r="H115" s="1556">
        <f t="shared" si="7"/>
        <v>5.7452522581968785E-2</v>
      </c>
      <c r="I115" s="1556">
        <f t="shared" si="8"/>
        <v>0.1047776075152751</v>
      </c>
      <c r="J115" s="1556">
        <f t="shared" si="9"/>
        <v>0.97947459897939115</v>
      </c>
      <c r="K115" s="1556">
        <f>B115/$H$104</f>
        <v>5.2642745109925212E-2</v>
      </c>
      <c r="L115" s="1556">
        <f>20*J115*$G$98*$F$102/SQRT(K115)</f>
        <v>159.36393566573318</v>
      </c>
      <c r="M115" s="1561" t="str">
        <f>IF(L115&gt;$L$23,"Ignore","Consider")</f>
        <v>Ignore</v>
      </c>
      <c r="O115" s="117" t="str">
        <f>A115</f>
        <v>LC-5</v>
      </c>
      <c r="P115" s="1560">
        <f>IF(F115&lt;0.1,0,F115/D115)</f>
        <v>0</v>
      </c>
      <c r="Q115" s="1560">
        <f t="shared" si="10"/>
        <v>0</v>
      </c>
      <c r="R115" s="1560">
        <f t="shared" si="11"/>
        <v>1</v>
      </c>
      <c r="S115" s="1556">
        <f>B115/$H$104</f>
        <v>5.2642745109925212E-2</v>
      </c>
      <c r="T115" s="1556">
        <f>20*R115*$G$98*$F$102/SQRT(S115)</f>
        <v>162.70349004638794</v>
      </c>
      <c r="U115" s="1561" t="str">
        <f>IF(T115&gt;$L$26,"Ignore","Consider")</f>
        <v>Ignore</v>
      </c>
    </row>
    <row r="116" spans="1:21">
      <c r="A116" s="117" t="str">
        <f>SLEN!A41</f>
        <v>LC-6</v>
      </c>
      <c r="B116" s="1540">
        <f>SLEN!F41</f>
        <v>626.9666075015474</v>
      </c>
      <c r="C116" s="1540">
        <f>SLEN!I41</f>
        <v>382.70619167000802</v>
      </c>
      <c r="D116" s="1540">
        <f>SLEN!J41</f>
        <v>248.2263491181248</v>
      </c>
      <c r="E116" s="1540">
        <f t="shared" si="12"/>
        <v>37.928736000000015</v>
      </c>
      <c r="F116" s="1540">
        <f t="shared" si="13"/>
        <v>0</v>
      </c>
      <c r="H116" s="1556">
        <f t="shared" si="7"/>
        <v>9.9106669360354699E-2</v>
      </c>
      <c r="I116" s="1556">
        <f t="shared" si="8"/>
        <v>0.18074332053166289</v>
      </c>
      <c r="J116" s="1556">
        <f t="shared" si="9"/>
        <v>0.96511247337513051</v>
      </c>
      <c r="K116" s="1556">
        <f>B116/$H$104</f>
        <v>5.2642745109925212E-2</v>
      </c>
      <c r="L116" s="1556">
        <f>20*J116*$G$98*$F$102/SQRT(K116)</f>
        <v>157.02716770543537</v>
      </c>
      <c r="M116" s="1561" t="str">
        <f>IF(L116&gt;$L$23,"Ignore","Consider")</f>
        <v>Ignore</v>
      </c>
      <c r="O116" s="117" t="str">
        <f>A116</f>
        <v>LC-6</v>
      </c>
      <c r="P116" s="1560">
        <f>IF(F116&lt;0.1,0,F116/D116)</f>
        <v>0</v>
      </c>
      <c r="Q116" s="1560">
        <f t="shared" si="10"/>
        <v>0</v>
      </c>
      <c r="R116" s="1560">
        <f t="shared" si="11"/>
        <v>1</v>
      </c>
      <c r="S116" s="1556">
        <f>B116/$H$104</f>
        <v>5.2642745109925212E-2</v>
      </c>
      <c r="T116" s="1556">
        <f>20*R116*$G$98*$F$102/SQRT(S116)</f>
        <v>162.70349004638794</v>
      </c>
      <c r="U116" s="1561" t="str">
        <f>IF(T116&gt;$L$26,"Ignore","Consider")</f>
        <v>Ignore</v>
      </c>
    </row>
    <row r="117" spans="1:21">
      <c r="A117" s="117" t="str">
        <f>SLEN!A42</f>
        <v>LC-7</v>
      </c>
      <c r="B117" s="1540">
        <f>SLEN!F42</f>
        <v>643.45759689348108</v>
      </c>
      <c r="C117" s="1540">
        <f>SLEN!I42</f>
        <v>665.22208023336032</v>
      </c>
      <c r="D117" s="1540">
        <f>SLEN!J42</f>
        <v>74.467904735437429</v>
      </c>
      <c r="E117" s="1540">
        <f t="shared" si="12"/>
        <v>37.928736000000015</v>
      </c>
      <c r="F117" s="1540">
        <f t="shared" si="13"/>
        <v>0</v>
      </c>
      <c r="H117" s="1556">
        <f t="shared" si="7"/>
        <v>5.7016652223411755E-2</v>
      </c>
      <c r="I117" s="1556">
        <f t="shared" si="8"/>
        <v>0.10398269980184488</v>
      </c>
      <c r="J117" s="1556">
        <f t="shared" si="9"/>
        <v>0.97962714493411562</v>
      </c>
      <c r="K117" s="1556">
        <f>B117/$H$104</f>
        <v>5.4027397722652921E-2</v>
      </c>
      <c r="L117" s="1556">
        <f>20*J117*$G$98*$F$102/SQRT(K117)</f>
        <v>157.33303431446345</v>
      </c>
      <c r="M117" s="1561" t="str">
        <f>IF(L117&gt;$L$23,"Ignore","Consider")</f>
        <v>Ignore</v>
      </c>
      <c r="O117" s="117" t="str">
        <f>A117</f>
        <v>LC-7</v>
      </c>
      <c r="P117" s="1560">
        <f>IF(F117&lt;0.1,0,F117/D117)</f>
        <v>0</v>
      </c>
      <c r="Q117" s="1560">
        <f t="shared" si="10"/>
        <v>0</v>
      </c>
      <c r="R117" s="1560">
        <f t="shared" si="11"/>
        <v>1</v>
      </c>
      <c r="S117" s="1556">
        <f>B117/$H$104</f>
        <v>5.4027397722652921E-2</v>
      </c>
      <c r="T117" s="1556">
        <f>20*R117*$G$98*$F$102/SQRT(S117)</f>
        <v>160.60501704967029</v>
      </c>
      <c r="U117" s="1561" t="str">
        <f>IF(T117&gt;$L$26,"Ignore","Consider")</f>
        <v>Ignore</v>
      </c>
    </row>
    <row r="118" spans="1:21">
      <c r="A118" s="117" t="str">
        <f>SLEN!A43</f>
        <v>LC-8</v>
      </c>
      <c r="B118" s="1540">
        <f>SLEN!F43</f>
        <v>643.45759689348108</v>
      </c>
      <c r="C118" s="1540">
        <f>SLEN!I43</f>
        <v>387.75297767000802</v>
      </c>
      <c r="D118" s="1540">
        <f>SLEN!J43</f>
        <v>248.2263491181248</v>
      </c>
      <c r="E118" s="1540">
        <f t="shared" si="12"/>
        <v>37.928736000000015</v>
      </c>
      <c r="F118" s="1540">
        <f t="shared" si="13"/>
        <v>0</v>
      </c>
      <c r="H118" s="1556">
        <f t="shared" si="7"/>
        <v>9.7816749797544456E-2</v>
      </c>
      <c r="I118" s="1556">
        <f t="shared" si="8"/>
        <v>0.17839086184744099</v>
      </c>
      <c r="J118" s="1556">
        <f t="shared" si="9"/>
        <v>0.96555090826346046</v>
      </c>
      <c r="K118" s="1556">
        <f>B118/$H$104</f>
        <v>5.4027397722652921E-2</v>
      </c>
      <c r="L118" s="1556">
        <f>20*J118*$G$98*$F$102/SQRT(K118)</f>
        <v>155.0723200839777</v>
      </c>
      <c r="M118" s="1561" t="str">
        <f>IF(L118&gt;$L$23,"Ignore","Consider")</f>
        <v>Ignore</v>
      </c>
      <c r="O118" s="117" t="str">
        <f>A118</f>
        <v>LC-8</v>
      </c>
      <c r="P118" s="1560">
        <f>IF(F118&lt;0.1,0,F118/D118)</f>
        <v>0</v>
      </c>
      <c r="Q118" s="1560">
        <f t="shared" si="10"/>
        <v>0</v>
      </c>
      <c r="R118" s="1560">
        <f t="shared" si="11"/>
        <v>1</v>
      </c>
      <c r="S118" s="1556">
        <f>B118/$H$104</f>
        <v>5.4027397722652921E-2</v>
      </c>
      <c r="T118" s="1556">
        <f>20*R118*$G$98*$F$102/SQRT(S118)</f>
        <v>160.60501704967029</v>
      </c>
      <c r="U118" s="1561" t="str">
        <f>IF(T118&gt;$L$26,"Ignore","Consider")</f>
        <v>Ignore</v>
      </c>
    </row>
    <row r="119" spans="1:21">
      <c r="A119" s="117"/>
      <c r="B119" s="1540"/>
      <c r="C119" s="1540"/>
      <c r="D119" s="1540"/>
      <c r="E119" s="1540"/>
      <c r="F119" s="1540"/>
      <c r="H119" s="1556"/>
      <c r="I119" s="1556"/>
      <c r="J119" s="1556"/>
      <c r="K119" s="1556"/>
      <c r="L119" s="1556"/>
      <c r="M119" s="1561"/>
      <c r="O119" s="117"/>
      <c r="P119" s="1560"/>
      <c r="Q119" s="1560"/>
      <c r="R119" s="1560"/>
      <c r="S119" s="1556"/>
      <c r="T119" s="1556"/>
      <c r="U119" s="1561"/>
    </row>
    <row r="120" spans="1:21">
      <c r="A120" s="117" t="str">
        <f>SLEN!A45</f>
        <v>LC-9</v>
      </c>
      <c r="B120" s="1540">
        <f>SLEN!F45</f>
        <v>1003.2763528055807</v>
      </c>
      <c r="C120" s="1540">
        <f>SLEN!I45</f>
        <v>849.91605806672055</v>
      </c>
      <c r="D120" s="1540">
        <f>SLEN!J45</f>
        <v>264.85613400173355</v>
      </c>
      <c r="E120" s="1540">
        <f>E118</f>
        <v>37.928736000000015</v>
      </c>
      <c r="F120" s="1540">
        <f>F118</f>
        <v>0</v>
      </c>
      <c r="H120" s="1556">
        <f t="shared" si="7"/>
        <v>4.4626449447578875E-2</v>
      </c>
      <c r="I120" s="1556">
        <f t="shared" si="8"/>
        <v>8.1386376000245106E-2</v>
      </c>
      <c r="J120" s="1556">
        <f t="shared" si="9"/>
        <v>0.98398343090290497</v>
      </c>
      <c r="K120" s="1556">
        <f>B120/$H$104</f>
        <v>8.4239289116253668E-2</v>
      </c>
      <c r="L120" s="1556">
        <f>20*J120*$G$98*$F$102/SQRT(K120)</f>
        <v>126.56003074138218</v>
      </c>
      <c r="M120" s="1561" t="str">
        <f>IF(L120&gt;$L$23,"Ignore","Consider")</f>
        <v>Ignore</v>
      </c>
      <c r="O120" s="117" t="str">
        <f>A120</f>
        <v>LC-9</v>
      </c>
      <c r="P120" s="1560">
        <f>IF(F120&lt;0.1,0,F120/D120)</f>
        <v>0</v>
      </c>
      <c r="Q120" s="1560">
        <f t="shared" si="10"/>
        <v>0</v>
      </c>
      <c r="R120" s="1560">
        <f t="shared" si="11"/>
        <v>1</v>
      </c>
      <c r="S120" s="1556">
        <f>B120/$H$104</f>
        <v>8.4239289116253668E-2</v>
      </c>
      <c r="T120" s="1556">
        <f>20*R120*$G$98*$F$102/SQRT(S120)</f>
        <v>128.62008319108631</v>
      </c>
      <c r="U120" s="1561" t="str">
        <f>IF(T120&gt;$L$26,"Ignore","Consider")</f>
        <v>Ignore</v>
      </c>
    </row>
    <row r="121" spans="1:21">
      <c r="A121" s="117" t="str">
        <f>SLEN!A46</f>
        <v>LC-10</v>
      </c>
      <c r="B121" s="1540">
        <f>SLEN!F46</f>
        <v>1003.2763528055807</v>
      </c>
      <c r="C121" s="1540">
        <f>SLEN!I46</f>
        <v>294.97785294001619</v>
      </c>
      <c r="D121" s="1540">
        <f>SLEN!J46</f>
        <v>882.85378000577862</v>
      </c>
      <c r="E121" s="1540">
        <f t="shared" si="12"/>
        <v>37.928736000000015</v>
      </c>
      <c r="F121" s="1540">
        <f t="shared" si="13"/>
        <v>0</v>
      </c>
      <c r="H121" s="1556">
        <f t="shared" si="7"/>
        <v>0.12858163967893832</v>
      </c>
      <c r="I121" s="1556">
        <f t="shared" si="8"/>
        <v>0.2344975637358454</v>
      </c>
      <c r="J121" s="1556">
        <f t="shared" si="9"/>
        <v>0.95520151439931422</v>
      </c>
      <c r="K121" s="1556">
        <f>B121/$H$104</f>
        <v>8.4239289116253668E-2</v>
      </c>
      <c r="L121" s="1556">
        <f>20*J121*$G$98*$F$102/SQRT(K121)</f>
        <v>122.85809824629143</v>
      </c>
      <c r="M121" s="1561" t="str">
        <f>IF(L121&gt;$L$23,"Ignore","Consider")</f>
        <v>Ignore</v>
      </c>
      <c r="O121" s="117" t="str">
        <f>A121</f>
        <v>LC-10</v>
      </c>
      <c r="P121" s="1560">
        <f>IF(F121&lt;0.1,0,F121/D121)</f>
        <v>0</v>
      </c>
      <c r="Q121" s="1560">
        <f t="shared" si="10"/>
        <v>0</v>
      </c>
      <c r="R121" s="1560">
        <f t="shared" si="11"/>
        <v>1</v>
      </c>
      <c r="S121" s="1556">
        <f>B121/$H$104</f>
        <v>8.4239289116253668E-2</v>
      </c>
      <c r="T121" s="1556">
        <f>20*R121*$G$98*$F$102/SQRT(S121)</f>
        <v>128.62008319108631</v>
      </c>
      <c r="U121" s="1561" t="str">
        <f>IF(T121&gt;$L$26,"Ignore","Consider")</f>
        <v>Ignore</v>
      </c>
    </row>
    <row r="122" spans="1:21">
      <c r="A122" s="117" t="str">
        <f>SLEN!A47</f>
        <v>LC-11</v>
      </c>
      <c r="B122" s="1540">
        <f>SLEN!F47</f>
        <v>1057.329851589448</v>
      </c>
      <c r="C122" s="1540">
        <f>SLEN!I47</f>
        <v>849.91605806672055</v>
      </c>
      <c r="D122" s="1540">
        <f>SLEN!J47</f>
        <v>264.85613400173355</v>
      </c>
      <c r="E122" s="1540">
        <f t="shared" si="12"/>
        <v>37.928736000000015</v>
      </c>
      <c r="F122" s="1540">
        <f t="shared" si="13"/>
        <v>0</v>
      </c>
      <c r="H122" s="1556">
        <f t="shared" si="7"/>
        <v>4.4626449447578875E-2</v>
      </c>
      <c r="I122" s="1556">
        <f t="shared" si="8"/>
        <v>8.1386376000245106E-2</v>
      </c>
      <c r="J122" s="1556">
        <f t="shared" si="9"/>
        <v>0.98398343090290497</v>
      </c>
      <c r="K122" s="1556">
        <f>B122/$H$104</f>
        <v>8.877784750952783E-2</v>
      </c>
      <c r="L122" s="1556">
        <f>20*J122*$G$98*$F$102/SQRT(K122)</f>
        <v>123.28255111612496</v>
      </c>
      <c r="M122" s="1561" t="str">
        <f>IF(L122&gt;$L$23,"Ignore","Consider")</f>
        <v>Ignore</v>
      </c>
      <c r="O122" s="117" t="str">
        <f>A122</f>
        <v>LC-11</v>
      </c>
      <c r="P122" s="1560">
        <f>IF(F122&lt;0.1,0,F122/D122)</f>
        <v>0</v>
      </c>
      <c r="Q122" s="1560">
        <f t="shared" si="10"/>
        <v>0</v>
      </c>
      <c r="R122" s="1560">
        <f t="shared" si="11"/>
        <v>1</v>
      </c>
      <c r="S122" s="1556">
        <f>B122/$H$104</f>
        <v>8.877784750952783E-2</v>
      </c>
      <c r="T122" s="1556">
        <f>20*R122*$G$98*$F$102/SQRT(S122)</f>
        <v>125.28925512800623</v>
      </c>
      <c r="U122" s="1561" t="str">
        <f>IF(T122&gt;$L$26,"Ignore","Consider")</f>
        <v>Ignore</v>
      </c>
    </row>
    <row r="123" spans="1:21">
      <c r="A123" s="117" t="str">
        <f>SLEN!A48</f>
        <v>LC-12</v>
      </c>
      <c r="B123" s="1540">
        <f>SLEN!F48</f>
        <v>1057.329851589448</v>
      </c>
      <c r="C123" s="1540">
        <f>SLEN!I48</f>
        <v>294.97785294001619</v>
      </c>
      <c r="D123" s="1540">
        <f>SLEN!J48</f>
        <v>882.85378000577862</v>
      </c>
      <c r="E123" s="1540">
        <f t="shared" si="12"/>
        <v>37.928736000000015</v>
      </c>
      <c r="F123" s="1540">
        <f t="shared" si="13"/>
        <v>0</v>
      </c>
      <c r="H123" s="1556">
        <f t="shared" si="7"/>
        <v>0.12858163967893832</v>
      </c>
      <c r="I123" s="1556">
        <f t="shared" si="8"/>
        <v>0.2344975637358454</v>
      </c>
      <c r="J123" s="1556">
        <f t="shared" si="9"/>
        <v>0.95520151439931422</v>
      </c>
      <c r="K123" s="1556">
        <f>B123/$H$104</f>
        <v>8.877784750952783E-2</v>
      </c>
      <c r="L123" s="1556">
        <f>20*J123*$G$98*$F$102/SQRT(K123)</f>
        <v>119.6764862362336</v>
      </c>
      <c r="M123" s="1561" t="str">
        <f>IF(L123&gt;$L$23,"Ignore","Consider")</f>
        <v>Ignore</v>
      </c>
      <c r="O123" s="117" t="str">
        <f>A123</f>
        <v>LC-12</v>
      </c>
      <c r="P123" s="1560">
        <f>IF(F123&lt;0.1,0,F123/D123)</f>
        <v>0</v>
      </c>
      <c r="Q123" s="1560">
        <f t="shared" si="10"/>
        <v>0</v>
      </c>
      <c r="R123" s="1560">
        <f t="shared" si="11"/>
        <v>1</v>
      </c>
      <c r="S123" s="1556">
        <f>B123/$H$104</f>
        <v>8.877784750952783E-2</v>
      </c>
      <c r="T123" s="1556">
        <f>20*R123*$G$98*$F$102/SQRT(S123)</f>
        <v>125.28925512800623</v>
      </c>
      <c r="U123" s="1561" t="str">
        <f>IF(T123&gt;$L$26,"Ignore","Consider")</f>
        <v>Ignore</v>
      </c>
    </row>
    <row r="124" spans="1:21">
      <c r="A124" s="117"/>
      <c r="B124" s="1540"/>
      <c r="C124" s="1540"/>
      <c r="D124" s="1540"/>
      <c r="E124" s="1540"/>
      <c r="F124" s="1540"/>
      <c r="H124" s="1556"/>
      <c r="I124" s="1556"/>
      <c r="J124" s="1556"/>
      <c r="K124" s="1556"/>
      <c r="L124" s="1556"/>
      <c r="M124" s="1561"/>
      <c r="O124" s="117"/>
      <c r="P124" s="1560"/>
      <c r="Q124" s="1560"/>
      <c r="R124" s="1560"/>
      <c r="S124" s="1556"/>
      <c r="T124" s="1556"/>
      <c r="U124" s="1561"/>
    </row>
    <row r="125" spans="1:21">
      <c r="A125" s="117" t="str">
        <f>SLEN!A50</f>
        <v>LC-13</v>
      </c>
      <c r="B125" s="1540">
        <f>SLEN!F50</f>
        <v>1030.3350065198665</v>
      </c>
      <c r="C125" s="1540">
        <f>SLEN!I50</f>
        <v>843.94354620386332</v>
      </c>
      <c r="D125" s="1540">
        <f>SLEN!J50</f>
        <v>274.55130445089702</v>
      </c>
      <c r="E125" s="1540">
        <f>E123</f>
        <v>37.928736000000015</v>
      </c>
      <c r="F125" s="1540">
        <f>F123</f>
        <v>0</v>
      </c>
      <c r="H125" s="1556">
        <f t="shared" si="7"/>
        <v>4.4942266779107447E-2</v>
      </c>
      <c r="I125" s="1556">
        <f t="shared" si="8"/>
        <v>8.1962339994901934E-2</v>
      </c>
      <c r="J125" s="1556">
        <f t="shared" si="9"/>
        <v>0.98387191118087181</v>
      </c>
      <c r="K125" s="1556">
        <f>B125/$H$104</f>
        <v>8.6511247133563798E-2</v>
      </c>
      <c r="L125" s="1556">
        <f>20*J125*$G$98*$F$102/SQRT(K125)</f>
        <v>124.87296055719487</v>
      </c>
      <c r="M125" s="1561" t="str">
        <f>IF(L125&gt;$L$23,"Ignore","Consider")</f>
        <v>Ignore</v>
      </c>
      <c r="O125" s="117" t="str">
        <f>A125</f>
        <v>LC-13</v>
      </c>
      <c r="P125" s="1560">
        <f>IF(F125&lt;0.1,0,F125/D125)</f>
        <v>0</v>
      </c>
      <c r="Q125" s="1560">
        <f t="shared" si="10"/>
        <v>0</v>
      </c>
      <c r="R125" s="1560">
        <f t="shared" si="11"/>
        <v>1</v>
      </c>
      <c r="S125" s="1556">
        <f>B125/$H$104</f>
        <v>8.6511247133563798E-2</v>
      </c>
      <c r="T125" s="1556">
        <f>20*R125*$G$98*$F$102/SQRT(S125)</f>
        <v>126.91993656706663</v>
      </c>
      <c r="U125" s="1561" t="str">
        <f>IF(T125&gt;$L$26,"Ignore","Consider")</f>
        <v>Ignore</v>
      </c>
    </row>
    <row r="126" spans="1:21">
      <c r="A126" s="117" t="str">
        <f>SLEN!A51</f>
        <v>LC-14</v>
      </c>
      <c r="B126" s="1540">
        <f>SLEN!F51</f>
        <v>1030.3350065198665</v>
      </c>
      <c r="C126" s="1540">
        <f>SLEN!I51</f>
        <v>289.00534107715902</v>
      </c>
      <c r="D126" s="1540">
        <f>SLEN!J51</f>
        <v>924.96291593494198</v>
      </c>
      <c r="E126" s="1540">
        <f t="shared" si="12"/>
        <v>37.928736000000015</v>
      </c>
      <c r="F126" s="1540">
        <f t="shared" si="13"/>
        <v>0</v>
      </c>
      <c r="H126" s="1556">
        <f t="shared" si="7"/>
        <v>0.13123887558145078</v>
      </c>
      <c r="I126" s="1556">
        <f t="shared" si="8"/>
        <v>0.23934363154899882</v>
      </c>
      <c r="J126" s="1556">
        <f t="shared" si="9"/>
        <v>0.9543180122586773</v>
      </c>
      <c r="K126" s="1556">
        <f>B126/$H$104</f>
        <v>8.6511247133563798E-2</v>
      </c>
      <c r="L126" s="1556">
        <f>20*J126*$G$98*$F$102/SQRT(K126)</f>
        <v>121.12198158068043</v>
      </c>
      <c r="M126" s="1561" t="str">
        <f>IF(L126&gt;$L$23,"Ignore","Consider")</f>
        <v>Ignore</v>
      </c>
      <c r="O126" s="117" t="str">
        <f>A126</f>
        <v>LC-14</v>
      </c>
      <c r="P126" s="1560">
        <f>IF(F126&lt;0.1,0,F126/D126)</f>
        <v>0</v>
      </c>
      <c r="Q126" s="1560">
        <f t="shared" si="10"/>
        <v>0</v>
      </c>
      <c r="R126" s="1560">
        <f t="shared" si="11"/>
        <v>1</v>
      </c>
      <c r="S126" s="1556">
        <f>B126/$H$104</f>
        <v>8.6511247133563798E-2</v>
      </c>
      <c r="T126" s="1556">
        <f>20*R126*$G$98*$F$102/SQRT(S126)</f>
        <v>126.91993656706663</v>
      </c>
      <c r="U126" s="1561" t="str">
        <f>IF(T126&gt;$L$26,"Ignore","Consider")</f>
        <v>Ignore</v>
      </c>
    </row>
    <row r="127" spans="1:21">
      <c r="A127" s="117" t="str">
        <f>SLEN!A52</f>
        <v>LC-15</v>
      </c>
      <c r="B127" s="1540">
        <f>SLEN!F52</f>
        <v>1086.409483589448</v>
      </c>
      <c r="C127" s="1540">
        <f>SLEN!I52</f>
        <v>844.01572558672058</v>
      </c>
      <c r="D127" s="1540">
        <f>SLEN!J52</f>
        <v>274.2378707464955</v>
      </c>
      <c r="E127" s="1540">
        <f t="shared" si="12"/>
        <v>37.928736000000015</v>
      </c>
      <c r="F127" s="1540">
        <f t="shared" si="13"/>
        <v>0</v>
      </c>
      <c r="H127" s="1556">
        <f t="shared" si="7"/>
        <v>4.4938423361287158E-2</v>
      </c>
      <c r="I127" s="1556">
        <f t="shared" si="8"/>
        <v>8.1955330657351666E-2</v>
      </c>
      <c r="J127" s="1556">
        <f t="shared" si="9"/>
        <v>0.98387326819601328</v>
      </c>
      <c r="K127" s="1556">
        <f>B127/$H$104</f>
        <v>9.1219495337259468E-2</v>
      </c>
      <c r="L127" s="1556">
        <f>20*J127*$G$98*$F$102/SQRT(K127)</f>
        <v>121.60780822486413</v>
      </c>
      <c r="M127" s="1561" t="str">
        <f>IF(L127&gt;$L$23,"Ignore","Consider")</f>
        <v>Ignore</v>
      </c>
      <c r="O127" s="117" t="str">
        <f>A127</f>
        <v>LC-15</v>
      </c>
      <c r="P127" s="1560">
        <f>IF(F127&lt;0.1,0,F127/D127)</f>
        <v>0</v>
      </c>
      <c r="Q127" s="1560">
        <f t="shared" si="10"/>
        <v>0</v>
      </c>
      <c r="R127" s="1560">
        <f t="shared" si="11"/>
        <v>1</v>
      </c>
      <c r="S127" s="1556">
        <f>B127/$H$104</f>
        <v>9.1219495337259468E-2</v>
      </c>
      <c r="T127" s="1556">
        <f>20*R127*$G$98*$F$102/SQRT(S127)</f>
        <v>123.60108985158104</v>
      </c>
      <c r="U127" s="1561" t="str">
        <f>IF(T127&gt;$L$26,"Ignore","Consider")</f>
        <v>Ignore</v>
      </c>
    </row>
    <row r="128" spans="1:21">
      <c r="A128" s="117" t="str">
        <f>SLEN!A53</f>
        <v>LC-16</v>
      </c>
      <c r="B128" s="1540">
        <f>SLEN!F53</f>
        <v>1086.409483589448</v>
      </c>
      <c r="C128" s="1540">
        <f>SLEN!I53</f>
        <v>289.07752046001616</v>
      </c>
      <c r="D128" s="1540">
        <f>SLEN!J53</f>
        <v>924.64948223054057</v>
      </c>
      <c r="E128" s="1540">
        <f t="shared" si="12"/>
        <v>37.928736000000015</v>
      </c>
      <c r="F128" s="1540">
        <f t="shared" si="13"/>
        <v>0</v>
      </c>
      <c r="H128" s="1556">
        <f t="shared" si="7"/>
        <v>0.13120610672058861</v>
      </c>
      <c r="I128" s="1556">
        <f t="shared" si="8"/>
        <v>0.23928387015493224</v>
      </c>
      <c r="J128" s="1556">
        <f t="shared" si="9"/>
        <v>0.95432889759648454</v>
      </c>
      <c r="K128" s="1556">
        <f>B128/$H$104</f>
        <v>9.1219495337259468E-2</v>
      </c>
      <c r="L128" s="1556">
        <f>20*J128*$G$98*$F$102/SQRT(K128)</f>
        <v>117.95609181978335</v>
      </c>
      <c r="M128" s="1561" t="str">
        <f>IF(L128&gt;$L$23,"Ignore","Consider")</f>
        <v>Ignore</v>
      </c>
      <c r="O128" s="117" t="str">
        <f>A128</f>
        <v>LC-16</v>
      </c>
      <c r="P128" s="1560">
        <f>IF(F128&lt;0.1,0,F128/D128)</f>
        <v>0</v>
      </c>
      <c r="Q128" s="1560">
        <f t="shared" si="10"/>
        <v>0</v>
      </c>
      <c r="R128" s="1560">
        <f t="shared" si="11"/>
        <v>1</v>
      </c>
      <c r="S128" s="1556">
        <f>B128/$H$104</f>
        <v>9.1219495337259468E-2</v>
      </c>
      <c r="T128" s="1556">
        <f>20*R128*$G$98*$F$102/SQRT(S128)</f>
        <v>123.60108985158104</v>
      </c>
      <c r="U128" s="1561" t="str">
        <f>IF(T128&gt;$L$26,"Ignore","Consider")</f>
        <v>Ignore</v>
      </c>
    </row>
    <row r="129" spans="1:21">
      <c r="A129" s="117"/>
      <c r="B129" s="1540"/>
      <c r="C129" s="1540"/>
      <c r="D129" s="1540"/>
      <c r="E129" s="1540"/>
      <c r="F129" s="1540"/>
      <c r="H129" s="1556"/>
      <c r="I129" s="1556"/>
      <c r="J129" s="1556"/>
      <c r="K129" s="1556"/>
      <c r="L129" s="1556"/>
      <c r="M129" s="1561"/>
      <c r="O129" s="117"/>
      <c r="P129" s="1560"/>
      <c r="Q129" s="1560"/>
      <c r="R129" s="1560"/>
      <c r="S129" s="1556"/>
      <c r="T129" s="1556"/>
      <c r="U129" s="1561"/>
    </row>
    <row r="130" spans="1:21">
      <c r="A130" s="117" t="str">
        <f>SLEN!A55</f>
        <v>LC-17</v>
      </c>
      <c r="B130" s="1540">
        <f>SLEN!F55</f>
        <v>1027.9353736512949</v>
      </c>
      <c r="C130" s="1540">
        <f>SLEN!I55</f>
        <v>855.30665488957766</v>
      </c>
      <c r="D130" s="1540">
        <f>SLEN!J55</f>
        <v>273.69151113220971</v>
      </c>
      <c r="E130" s="1540">
        <f>E128</f>
        <v>37.928736000000015</v>
      </c>
      <c r="F130" s="1540">
        <f>F128</f>
        <v>0</v>
      </c>
      <c r="H130" s="1556">
        <f t="shared" si="7"/>
        <v>4.4345189860467898E-2</v>
      </c>
      <c r="I130" s="1556">
        <f t="shared" si="8"/>
        <v>8.0873435831496601E-2</v>
      </c>
      <c r="J130" s="1556">
        <f t="shared" si="9"/>
        <v>0.98408276906463399</v>
      </c>
      <c r="K130" s="1556">
        <f>B130/$H$104</f>
        <v>8.6309763896743566E-2</v>
      </c>
      <c r="L130" s="1556">
        <f>20*J130*$G$98*$F$102/SQRT(K130)</f>
        <v>125.04542184884308</v>
      </c>
      <c r="M130" s="1561" t="str">
        <f>IF(L130&gt;$L$23,"Ignore","Consider")</f>
        <v>Ignore</v>
      </c>
      <c r="O130" s="117" t="str">
        <f>A130</f>
        <v>LC-17</v>
      </c>
      <c r="P130" s="1560">
        <f>IF(F130&lt;0.1,0,F130/D130)</f>
        <v>0</v>
      </c>
      <c r="Q130" s="1560">
        <f t="shared" si="10"/>
        <v>0</v>
      </c>
      <c r="R130" s="1560">
        <f t="shared" si="11"/>
        <v>1</v>
      </c>
      <c r="S130" s="1556">
        <f>B130/$H$104</f>
        <v>8.6309763896743566E-2</v>
      </c>
      <c r="T130" s="1556">
        <f>20*R130*$G$98*$F$102/SQRT(S130)</f>
        <v>127.06799242882606</v>
      </c>
      <c r="U130" s="1561" t="str">
        <f>IF(T130&gt;$L$26,"Ignore","Consider")</f>
        <v>Ignore</v>
      </c>
    </row>
    <row r="131" spans="1:21">
      <c r="A131" s="117" t="str">
        <f>SLEN!A56</f>
        <v>LC-18</v>
      </c>
      <c r="B131" s="1540">
        <f>SLEN!F56</f>
        <v>1027.9353736512949</v>
      </c>
      <c r="C131" s="1540">
        <f>SLEN!I56</f>
        <v>300.3684497628733</v>
      </c>
      <c r="D131" s="1540">
        <f>SLEN!J56</f>
        <v>921.22856655785495</v>
      </c>
      <c r="E131" s="1540">
        <f>E130</f>
        <v>37.928736000000015</v>
      </c>
      <c r="F131" s="1540">
        <f>F130</f>
        <v>0</v>
      </c>
      <c r="H131" s="1556">
        <f t="shared" si="7"/>
        <v>0.12627403453972266</v>
      </c>
      <c r="I131" s="1556">
        <f t="shared" si="8"/>
        <v>0.23028912632159593</v>
      </c>
      <c r="J131" s="1556">
        <f t="shared" si="9"/>
        <v>0.95597009634464403</v>
      </c>
      <c r="K131" s="1556">
        <f>B131/$H$104</f>
        <v>8.6309763896743566E-2</v>
      </c>
      <c r="L131" s="1556">
        <f>20*J131*$G$98*$F$102/SQRT(K131)</f>
        <v>121.47320096450535</v>
      </c>
      <c r="M131" s="1561" t="str">
        <f>IF(L131&gt;$L$23,"Ignore","Consider")</f>
        <v>Ignore</v>
      </c>
      <c r="O131" s="117" t="str">
        <f>A131</f>
        <v>LC-18</v>
      </c>
      <c r="P131" s="1560">
        <f>IF(F131&lt;0.1,0,F131/D131)</f>
        <v>0</v>
      </c>
      <c r="Q131" s="1560">
        <f t="shared" si="10"/>
        <v>0</v>
      </c>
      <c r="R131" s="1560">
        <f t="shared" si="11"/>
        <v>1</v>
      </c>
      <c r="S131" s="1556">
        <f>B131/$H$104</f>
        <v>8.6309763896743566E-2</v>
      </c>
      <c r="T131" s="1556">
        <f>20*R131*$G$98*$F$102/SQRT(S131)</f>
        <v>127.06799242882606</v>
      </c>
      <c r="U131" s="1561" t="str">
        <f>IF(T131&gt;$L$26,"Ignore","Consider")</f>
        <v>Ignore</v>
      </c>
    </row>
    <row r="132" spans="1:21">
      <c r="A132" s="117" t="str">
        <f>SLEN!A57</f>
        <v>LC-19</v>
      </c>
      <c r="B132" s="1540">
        <f>SLEN!F57</f>
        <v>1083.8306250294481</v>
      </c>
      <c r="C132" s="1540">
        <f>SLEN!I57</f>
        <v>856.22753118672063</v>
      </c>
      <c r="D132" s="1540">
        <f>SLEN!J57</f>
        <v>273.40587355643834</v>
      </c>
      <c r="E132" s="1540">
        <f t="shared" ref="E132:E133" si="14">E131</f>
        <v>37.928736000000015</v>
      </c>
      <c r="F132" s="1540">
        <f t="shared" ref="F132:F133" si="15">F131</f>
        <v>0</v>
      </c>
      <c r="H132" s="1556">
        <f t="shared" si="7"/>
        <v>4.4297496422979137E-2</v>
      </c>
      <c r="I132" s="1556">
        <f t="shared" si="8"/>
        <v>8.0786456112422966E-2</v>
      </c>
      <c r="J132" s="1556">
        <f t="shared" si="9"/>
        <v>0.9840996159137464</v>
      </c>
      <c r="K132" s="1556">
        <f>B132/$H$104</f>
        <v>9.1002963559929859E-2</v>
      </c>
      <c r="L132" s="1556">
        <f>20*J132*$G$98*$F$102/SQRT(K132)</f>
        <v>121.78040871438</v>
      </c>
      <c r="M132" s="1561" t="str">
        <f>IF(L132&gt;$L$23,"Ignore","Consider")</f>
        <v>Ignore</v>
      </c>
      <c r="O132" s="117" t="str">
        <f>A132</f>
        <v>LC-19</v>
      </c>
      <c r="P132" s="1560">
        <f>IF(F132&lt;0.1,0,F132/D132)</f>
        <v>0</v>
      </c>
      <c r="Q132" s="1560">
        <f t="shared" si="10"/>
        <v>0</v>
      </c>
      <c r="R132" s="1560">
        <f t="shared" si="11"/>
        <v>1</v>
      </c>
      <c r="S132" s="1556">
        <f>B132/$H$104</f>
        <v>9.1002963559929859E-2</v>
      </c>
      <c r="T132" s="1556">
        <f>20*R132*$G$98*$F$102/SQRT(S132)</f>
        <v>123.74805024317142</v>
      </c>
      <c r="U132" s="1561" t="str">
        <f>IF(T132&gt;$L$26,"Ignore","Consider")</f>
        <v>Ignore</v>
      </c>
    </row>
    <row r="133" spans="1:21">
      <c r="A133" s="117" t="str">
        <f>SLEN!A58</f>
        <v>LC-20</v>
      </c>
      <c r="B133" s="1540">
        <f>SLEN!F58</f>
        <v>1083.8306250294481</v>
      </c>
      <c r="C133" s="1540">
        <f>SLEN!I58</f>
        <v>301.28932606001615</v>
      </c>
      <c r="D133" s="1540">
        <f>SLEN!J58</f>
        <v>920.94292898208346</v>
      </c>
      <c r="E133" s="1540">
        <f t="shared" si="14"/>
        <v>37.928736000000015</v>
      </c>
      <c r="F133" s="1540">
        <f t="shared" si="15"/>
        <v>0</v>
      </c>
      <c r="H133" s="1556">
        <f t="shared" si="7"/>
        <v>0.12588808404199722</v>
      </c>
      <c r="I133" s="1556">
        <f t="shared" si="8"/>
        <v>0.22958525871137384</v>
      </c>
      <c r="J133" s="1556">
        <f t="shared" si="9"/>
        <v>0.95609876360100765</v>
      </c>
      <c r="K133" s="1556">
        <f>B133/$H$104</f>
        <v>9.1002963559929859E-2</v>
      </c>
      <c r="L133" s="1556">
        <f>20*J133*$G$98*$F$102/SQRT(K133)</f>
        <v>118.31535783553156</v>
      </c>
      <c r="M133" s="1561" t="str">
        <f>IF(L133&gt;$L$23,"Ignore","Consider")</f>
        <v>Ignore</v>
      </c>
      <c r="O133" s="117" t="str">
        <f>A133</f>
        <v>LC-20</v>
      </c>
      <c r="P133" s="1560">
        <f>IF(F133&lt;0.1,0,F133/D133)</f>
        <v>0</v>
      </c>
      <c r="Q133" s="1560">
        <f t="shared" si="10"/>
        <v>0</v>
      </c>
      <c r="R133" s="1560">
        <f t="shared" si="11"/>
        <v>1</v>
      </c>
      <c r="S133" s="1556">
        <f>B133/$H$104</f>
        <v>9.1002963559929859E-2</v>
      </c>
      <c r="T133" s="1556">
        <f>20*R133*$G$98*$F$102/SQRT(S133)</f>
        <v>123.74805024317142</v>
      </c>
      <c r="U133" s="1561" t="str">
        <f>IF(T133&gt;$L$26,"Ignore","Consider")</f>
        <v>Ignore</v>
      </c>
    </row>
    <row r="134" spans="1:21">
      <c r="A134" s="117"/>
      <c r="B134" s="1540"/>
      <c r="C134" s="1540"/>
      <c r="D134" s="1540"/>
      <c r="E134" s="1540"/>
      <c r="F134" s="1540"/>
      <c r="H134" s="1556"/>
      <c r="I134" s="1556"/>
      <c r="J134" s="1556"/>
      <c r="K134" s="1556"/>
      <c r="L134" s="1556"/>
      <c r="M134" s="1561"/>
      <c r="O134" s="117"/>
      <c r="P134" s="1560"/>
      <c r="Q134" s="1560"/>
      <c r="R134" s="1560"/>
      <c r="S134" s="1556"/>
      <c r="T134" s="1556"/>
      <c r="U134" s="1561"/>
    </row>
    <row r="135" spans="1:21">
      <c r="A135" s="117" t="str">
        <f>SLEN!A60</f>
        <v>LC-21</v>
      </c>
      <c r="B135" s="1540">
        <f>SLEN!F60</f>
        <v>631.65778719741854</v>
      </c>
      <c r="C135" s="1540">
        <f>SLEN!I60</f>
        <v>340.0161046423508</v>
      </c>
      <c r="D135" s="1540">
        <f>SLEN!J60</f>
        <v>1.2722721422765415</v>
      </c>
      <c r="E135" s="1540">
        <f>S_3.3_SH_SUM!I26</f>
        <v>37.928736000000015</v>
      </c>
      <c r="F135" s="1540">
        <f>S_3.3_SH_SUM!J26</f>
        <v>0</v>
      </c>
      <c r="H135" s="1556">
        <f t="shared" si="7"/>
        <v>0.11154982214708836</v>
      </c>
      <c r="I135" s="1556">
        <f t="shared" si="8"/>
        <v>0.20343621059721001</v>
      </c>
      <c r="J135" s="1556">
        <f t="shared" si="9"/>
        <v>0.96090348716432883</v>
      </c>
      <c r="K135" s="1556">
        <f>B135/$H$104</f>
        <v>5.3036636226357584E-2</v>
      </c>
      <c r="L135" s="1556">
        <f>20*J135*$G$98*$F$102/SQRT(K135)</f>
        <v>155.76070935495164</v>
      </c>
      <c r="M135" s="1561" t="str">
        <f>IF(L135&gt;$L$23,"Ignore","Consider")</f>
        <v>Ignore</v>
      </c>
      <c r="O135" s="117" t="str">
        <f>A135</f>
        <v>LC-21</v>
      </c>
      <c r="P135" s="1560">
        <f>IF(F135&lt;0.1,0,F135/D135)</f>
        <v>0</v>
      </c>
      <c r="Q135" s="1560">
        <f t="shared" si="10"/>
        <v>0</v>
      </c>
      <c r="R135" s="1560">
        <f t="shared" si="11"/>
        <v>1</v>
      </c>
      <c r="S135" s="1556">
        <f>B135/$H$104</f>
        <v>5.3036636226357584E-2</v>
      </c>
      <c r="T135" s="1556">
        <f>20*R135*$G$98*$F$102/SQRT(S135)</f>
        <v>162.09818304917263</v>
      </c>
      <c r="U135" s="1561" t="str">
        <f>IF(T135&gt;$L$26,"Ignore","Consider")</f>
        <v>Ignore</v>
      </c>
    </row>
    <row r="136" spans="1:21">
      <c r="A136" s="117" t="str">
        <f>SLEN!A61</f>
        <v>LC-22</v>
      </c>
      <c r="B136" s="1540">
        <f>SLEN!F61</f>
        <v>1026.7487871974188</v>
      </c>
      <c r="C136" s="1540">
        <f>SLEN!I61</f>
        <v>65.421973642350736</v>
      </c>
      <c r="D136" s="1540">
        <f>SLEN!J61</f>
        <v>1.2722721422765415</v>
      </c>
      <c r="E136" s="1540">
        <f>E135</f>
        <v>37.928736000000015</v>
      </c>
      <c r="F136" s="1540">
        <f>F135</f>
        <v>0</v>
      </c>
      <c r="H136" s="1556">
        <f t="shared" si="7"/>
        <v>0.57975530067847036</v>
      </c>
      <c r="I136" s="1556">
        <f t="shared" si="8"/>
        <v>1.0573142939497966</v>
      </c>
      <c r="J136" s="1556">
        <f t="shared" si="9"/>
        <v>0.82544833524556094</v>
      </c>
      <c r="K136" s="1556">
        <f>B136/$H$104</f>
        <v>8.6210133122959276E-2</v>
      </c>
      <c r="L136" s="1556">
        <f>20*J136*$G$98*$F$102/SQRT(K136)</f>
        <v>104.94865349455631</v>
      </c>
      <c r="M136" s="1561" t="str">
        <f>IF(L136&gt;$L$23,"Ignore","Consider")</f>
        <v>Ignore</v>
      </c>
      <c r="O136" s="117" t="str">
        <f>A136</f>
        <v>LC-22</v>
      </c>
      <c r="P136" s="1560">
        <f>IF(F136&lt;0.1,0,F136/D136)</f>
        <v>0</v>
      </c>
      <c r="Q136" s="1560">
        <f t="shared" si="10"/>
        <v>0</v>
      </c>
      <c r="R136" s="1560">
        <f t="shared" si="11"/>
        <v>1</v>
      </c>
      <c r="S136" s="1556">
        <f>B136/$H$104</f>
        <v>8.6210133122959276E-2</v>
      </c>
      <c r="T136" s="1556">
        <f>20*R136*$G$98*$F$102/SQRT(S136)</f>
        <v>127.14139578867201</v>
      </c>
      <c r="U136" s="1561" t="str">
        <f>IF(T136&gt;$L$26,"Ignore","Consider")</f>
        <v>Ignore</v>
      </c>
    </row>
    <row r="137" spans="1:21">
      <c r="A137" s="117" t="str">
        <f>SLEN!A62</f>
        <v>LC-23</v>
      </c>
      <c r="B137" s="1540">
        <f>SLEN!F62</f>
        <v>1237.2673586259903</v>
      </c>
      <c r="C137" s="1540">
        <f>SLEN!I62</f>
        <v>327.58597473949368</v>
      </c>
      <c r="D137" s="1540">
        <f>SLEN!J62</f>
        <v>-31.377072066217657</v>
      </c>
      <c r="E137" s="1540">
        <f t="shared" ref="E137:E158" si="16">E136</f>
        <v>37.928736000000015</v>
      </c>
      <c r="F137" s="1540">
        <f t="shared" ref="F137:F158" si="17">F136</f>
        <v>0</v>
      </c>
      <c r="H137" s="1556">
        <f t="shared" si="7"/>
        <v>0.11578253931708186</v>
      </c>
      <c r="I137" s="1556">
        <f t="shared" si="8"/>
        <v>0.21115552314311264</v>
      </c>
      <c r="J137" s="1556">
        <f t="shared" si="9"/>
        <v>0.95948009568984149</v>
      </c>
      <c r="K137" s="1556">
        <f>B137/$H$104</f>
        <v>0.10388615504186589</v>
      </c>
      <c r="L137" s="1556">
        <f>20*J137*$G$98*$F$102/SQRT(K137)</f>
        <v>111.12794059626471</v>
      </c>
      <c r="M137" s="1561" t="str">
        <f>IF(L137&gt;$L$23,"Ignore","Consider")</f>
        <v>Ignore</v>
      </c>
      <c r="O137" s="117" t="str">
        <f>A137</f>
        <v>LC-23</v>
      </c>
      <c r="P137" s="1560">
        <f>IF(F137&lt;0.1,0,F137/D137)</f>
        <v>0</v>
      </c>
      <c r="Q137" s="1560">
        <f t="shared" si="10"/>
        <v>0</v>
      </c>
      <c r="R137" s="1560">
        <f t="shared" si="11"/>
        <v>1</v>
      </c>
      <c r="S137" s="1556">
        <f>B137/$H$104</f>
        <v>0.10388615504186589</v>
      </c>
      <c r="T137" s="1556">
        <f>20*R137*$G$98*$F$102/SQRT(S137)</f>
        <v>115.82099628274894</v>
      </c>
      <c r="U137" s="1561" t="str">
        <f>IF(T137&gt;$L$26,"Ignore","Consider")</f>
        <v>Ignore</v>
      </c>
    </row>
    <row r="138" spans="1:21">
      <c r="A138" s="117" t="str">
        <f>SLEN!A63</f>
        <v>LC-24</v>
      </c>
      <c r="B138" s="1540">
        <f>SLEN!F63</f>
        <v>1218.5980157688475</v>
      </c>
      <c r="C138" s="1540">
        <f>SLEN!I63</f>
        <v>396.03623787092226</v>
      </c>
      <c r="D138" s="1540">
        <f>SLEN!J63</f>
        <v>-28.481642000580592</v>
      </c>
      <c r="E138" s="1540">
        <f t="shared" si="16"/>
        <v>37.928736000000015</v>
      </c>
      <c r="F138" s="1540">
        <f t="shared" si="17"/>
        <v>0</v>
      </c>
      <c r="H138" s="1556">
        <f t="shared" si="7"/>
        <v>9.5770872392646811E-2</v>
      </c>
      <c r="I138" s="1556">
        <f t="shared" si="8"/>
        <v>0.17465974387174377</v>
      </c>
      <c r="J138" s="1556">
        <f t="shared" si="9"/>
        <v>0.9662471056036892</v>
      </c>
      <c r="K138" s="1556">
        <f>B138/$H$104</f>
        <v>0.10231859873880401</v>
      </c>
      <c r="L138" s="1556">
        <f>20*J138*$G$98*$F$102/SQRT(K138)</f>
        <v>112.76570693198705</v>
      </c>
      <c r="M138" s="1561" t="str">
        <f>IF(L138&gt;$L$23,"Ignore","Consider")</f>
        <v>Ignore</v>
      </c>
      <c r="O138" s="117" t="str">
        <f>A138</f>
        <v>LC-24</v>
      </c>
      <c r="P138" s="1560">
        <f>IF(F138&lt;0.1,0,F138/D138)</f>
        <v>0</v>
      </c>
      <c r="Q138" s="1560">
        <f t="shared" si="10"/>
        <v>0</v>
      </c>
      <c r="R138" s="1560">
        <f t="shared" si="11"/>
        <v>1</v>
      </c>
      <c r="S138" s="1556">
        <f>B138/$H$104</f>
        <v>0.10231859873880401</v>
      </c>
      <c r="T138" s="1556">
        <f>20*R138*$G$98*$F$102/SQRT(S138)</f>
        <v>116.70483283003843</v>
      </c>
      <c r="U138" s="1561" t="str">
        <f>IF(T138&gt;$L$26,"Ignore","Consider")</f>
        <v>Ignore</v>
      </c>
    </row>
    <row r="139" spans="1:21">
      <c r="A139" s="117"/>
      <c r="B139" s="1540"/>
      <c r="C139" s="1540"/>
      <c r="D139" s="1540"/>
      <c r="E139" s="1540"/>
      <c r="F139" s="1540"/>
      <c r="H139" s="1556"/>
      <c r="I139" s="1556"/>
      <c r="J139" s="1556"/>
      <c r="K139" s="1556"/>
      <c r="L139" s="1556"/>
      <c r="M139" s="1561"/>
      <c r="O139" s="117"/>
      <c r="P139" s="1560"/>
      <c r="Q139" s="1560"/>
      <c r="R139" s="1560"/>
      <c r="S139" s="1556"/>
      <c r="T139" s="1556"/>
      <c r="U139" s="1561"/>
    </row>
    <row r="140" spans="1:21">
      <c r="A140" s="117" t="str">
        <f>SLEN!A65</f>
        <v>LC-25</v>
      </c>
      <c r="B140" s="1540">
        <f>SLEN!F65</f>
        <v>623.4122925014517</v>
      </c>
      <c r="C140" s="1540">
        <f>SLEN!I65</f>
        <v>738.09995407600013</v>
      </c>
      <c r="D140" s="1540">
        <f>SLEN!J65</f>
        <v>77.640441467844028</v>
      </c>
      <c r="E140" s="1540">
        <f>E138</f>
        <v>37.928736000000015</v>
      </c>
      <c r="F140" s="1540">
        <f>F138</f>
        <v>0</v>
      </c>
      <c r="H140" s="1556">
        <f t="shared" si="7"/>
        <v>5.1386991410237372E-2</v>
      </c>
      <c r="I140" s="1556">
        <f t="shared" si="8"/>
        <v>9.3715746069998898E-2</v>
      </c>
      <c r="J140" s="1556">
        <f t="shared" si="9"/>
        <v>0.98160169299939748</v>
      </c>
      <c r="K140" s="1556">
        <f>B140/$H$104</f>
        <v>5.2344309919993726E-2</v>
      </c>
      <c r="L140" s="1556">
        <f>20*J140*$G$98*$F$102/SQRT(K140)</f>
        <v>160.16465854455177</v>
      </c>
      <c r="M140" s="1561" t="str">
        <f>IF(L140&gt;$L$23,"Ignore","Consider")</f>
        <v>Ignore</v>
      </c>
      <c r="O140" s="117" t="str">
        <f>A140</f>
        <v>LC-25</v>
      </c>
      <c r="P140" s="1560">
        <f>IF(F140&lt;0.1,0,F140/D140)</f>
        <v>0</v>
      </c>
      <c r="Q140" s="1560">
        <f t="shared" si="10"/>
        <v>0</v>
      </c>
      <c r="R140" s="1560">
        <f t="shared" si="11"/>
        <v>1</v>
      </c>
      <c r="S140" s="1556">
        <f>B140/$H$104</f>
        <v>5.2344309919993726E-2</v>
      </c>
      <c r="T140" s="1556">
        <f>20*R140*$G$98*$F$102/SQRT(S140)</f>
        <v>163.16664863846165</v>
      </c>
      <c r="U140" s="1561" t="str">
        <f>IF(T140&gt;$L$26,"Ignore","Consider")</f>
        <v>Ignore</v>
      </c>
    </row>
    <row r="141" spans="1:21">
      <c r="A141" s="117" t="str">
        <f>SLEN!A66</f>
        <v>LC-26</v>
      </c>
      <c r="B141" s="1540">
        <f>SLEN!F66</f>
        <v>623.4122925014517</v>
      </c>
      <c r="C141" s="1540">
        <f>SLEN!I66</f>
        <v>457.67488437244555</v>
      </c>
      <c r="D141" s="1540">
        <f>SLEN!J66</f>
        <v>255.83283656083486</v>
      </c>
      <c r="E141" s="1540">
        <f t="shared" si="16"/>
        <v>37.928736000000015</v>
      </c>
      <c r="F141" s="1540">
        <f t="shared" si="17"/>
        <v>0</v>
      </c>
      <c r="H141" s="1556">
        <f t="shared" si="7"/>
        <v>8.2872662003306397E-2</v>
      </c>
      <c r="I141" s="1556">
        <f t="shared" si="8"/>
        <v>0.15113695383418502</v>
      </c>
      <c r="J141" s="1556">
        <f t="shared" si="9"/>
        <v>0.97065949610955526</v>
      </c>
      <c r="K141" s="1556">
        <f>B141/$H$104</f>
        <v>5.2344309919993726E-2</v>
      </c>
      <c r="L141" s="1556">
        <f>20*J141*$G$98*$F$102/SQRT(K141)</f>
        <v>158.37925694929405</v>
      </c>
      <c r="M141" s="1561" t="str">
        <f>IF(L141&gt;$L$23,"Ignore","Consider")</f>
        <v>Ignore</v>
      </c>
      <c r="O141" s="117" t="str">
        <f>A141</f>
        <v>LC-26</v>
      </c>
      <c r="P141" s="1560">
        <f>IF(F141&lt;0.1,0,F141/D141)</f>
        <v>0</v>
      </c>
      <c r="Q141" s="1560">
        <f t="shared" si="10"/>
        <v>0</v>
      </c>
      <c r="R141" s="1560">
        <f t="shared" si="11"/>
        <v>1</v>
      </c>
      <c r="S141" s="1556">
        <f>B141/$H$104</f>
        <v>5.2344309919993726E-2</v>
      </c>
      <c r="T141" s="1556">
        <f>20*R141*$G$98*$F$102/SQRT(S141)</f>
        <v>163.16664863846165</v>
      </c>
      <c r="U141" s="1561" t="str">
        <f>IF(T141&gt;$L$26,"Ignore","Consider")</f>
        <v>Ignore</v>
      </c>
    </row>
    <row r="142" spans="1:21">
      <c r="A142" s="117" t="str">
        <f>SLEN!A67</f>
        <v>LC-27</v>
      </c>
      <c r="B142" s="1540">
        <f>SLEN!F67</f>
        <v>639.90328189338538</v>
      </c>
      <c r="C142" s="1540">
        <f>SLEN!I67</f>
        <v>743.14674007600024</v>
      </c>
      <c r="D142" s="1540">
        <f>SLEN!J67</f>
        <v>77.640441467844028</v>
      </c>
      <c r="E142" s="1540">
        <f t="shared" si="16"/>
        <v>37.928736000000015</v>
      </c>
      <c r="F142" s="1540">
        <f t="shared" si="17"/>
        <v>0</v>
      </c>
      <c r="H142" s="1556">
        <f t="shared" si="7"/>
        <v>5.103801706258055E-2</v>
      </c>
      <c r="I142" s="1556">
        <f t="shared" si="8"/>
        <v>9.3079312792773899E-2</v>
      </c>
      <c r="J142" s="1556">
        <f t="shared" si="9"/>
        <v>0.98172435434905203</v>
      </c>
      <c r="K142" s="1556">
        <f>B142/$H$104</f>
        <v>5.3728962532721435E-2</v>
      </c>
      <c r="L142" s="1556">
        <f>20*J142*$G$98*$F$102/SQRT(K142)</f>
        <v>158.10713548469144</v>
      </c>
      <c r="M142" s="1561" t="str">
        <f>IF(L142&gt;$L$23,"Ignore","Consider")</f>
        <v>Ignore</v>
      </c>
      <c r="O142" s="117" t="str">
        <f>A142</f>
        <v>LC-27</v>
      </c>
      <c r="P142" s="1560">
        <f>IF(F142&lt;0.1,0,F142/D142)</f>
        <v>0</v>
      </c>
      <c r="Q142" s="1560">
        <f t="shared" si="10"/>
        <v>0</v>
      </c>
      <c r="R142" s="1560">
        <f t="shared" si="11"/>
        <v>1</v>
      </c>
      <c r="S142" s="1556">
        <f>B142/$H$104</f>
        <v>5.3728962532721435E-2</v>
      </c>
      <c r="T142" s="1556">
        <f>20*R142*$G$98*$F$102/SQRT(S142)</f>
        <v>161.05043618840128</v>
      </c>
      <c r="U142" s="1561" t="str">
        <f>IF(T142&gt;$L$26,"Ignore","Consider")</f>
        <v>Ignore</v>
      </c>
    </row>
    <row r="143" spans="1:21">
      <c r="A143" s="117" t="str">
        <f>SLEN!A68</f>
        <v>LC-28</v>
      </c>
      <c r="B143" s="1540">
        <f>SLEN!F68</f>
        <v>639.90328189338538</v>
      </c>
      <c r="C143" s="1540">
        <f>SLEN!I68</f>
        <v>462.72167037244554</v>
      </c>
      <c r="D143" s="1540">
        <f>SLEN!J68</f>
        <v>255.83283656083486</v>
      </c>
      <c r="E143" s="1540">
        <f t="shared" si="16"/>
        <v>37.928736000000015</v>
      </c>
      <c r="F143" s="1540">
        <f t="shared" si="17"/>
        <v>0</v>
      </c>
      <c r="H143" s="1556">
        <f t="shared" si="7"/>
        <v>8.1968791237875469E-2</v>
      </c>
      <c r="I143" s="1556">
        <f t="shared" si="8"/>
        <v>0.14948854203173137</v>
      </c>
      <c r="J143" s="1556">
        <f t="shared" si="9"/>
        <v>0.97097021562208374</v>
      </c>
      <c r="K143" s="1556">
        <f>B143/$H$104</f>
        <v>5.3728962532721435E-2</v>
      </c>
      <c r="L143" s="1556">
        <f>20*J143*$G$98*$F$102/SQRT(K143)</f>
        <v>156.37517675188263</v>
      </c>
      <c r="M143" s="1561" t="str">
        <f>IF(L143&gt;$L$23,"Ignore","Consider")</f>
        <v>Ignore</v>
      </c>
      <c r="O143" s="117" t="str">
        <f>A143</f>
        <v>LC-28</v>
      </c>
      <c r="P143" s="1560">
        <f>IF(F143&lt;0.1,0,F143/D143)</f>
        <v>0</v>
      </c>
      <c r="Q143" s="1560">
        <f t="shared" si="10"/>
        <v>0</v>
      </c>
      <c r="R143" s="1560">
        <f t="shared" si="11"/>
        <v>1</v>
      </c>
      <c r="S143" s="1556">
        <f>B143/$H$104</f>
        <v>5.3728962532721435E-2</v>
      </c>
      <c r="T143" s="1556">
        <f>20*R143*$G$98*$F$102/SQRT(S143)</f>
        <v>161.05043618840128</v>
      </c>
      <c r="U143" s="1561" t="str">
        <f>IF(T143&gt;$L$26,"Ignore","Consider")</f>
        <v>Ignore</v>
      </c>
    </row>
    <row r="144" spans="1:21">
      <c r="A144" s="117"/>
      <c r="B144" s="1540"/>
      <c r="C144" s="1540"/>
      <c r="D144" s="1540"/>
      <c r="E144" s="1540"/>
      <c r="F144" s="1540"/>
      <c r="H144" s="1556"/>
      <c r="I144" s="1556"/>
      <c r="J144" s="1556"/>
      <c r="K144" s="1556"/>
      <c r="L144" s="1556"/>
      <c r="M144" s="1561"/>
      <c r="O144" s="117"/>
      <c r="P144" s="1560"/>
      <c r="Q144" s="1560"/>
      <c r="R144" s="1560"/>
      <c r="S144" s="1556"/>
      <c r="T144" s="1556"/>
      <c r="U144" s="1561"/>
    </row>
    <row r="145" spans="1:21">
      <c r="A145" s="117" t="str">
        <f>SLEN!A70</f>
        <v>LC-29</v>
      </c>
      <c r="B145" s="1540">
        <f>SLEN!F70</f>
        <v>999.72203780548512</v>
      </c>
      <c r="C145" s="1540">
        <f>SLEN!I70</f>
        <v>866.63645850964929</v>
      </c>
      <c r="D145" s="1540">
        <f>SLEN!J70</f>
        <v>268.66209226418351</v>
      </c>
      <c r="E145" s="1540">
        <f>E143</f>
        <v>37.928736000000015</v>
      </c>
      <c r="F145" s="1540">
        <f>F143</f>
        <v>0</v>
      </c>
      <c r="H145" s="1556">
        <f t="shared" si="7"/>
        <v>4.3765451623424531E-2</v>
      </c>
      <c r="I145" s="1556">
        <f t="shared" si="8"/>
        <v>7.9816152656926445E-2</v>
      </c>
      <c r="J145" s="1556">
        <f t="shared" si="9"/>
        <v>0.98428759028706592</v>
      </c>
      <c r="K145" s="1556">
        <f>B145/$H$104</f>
        <v>8.3940853926322195E-2</v>
      </c>
      <c r="L145" s="1556">
        <f>20*J145*$G$98*$F$102/SQRT(K145)</f>
        <v>126.82400125913708</v>
      </c>
      <c r="M145" s="1561" t="str">
        <f>IF(L145&gt;$L$23,"Ignore","Consider")</f>
        <v>Ignore</v>
      </c>
      <c r="O145" s="117" t="str">
        <f>A145</f>
        <v>LC-29</v>
      </c>
      <c r="P145" s="1560">
        <f>IF(F145&lt;0.1,0,F145/D145)</f>
        <v>0</v>
      </c>
      <c r="Q145" s="1560">
        <f t="shared" si="10"/>
        <v>0</v>
      </c>
      <c r="R145" s="1560">
        <f t="shared" si="11"/>
        <v>1</v>
      </c>
      <c r="S145" s="1556">
        <f>B145/$H$104</f>
        <v>8.3940853926322195E-2</v>
      </c>
      <c r="T145" s="1556">
        <f>20*R145*$G$98*$F$102/SQRT(S145)</f>
        <v>128.84852202814938</v>
      </c>
      <c r="U145" s="1561" t="str">
        <f>IF(T145&gt;$L$26,"Ignore","Consider")</f>
        <v>Ignore</v>
      </c>
    </row>
    <row r="146" spans="1:21">
      <c r="A146" s="117" t="str">
        <f>SLEN!A71</f>
        <v>LC-30</v>
      </c>
      <c r="B146" s="1540">
        <f>SLEN!F71</f>
        <v>999.72203780548512</v>
      </c>
      <c r="C146" s="1540">
        <f>SLEN!I71</f>
        <v>305.78631910254029</v>
      </c>
      <c r="D146" s="1540">
        <f>SLEN!J71</f>
        <v>892.57167254863327</v>
      </c>
      <c r="E146" s="1540">
        <f t="shared" si="16"/>
        <v>37.928736000000015</v>
      </c>
      <c r="F146" s="1540">
        <f t="shared" si="17"/>
        <v>0</v>
      </c>
      <c r="H146" s="1556">
        <f t="shared" si="7"/>
        <v>0.12403673294252661</v>
      </c>
      <c r="I146" s="1556">
        <f t="shared" si="8"/>
        <v>0.22620890324157616</v>
      </c>
      <c r="J146" s="1556">
        <f t="shared" si="9"/>
        <v>0.95671644447636428</v>
      </c>
      <c r="K146" s="1556">
        <f>B146/$H$104</f>
        <v>8.3940853926322195E-2</v>
      </c>
      <c r="L146" s="1556">
        <f>20*J146*$G$98*$F$102/SQRT(K146)</f>
        <v>123.27149987080556</v>
      </c>
      <c r="M146" s="1561" t="str">
        <f>IF(L146&gt;$L$23,"Ignore","Consider")</f>
        <v>Ignore</v>
      </c>
      <c r="O146" s="117" t="str">
        <f>A146</f>
        <v>LC-30</v>
      </c>
      <c r="P146" s="1560">
        <f>IF(F146&lt;0.1,0,F146/D146)</f>
        <v>0</v>
      </c>
      <c r="Q146" s="1560">
        <f t="shared" si="10"/>
        <v>0</v>
      </c>
      <c r="R146" s="1560">
        <f t="shared" si="11"/>
        <v>1</v>
      </c>
      <c r="S146" s="1556">
        <f>B146/$H$104</f>
        <v>8.3940853926322195E-2</v>
      </c>
      <c r="T146" s="1556">
        <f>20*R146*$G$98*$F$102/SQRT(S146)</f>
        <v>128.84852202814938</v>
      </c>
      <c r="U146" s="1561" t="str">
        <f>IF(T146&gt;$L$26,"Ignore","Consider")</f>
        <v>Ignore</v>
      </c>
    </row>
    <row r="147" spans="1:21">
      <c r="A147" s="117" t="str">
        <f>SLEN!A72</f>
        <v>LC-31</v>
      </c>
      <c r="B147" s="1540">
        <f>SLEN!F72</f>
        <v>1053.7755365893524</v>
      </c>
      <c r="C147" s="1540">
        <f>SLEN!I72</f>
        <v>866.63645850964929</v>
      </c>
      <c r="D147" s="1540">
        <f>SLEN!J72</f>
        <v>268.66209226418351</v>
      </c>
      <c r="E147" s="1540">
        <f t="shared" si="16"/>
        <v>37.928736000000015</v>
      </c>
      <c r="F147" s="1540">
        <f t="shared" si="17"/>
        <v>0</v>
      </c>
      <c r="H147" s="1556">
        <f t="shared" si="7"/>
        <v>4.3765451623424531E-2</v>
      </c>
      <c r="I147" s="1556">
        <f t="shared" si="8"/>
        <v>7.9816152656926445E-2</v>
      </c>
      <c r="J147" s="1556">
        <f t="shared" si="9"/>
        <v>0.98428759028706592</v>
      </c>
      <c r="K147" s="1556">
        <f>B147/$H$104</f>
        <v>8.8479412319596357E-2</v>
      </c>
      <c r="L147" s="1556">
        <f>20*J147*$G$98*$F$102/SQRT(K147)</f>
        <v>123.52846014367441</v>
      </c>
      <c r="M147" s="1561" t="str">
        <f>IF(L147&gt;$L$23,"Ignore","Consider")</f>
        <v>Ignore</v>
      </c>
      <c r="O147" s="117" t="str">
        <f>A147</f>
        <v>LC-31</v>
      </c>
      <c r="P147" s="1560">
        <f>IF(F147&lt;0.1,0,F147/D147)</f>
        <v>0</v>
      </c>
      <c r="Q147" s="1560">
        <f t="shared" si="10"/>
        <v>0</v>
      </c>
      <c r="R147" s="1560">
        <f t="shared" si="11"/>
        <v>1</v>
      </c>
      <c r="S147" s="1556">
        <f>B147/$H$104</f>
        <v>8.8479412319596357E-2</v>
      </c>
      <c r="T147" s="1556">
        <f>20*R147*$G$98*$F$102/SQRT(S147)</f>
        <v>125.5003734301349</v>
      </c>
      <c r="U147" s="1561" t="str">
        <f>IF(T147&gt;$L$26,"Ignore","Consider")</f>
        <v>Ignore</v>
      </c>
    </row>
    <row r="148" spans="1:21">
      <c r="A148" s="117" t="str">
        <f>SLEN!A73</f>
        <v>LC-32</v>
      </c>
      <c r="B148" s="1540">
        <f>SLEN!F73</f>
        <v>1053.7755365893524</v>
      </c>
      <c r="C148" s="1540">
        <f>SLEN!I73</f>
        <v>305.78631910254029</v>
      </c>
      <c r="D148" s="1540">
        <f>SLEN!J73</f>
        <v>892.57167254863327</v>
      </c>
      <c r="E148" s="1540">
        <f t="shared" si="16"/>
        <v>37.928736000000015</v>
      </c>
      <c r="F148" s="1540">
        <f t="shared" si="17"/>
        <v>0</v>
      </c>
      <c r="H148" s="1556">
        <f t="shared" si="7"/>
        <v>0.12403673294252661</v>
      </c>
      <c r="I148" s="1556">
        <f t="shared" si="8"/>
        <v>0.22620890324157616</v>
      </c>
      <c r="J148" s="1556">
        <f t="shared" si="9"/>
        <v>0.95671644447636428</v>
      </c>
      <c r="K148" s="1556">
        <f>B148/$H$104</f>
        <v>8.8479412319596357E-2</v>
      </c>
      <c r="L148" s="1556">
        <f>20*J148*$G$98*$F$102/SQRT(K148)</f>
        <v>120.06827104853463</v>
      </c>
      <c r="M148" s="1561" t="str">
        <f>IF(L148&gt;$L$23,"Ignore","Consider")</f>
        <v>Ignore</v>
      </c>
      <c r="O148" s="117" t="str">
        <f>A148</f>
        <v>LC-32</v>
      </c>
      <c r="P148" s="1560">
        <f>IF(F148&lt;0.1,0,F148/D148)</f>
        <v>0</v>
      </c>
      <c r="Q148" s="1560">
        <f t="shared" si="10"/>
        <v>0</v>
      </c>
      <c r="R148" s="1560">
        <f t="shared" si="11"/>
        <v>1</v>
      </c>
      <c r="S148" s="1556">
        <f>B148/$H$104</f>
        <v>8.8479412319596357E-2</v>
      </c>
      <c r="T148" s="1556">
        <f>20*R148*$G$98*$F$102/SQRT(S148)</f>
        <v>125.5003734301349</v>
      </c>
      <c r="U148" s="1561" t="str">
        <f>IF(T148&gt;$L$26,"Ignore","Consider")</f>
        <v>Ignore</v>
      </c>
    </row>
    <row r="149" spans="1:21">
      <c r="A149" s="117"/>
      <c r="B149" s="1540"/>
      <c r="C149" s="1540"/>
      <c r="D149" s="1540"/>
      <c r="E149" s="1540"/>
      <c r="F149" s="1540"/>
      <c r="H149" s="1556"/>
      <c r="I149" s="1556"/>
      <c r="J149" s="1556"/>
      <c r="K149" s="1556"/>
      <c r="L149" s="1556"/>
      <c r="M149" s="1561"/>
      <c r="O149" s="117"/>
      <c r="P149" s="1560"/>
      <c r="Q149" s="1560"/>
      <c r="R149" s="1560"/>
      <c r="S149" s="1556"/>
      <c r="T149" s="1556"/>
      <c r="U149" s="1561"/>
    </row>
    <row r="150" spans="1:21">
      <c r="A150" s="117" t="str">
        <f>SLEN!A75</f>
        <v>LC-33</v>
      </c>
      <c r="B150" s="1540">
        <f>SLEN!F75</f>
        <v>1026.7806915197709</v>
      </c>
      <c r="C150" s="1540">
        <f>SLEN!I75</f>
        <v>854.9746362467921</v>
      </c>
      <c r="D150" s="1540">
        <f>SLEN!J75</f>
        <v>278.35726271334698</v>
      </c>
      <c r="E150" s="1540">
        <f>E148</f>
        <v>37.928736000000015</v>
      </c>
      <c r="F150" s="1540">
        <f>F148</f>
        <v>0</v>
      </c>
      <c r="H150" s="1556">
        <f t="shared" si="7"/>
        <v>4.4362410757003701E-2</v>
      </c>
      <c r="I150" s="1556">
        <f t="shared" si="8"/>
        <v>8.0904842012760714E-2</v>
      </c>
      <c r="J150" s="1556">
        <f t="shared" si="9"/>
        <v>0.98407668623435363</v>
      </c>
      <c r="K150" s="1556">
        <f>B150/$H$104</f>
        <v>8.6212811943632325E-2</v>
      </c>
      <c r="L150" s="1556">
        <f>20*J150*$G$98*$F$102/SQRT(K150)</f>
        <v>125.11493960818459</v>
      </c>
      <c r="M150" s="1561" t="str">
        <f>IF(L150&gt;$L$23,"Ignore","Consider")</f>
        <v>Ignore</v>
      </c>
      <c r="O150" s="117" t="str">
        <f>A150</f>
        <v>LC-33</v>
      </c>
      <c r="P150" s="1560">
        <f>IF(F150&lt;0.1,0,F150/D150)</f>
        <v>0</v>
      </c>
      <c r="Q150" s="1560">
        <f t="shared" si="10"/>
        <v>0</v>
      </c>
      <c r="R150" s="1560">
        <f t="shared" si="11"/>
        <v>1</v>
      </c>
      <c r="S150" s="1556">
        <f>B150/$H$104</f>
        <v>8.6212811943632325E-2</v>
      </c>
      <c r="T150" s="1556">
        <f>20*R150*$G$98*$F$102/SQRT(S150)</f>
        <v>127.13942049267185</v>
      </c>
      <c r="U150" s="1561" t="str">
        <f>IF(T150&gt;$L$26,"Ignore","Consider")</f>
        <v>Ignore</v>
      </c>
    </row>
    <row r="151" spans="1:21">
      <c r="A151" s="117" t="str">
        <f>SLEN!A76</f>
        <v>LC-34</v>
      </c>
      <c r="B151" s="1540">
        <f>SLEN!F76</f>
        <v>1026.7806915197709</v>
      </c>
      <c r="C151" s="1540">
        <f>SLEN!I76</f>
        <v>294.12449683968316</v>
      </c>
      <c r="D151" s="1540">
        <f>SLEN!J76</f>
        <v>934.68080847779652</v>
      </c>
      <c r="E151" s="1540">
        <f t="shared" si="16"/>
        <v>37.928736000000015</v>
      </c>
      <c r="F151" s="1540">
        <f t="shared" si="17"/>
        <v>0</v>
      </c>
      <c r="H151" s="1556">
        <f t="shared" si="7"/>
        <v>0.12895469914113827</v>
      </c>
      <c r="I151" s="1556">
        <f t="shared" si="8"/>
        <v>0.23517792164100923</v>
      </c>
      <c r="J151" s="1556">
        <f t="shared" si="9"/>
        <v>0.95507737747195987</v>
      </c>
      <c r="K151" s="1556">
        <f>B151/$H$104</f>
        <v>8.6212811943632325E-2</v>
      </c>
      <c r="L151" s="1556">
        <f>20*J151*$G$98*$F$102/SQRT(K151)</f>
        <v>121.42798429744578</v>
      </c>
      <c r="M151" s="1561" t="str">
        <f>IF(L151&gt;$L$23,"Ignore","Consider")</f>
        <v>Ignore</v>
      </c>
      <c r="O151" s="117" t="str">
        <f>A151</f>
        <v>LC-34</v>
      </c>
      <c r="P151" s="1560">
        <f>IF(F151&lt;0.1,0,F151/D151)</f>
        <v>0</v>
      </c>
      <c r="Q151" s="1560">
        <f t="shared" si="10"/>
        <v>0</v>
      </c>
      <c r="R151" s="1560">
        <f t="shared" si="11"/>
        <v>1</v>
      </c>
      <c r="S151" s="1556">
        <f>B151/$H$104</f>
        <v>8.6212811943632325E-2</v>
      </c>
      <c r="T151" s="1556">
        <f>20*R151*$G$98*$F$102/SQRT(S151)</f>
        <v>127.13942049267185</v>
      </c>
      <c r="U151" s="1561" t="str">
        <f>IF(T151&gt;$L$26,"Ignore","Consider")</f>
        <v>Ignore</v>
      </c>
    </row>
    <row r="152" spans="1:21">
      <c r="A152" s="117" t="str">
        <f>SLEN!A77</f>
        <v>LC-35</v>
      </c>
      <c r="B152" s="1540">
        <f>SLEN!F77</f>
        <v>1082.8551685893524</v>
      </c>
      <c r="C152" s="1540">
        <f>SLEN!I77</f>
        <v>855.04681562964936</v>
      </c>
      <c r="D152" s="1540">
        <f>SLEN!J77</f>
        <v>278.04382900894547</v>
      </c>
      <c r="E152" s="1540">
        <f t="shared" si="16"/>
        <v>37.928736000000015</v>
      </c>
      <c r="F152" s="1540">
        <f t="shared" si="17"/>
        <v>0</v>
      </c>
      <c r="H152" s="1556">
        <f t="shared" si="7"/>
        <v>4.4358665872662899E-2</v>
      </c>
      <c r="I152" s="1556">
        <f t="shared" si="8"/>
        <v>8.089801237319022E-2</v>
      </c>
      <c r="J152" s="1556">
        <f t="shared" si="9"/>
        <v>0.98407800901018194</v>
      </c>
      <c r="K152" s="1556">
        <f>B152/$H$104</f>
        <v>9.0921060147327995E-2</v>
      </c>
      <c r="L152" s="1556">
        <f>20*J152*$G$98*$F$102/SQRT(K152)</f>
        <v>121.83257240005928</v>
      </c>
      <c r="M152" s="1561" t="str">
        <f>IF(L152&gt;$L$23,"Ignore","Consider")</f>
        <v>Ignore</v>
      </c>
      <c r="O152" s="117" t="str">
        <f>A152</f>
        <v>LC-35</v>
      </c>
      <c r="P152" s="1560">
        <f>IF(F152&lt;0.1,0,F152/D152)</f>
        <v>0</v>
      </c>
      <c r="Q152" s="1560">
        <f t="shared" si="10"/>
        <v>0</v>
      </c>
      <c r="R152" s="1560">
        <f t="shared" si="11"/>
        <v>1</v>
      </c>
      <c r="S152" s="1556">
        <f>B152/$H$104</f>
        <v>9.0921060147327995E-2</v>
      </c>
      <c r="T152" s="1556">
        <f>20*R152*$G$98*$F$102/SQRT(S152)</f>
        <v>123.80377498995479</v>
      </c>
      <c r="U152" s="1561" t="str">
        <f>IF(T152&gt;$L$26,"Ignore","Consider")</f>
        <v>Ignore</v>
      </c>
    </row>
    <row r="153" spans="1:21">
      <c r="A153" s="117" t="str">
        <f>SLEN!A78</f>
        <v>LC-36</v>
      </c>
      <c r="B153" s="1540">
        <f>SLEN!F78</f>
        <v>1082.8551685893524</v>
      </c>
      <c r="C153" s="1540">
        <f>SLEN!I78</f>
        <v>294.1966762225403</v>
      </c>
      <c r="D153" s="1540">
        <f>SLEN!J78</f>
        <v>934.36737477339511</v>
      </c>
      <c r="E153" s="1540">
        <f t="shared" si="16"/>
        <v>37.928736000000015</v>
      </c>
      <c r="F153" s="1540">
        <f t="shared" si="17"/>
        <v>0</v>
      </c>
      <c r="H153" s="1556">
        <f t="shared" si="7"/>
        <v>0.12892306088226993</v>
      </c>
      <c r="I153" s="1556">
        <f t="shared" si="8"/>
        <v>0.23512022215417741</v>
      </c>
      <c r="J153" s="1556">
        <f t="shared" si="9"/>
        <v>0.9550879039684349</v>
      </c>
      <c r="K153" s="1556">
        <f>B153/$H$104</f>
        <v>9.0921060147327995E-2</v>
      </c>
      <c r="L153" s="1556">
        <f>20*J153*$G$98*$F$102/SQRT(K153)</f>
        <v>118.24348795853567</v>
      </c>
      <c r="M153" s="1561" t="str">
        <f>IF(L153&gt;$L$23,"Ignore","Consider")</f>
        <v>Ignore</v>
      </c>
      <c r="O153" s="117" t="str">
        <f>A153</f>
        <v>LC-36</v>
      </c>
      <c r="P153" s="1560">
        <f>IF(F153&lt;0.1,0,F153/D153)</f>
        <v>0</v>
      </c>
      <c r="Q153" s="1560">
        <f t="shared" si="10"/>
        <v>0</v>
      </c>
      <c r="R153" s="1560">
        <f t="shared" si="11"/>
        <v>1</v>
      </c>
      <c r="S153" s="1556">
        <f>B153/$H$104</f>
        <v>9.0921060147327995E-2</v>
      </c>
      <c r="T153" s="1556">
        <f>20*R153*$G$98*$F$102/SQRT(S153)</f>
        <v>123.80377498995479</v>
      </c>
      <c r="U153" s="1561" t="str">
        <f>IF(T153&gt;$L$26,"Ignore","Consider")</f>
        <v>Ignore</v>
      </c>
    </row>
    <row r="154" spans="1:21">
      <c r="A154" s="117"/>
      <c r="B154" s="1540"/>
      <c r="C154" s="1540"/>
      <c r="D154" s="1540"/>
      <c r="E154" s="1540"/>
      <c r="F154" s="1540"/>
      <c r="H154" s="1556"/>
      <c r="I154" s="1556"/>
      <c r="J154" s="1556"/>
      <c r="K154" s="1556"/>
      <c r="L154" s="1556"/>
      <c r="M154" s="1561"/>
      <c r="O154" s="117"/>
      <c r="P154" s="1560"/>
      <c r="Q154" s="1560"/>
      <c r="R154" s="1560"/>
      <c r="S154" s="1556"/>
      <c r="T154" s="1556"/>
      <c r="U154" s="1561"/>
    </row>
    <row r="155" spans="1:21">
      <c r="A155" s="117" t="str">
        <f>SLEN!A80</f>
        <v>LC-37</v>
      </c>
      <c r="B155" s="1540">
        <f>SLEN!F80</f>
        <v>1024.3810586511993</v>
      </c>
      <c r="C155" s="1540">
        <f>SLEN!I80</f>
        <v>866.33774493250644</v>
      </c>
      <c r="D155" s="1540">
        <f>SLEN!J80</f>
        <v>277.49746939465967</v>
      </c>
      <c r="E155" s="1540">
        <f>E153</f>
        <v>37.928736000000015</v>
      </c>
      <c r="F155" s="1540">
        <f>F153</f>
        <v>0</v>
      </c>
      <c r="H155" s="1556">
        <f t="shared" si="7"/>
        <v>4.3780541967445873E-2</v>
      </c>
      <c r="I155" s="1556">
        <f t="shared" si="8"/>
        <v>7.9843673296092169E-2</v>
      </c>
      <c r="J155" s="1556">
        <f t="shared" si="9"/>
        <v>0.9842822577954875</v>
      </c>
      <c r="K155" s="1556">
        <f>B155/$H$104</f>
        <v>8.6011328706812093E-2</v>
      </c>
      <c r="L155" s="1556">
        <f>20*J155*$G$98*$F$102/SQRT(K155)</f>
        <v>125.28756284165705</v>
      </c>
      <c r="M155" s="1561" t="str">
        <f>IF(L155&gt;$L$23,"Ignore","Consider")</f>
        <v>Ignore</v>
      </c>
      <c r="O155" s="117" t="str">
        <f>A155</f>
        <v>LC-37</v>
      </c>
      <c r="P155" s="1560">
        <f>IF(F155&lt;0.1,0,F155/D155)</f>
        <v>0</v>
      </c>
      <c r="Q155" s="1560">
        <f t="shared" si="10"/>
        <v>0</v>
      </c>
      <c r="R155" s="1560">
        <f t="shared" si="11"/>
        <v>1</v>
      </c>
      <c r="S155" s="1556">
        <f>B155/$H$104</f>
        <v>8.6011328706812093E-2</v>
      </c>
      <c r="T155" s="1556">
        <f>20*R155*$G$98*$F$102/SQRT(S155)</f>
        <v>127.28824668877562</v>
      </c>
      <c r="U155" s="1561" t="str">
        <f>IF(T155&gt;$L$26,"Ignore","Consider")</f>
        <v>Ignore</v>
      </c>
    </row>
    <row r="156" spans="1:21">
      <c r="A156" s="117" t="str">
        <f>SLEN!A81</f>
        <v>LC-38</v>
      </c>
      <c r="B156" s="1540">
        <f>SLEN!F81</f>
        <v>1024.3810586511993</v>
      </c>
      <c r="C156" s="1540">
        <f>SLEN!I81</f>
        <v>305.48760552539744</v>
      </c>
      <c r="D156" s="1540">
        <f>SLEN!J81</f>
        <v>930.94645910070949</v>
      </c>
      <c r="E156" s="1540">
        <f t="shared" si="16"/>
        <v>37.928736000000015</v>
      </c>
      <c r="F156" s="1540">
        <f t="shared" si="17"/>
        <v>0</v>
      </c>
      <c r="H156" s="1556">
        <f t="shared" si="7"/>
        <v>0.12415801922558432</v>
      </c>
      <c r="I156" s="1556">
        <f t="shared" si="8"/>
        <v>0.22643009608032535</v>
      </c>
      <c r="J156" s="1556">
        <f t="shared" si="9"/>
        <v>0.95667595434785557</v>
      </c>
      <c r="K156" s="1556">
        <f>B156/$H$104</f>
        <v>8.6011328706812093E-2</v>
      </c>
      <c r="L156" s="1556">
        <f>20*J156*$G$98*$F$102/SQRT(K156)</f>
        <v>121.77360487824967</v>
      </c>
      <c r="M156" s="1561" t="str">
        <f>IF(L156&gt;$L$23,"Ignore","Consider")</f>
        <v>Ignore</v>
      </c>
      <c r="O156" s="117" t="str">
        <f>A156</f>
        <v>LC-38</v>
      </c>
      <c r="P156" s="1560">
        <f>IF(F156&lt;0.1,0,F156/D156)</f>
        <v>0</v>
      </c>
      <c r="Q156" s="1560">
        <f t="shared" si="10"/>
        <v>0</v>
      </c>
      <c r="R156" s="1560">
        <f t="shared" si="11"/>
        <v>1</v>
      </c>
      <c r="S156" s="1556">
        <f>B156/$H$104</f>
        <v>8.6011328706812093E-2</v>
      </c>
      <c r="T156" s="1556">
        <f>20*R156*$G$98*$F$102/SQRT(S156)</f>
        <v>127.28824668877562</v>
      </c>
      <c r="U156" s="1561" t="str">
        <f>IF(T156&gt;$L$26,"Ignore","Consider")</f>
        <v>Ignore</v>
      </c>
    </row>
    <row r="157" spans="1:21">
      <c r="A157" s="117" t="str">
        <f>SLEN!A82</f>
        <v>LC-39</v>
      </c>
      <c r="B157" s="1540">
        <f>SLEN!F82</f>
        <v>1080.2763100293525</v>
      </c>
      <c r="C157" s="1540">
        <f>SLEN!I82</f>
        <v>867.25862122964941</v>
      </c>
      <c r="D157" s="1540">
        <f>SLEN!J82</f>
        <v>277.2118318188883</v>
      </c>
      <c r="E157" s="1540">
        <f t="shared" si="16"/>
        <v>37.928736000000015</v>
      </c>
      <c r="F157" s="1540">
        <f t="shared" si="17"/>
        <v>0</v>
      </c>
      <c r="H157" s="1556">
        <f t="shared" si="7"/>
        <v>4.3734054723171802E-2</v>
      </c>
      <c r="I157" s="1556">
        <f t="shared" si="8"/>
        <v>7.9758893341860121E-2</v>
      </c>
      <c r="J157" s="1556">
        <f t="shared" si="9"/>
        <v>0.98429868522964703</v>
      </c>
      <c r="K157" s="1556">
        <f>B157/$H$104</f>
        <v>9.0704528369998386E-2</v>
      </c>
      <c r="L157" s="1556">
        <f>20*J157*$G$98*$F$102/SQRT(K157)</f>
        <v>122.00525950806583</v>
      </c>
      <c r="M157" s="1561" t="str">
        <f>IF(L157&gt;$L$23,"Ignore","Consider")</f>
        <v>Ignore</v>
      </c>
      <c r="O157" s="117" t="str">
        <f>A157</f>
        <v>LC-39</v>
      </c>
      <c r="P157" s="1560">
        <f>IF(F157&lt;0.1,0,F157/D157)</f>
        <v>0</v>
      </c>
      <c r="Q157" s="1560">
        <f t="shared" si="10"/>
        <v>0</v>
      </c>
      <c r="R157" s="1560">
        <f t="shared" si="11"/>
        <v>1</v>
      </c>
      <c r="S157" s="1556">
        <f>B157/$H$104</f>
        <v>9.0704528369998386E-2</v>
      </c>
      <c r="T157" s="1556">
        <f>20*R157*$G$98*$F$102/SQRT(S157)</f>
        <v>123.95146040411579</v>
      </c>
      <c r="U157" s="1561" t="str">
        <f>IF(T157&gt;$L$26,"Ignore","Consider")</f>
        <v>Ignore</v>
      </c>
    </row>
    <row r="158" spans="1:21">
      <c r="A158" s="117" t="str">
        <f>SLEN!A83</f>
        <v>LC-40</v>
      </c>
      <c r="B158" s="1540">
        <f>SLEN!F83</f>
        <v>1080.2763100293525</v>
      </c>
      <c r="C158" s="1540">
        <f>SLEN!I83</f>
        <v>306.4084818225403</v>
      </c>
      <c r="D158" s="1540">
        <f>SLEN!J83</f>
        <v>930.660821524938</v>
      </c>
      <c r="E158" s="1540">
        <f t="shared" si="16"/>
        <v>37.928736000000015</v>
      </c>
      <c r="F158" s="1540">
        <f t="shared" si="17"/>
        <v>0</v>
      </c>
      <c r="H158" s="1556">
        <f t="shared" si="7"/>
        <v>0.1237848762357918</v>
      </c>
      <c r="I158" s="1556">
        <f t="shared" si="8"/>
        <v>0.22574958584379437</v>
      </c>
      <c r="J158" s="1556">
        <f t="shared" si="9"/>
        <v>0.95680053509350416</v>
      </c>
      <c r="K158" s="1556">
        <f>B158/$H$104</f>
        <v>9.0704528369998386E-2</v>
      </c>
      <c r="L158" s="1556">
        <f>20*J158*$G$98*$F$102/SQRT(K158)</f>
        <v>118.59682364027931</v>
      </c>
      <c r="M158" s="1561" t="str">
        <f>IF(L158&gt;$L$23,"Ignore","Consider")</f>
        <v>Ignore</v>
      </c>
      <c r="O158" s="117" t="str">
        <f>A158</f>
        <v>LC-40</v>
      </c>
      <c r="P158" s="1560">
        <f>IF(F158&lt;0.1,0,F158/D158)</f>
        <v>0</v>
      </c>
      <c r="Q158" s="1560">
        <f t="shared" si="10"/>
        <v>0</v>
      </c>
      <c r="R158" s="1560">
        <f t="shared" si="11"/>
        <v>1</v>
      </c>
      <c r="S158" s="1556">
        <f>B158/$H$104</f>
        <v>9.0704528369998386E-2</v>
      </c>
      <c r="T158" s="1556">
        <f>20*R158*$G$98*$F$102/SQRT(S158)</f>
        <v>123.95146040411579</v>
      </c>
      <c r="U158" s="1561" t="str">
        <f>IF(T158&gt;$L$26,"Ignore","Consider")</f>
        <v>Ignore</v>
      </c>
    </row>
  </sheetData>
  <mergeCells count="29">
    <mergeCell ref="B107:D107"/>
    <mergeCell ref="E107:F107"/>
    <mergeCell ref="H107:H109"/>
    <mergeCell ref="I107:I109"/>
    <mergeCell ref="J107:J109"/>
    <mergeCell ref="S107:S109"/>
    <mergeCell ref="M107:M109"/>
    <mergeCell ref="U107:U109"/>
    <mergeCell ref="P106:U106"/>
    <mergeCell ref="H106:M106"/>
    <mergeCell ref="K107:K109"/>
    <mergeCell ref="T107:T109"/>
    <mergeCell ref="L107:L109"/>
    <mergeCell ref="O106:O109"/>
    <mergeCell ref="P107:P109"/>
    <mergeCell ref="Q107:Q109"/>
    <mergeCell ref="R107:R109"/>
    <mergeCell ref="I3:J3"/>
    <mergeCell ref="N9:O9"/>
    <mergeCell ref="N10:O10"/>
    <mergeCell ref="L31:U31"/>
    <mergeCell ref="F32:J32"/>
    <mergeCell ref="L32:L34"/>
    <mergeCell ref="M32:M34"/>
    <mergeCell ref="N32:N34"/>
    <mergeCell ref="O32:O34"/>
    <mergeCell ref="P32:P34"/>
    <mergeCell ref="Q32:Q34"/>
    <mergeCell ref="R32:U34"/>
  </mergeCells>
  <pageMargins left="0.511811023622047" right="0.15748031496063" top="0.511811023622047" bottom="0.15748031496063" header="0.31496062992126" footer="0.31496062992126"/>
  <pageSetup paperSize="9" scale="99" orientation="landscape" blackAndWhite="1" r:id="rId1"/>
  <rowBreaks count="2" manualBreakCount="2">
    <brk id="30" max="20" man="1"/>
    <brk id="79" max="20" man="1"/>
  </rowBreaks>
  <drawing r:id="rId2"/>
</worksheet>
</file>

<file path=xl/worksheets/sheet43.xml><?xml version="1.0" encoding="utf-8"?>
<worksheet xmlns="http://schemas.openxmlformats.org/spreadsheetml/2006/main" xmlns:r="http://schemas.openxmlformats.org/officeDocument/2006/relationships">
  <sheetPr codeName="Sheet60">
    <tabColor theme="5" tint="0.39997558519241921"/>
  </sheetPr>
  <dimension ref="A1:AF291"/>
  <sheetViews>
    <sheetView view="pageBreakPreview" topLeftCell="A280" zoomScaleSheetLayoutView="100" workbookViewId="0">
      <selection activeCell="M33" sqref="M33"/>
    </sheetView>
  </sheetViews>
  <sheetFormatPr defaultColWidth="7.7109375" defaultRowHeight="15"/>
  <cols>
    <col min="1" max="15" width="7.7109375" style="1" customWidth="1"/>
    <col min="16" max="16" width="7.28515625" style="1" customWidth="1"/>
    <col min="17" max="20" width="7.7109375" style="1"/>
    <col min="21" max="21" width="7.7109375" style="1" customWidth="1"/>
    <col min="22" max="34" width="7.7109375" style="1"/>
    <col min="35" max="35" width="7.7109375" style="1" customWidth="1"/>
    <col min="36" max="16384" width="7.7109375" style="1"/>
  </cols>
  <sheetData>
    <row r="1" spans="1:28" s="1356" customFormat="1">
      <c r="A1" s="1414" t="s">
        <v>1657</v>
      </c>
      <c r="E1" s="1415"/>
      <c r="G1" s="1415"/>
    </row>
    <row r="2" spans="1:28" s="1356" customFormat="1">
      <c r="A2" s="1414"/>
      <c r="E2" s="1415"/>
      <c r="G2" s="1415"/>
      <c r="L2" s="1416"/>
    </row>
    <row r="3" spans="1:28" s="1356" customFormat="1" ht="18">
      <c r="C3" s="1417" t="s">
        <v>80</v>
      </c>
      <c r="H3" s="1418" t="s">
        <v>1660</v>
      </c>
      <c r="S3" s="1419"/>
      <c r="T3" s="1420" t="s">
        <v>1850</v>
      </c>
      <c r="U3" s="1420" t="s">
        <v>1849</v>
      </c>
    </row>
    <row r="4" spans="1:28" s="1356" customFormat="1">
      <c r="C4" s="1417"/>
      <c r="H4" s="1356" t="s">
        <v>133</v>
      </c>
      <c r="I4" s="1356" t="s">
        <v>1</v>
      </c>
      <c r="J4" s="1421">
        <f>F11</f>
        <v>6348.5281374238575</v>
      </c>
      <c r="K4" s="1356" t="s">
        <v>5</v>
      </c>
      <c r="S4" s="1422" t="s">
        <v>1851</v>
      </c>
      <c r="T4" s="1423">
        <f>F11</f>
        <v>6348.5281374238575</v>
      </c>
      <c r="U4" s="1424">
        <f>T5</f>
        <v>1200</v>
      </c>
    </row>
    <row r="5" spans="1:28" s="1356" customFormat="1">
      <c r="C5" s="1417"/>
      <c r="H5" s="1356" t="s">
        <v>25</v>
      </c>
      <c r="I5" s="1356" t="s">
        <v>1</v>
      </c>
      <c r="J5" s="1421">
        <f>C25</f>
        <v>1200</v>
      </c>
      <c r="K5" s="1356" t="s">
        <v>5</v>
      </c>
      <c r="S5" s="1425" t="s">
        <v>1852</v>
      </c>
      <c r="T5" s="1426">
        <f>C25</f>
        <v>1200</v>
      </c>
      <c r="U5" s="1427">
        <f>T4</f>
        <v>6348.5281374238575</v>
      </c>
    </row>
    <row r="6" spans="1:28" s="1356" customFormat="1" ht="17.25">
      <c r="C6" s="1428" t="s">
        <v>1640</v>
      </c>
      <c r="H6" s="26" t="s">
        <v>457</v>
      </c>
      <c r="I6" s="26" t="s">
        <v>1</v>
      </c>
      <c r="J6" s="1776">
        <f>J4*J5</f>
        <v>7618233.7649086295</v>
      </c>
      <c r="K6" s="1776"/>
      <c r="L6" s="26" t="s">
        <v>570</v>
      </c>
    </row>
    <row r="7" spans="1:28" s="1356" customFormat="1" ht="18">
      <c r="E7" s="1356" t="s">
        <v>1853</v>
      </c>
    </row>
    <row r="8" spans="1:28" s="1356" customFormat="1">
      <c r="B8" s="1429" t="s">
        <v>1672</v>
      </c>
      <c r="C8" s="1417"/>
      <c r="H8" s="1418" t="s">
        <v>1661</v>
      </c>
      <c r="S8" s="1431" t="s">
        <v>1854</v>
      </c>
    </row>
    <row r="9" spans="1:28" s="1356" customFormat="1" ht="15" customHeight="1">
      <c r="C9" s="1417"/>
      <c r="F9" s="1430" t="s">
        <v>81</v>
      </c>
      <c r="H9" s="1777" t="s">
        <v>1662</v>
      </c>
      <c r="I9" s="1496" t="s">
        <v>1274</v>
      </c>
      <c r="J9" s="1496" t="s">
        <v>561</v>
      </c>
      <c r="K9" s="1496" t="s">
        <v>1663</v>
      </c>
      <c r="L9" s="1496" t="s">
        <v>1543</v>
      </c>
      <c r="M9" s="1496" t="s">
        <v>1544</v>
      </c>
      <c r="N9" s="1496" t="s">
        <v>1664</v>
      </c>
      <c r="O9" s="1777" t="s">
        <v>16</v>
      </c>
      <c r="P9" s="1774" t="s">
        <v>561</v>
      </c>
    </row>
    <row r="10" spans="1:28" s="1356" customFormat="1">
      <c r="C10" s="1417"/>
      <c r="D10" s="1432" t="s">
        <v>1647</v>
      </c>
      <c r="H10" s="1778"/>
      <c r="I10" s="1496" t="s">
        <v>5</v>
      </c>
      <c r="J10" s="1496" t="s">
        <v>5</v>
      </c>
      <c r="K10" s="1496" t="s">
        <v>5</v>
      </c>
      <c r="L10" s="1496" t="s">
        <v>2</v>
      </c>
      <c r="M10" s="1496" t="s">
        <v>2</v>
      </c>
      <c r="N10" s="1496" t="s">
        <v>2</v>
      </c>
      <c r="O10" s="1778"/>
      <c r="P10" s="1775"/>
    </row>
    <row r="11" spans="1:28" s="1356" customFormat="1">
      <c r="B11" s="1432" t="s">
        <v>1649</v>
      </c>
      <c r="C11" s="1417"/>
      <c r="E11" s="1430" t="s">
        <v>1651</v>
      </c>
      <c r="F11" s="1562">
        <f>U_3.4_SH_SUM!F11</f>
        <v>6348.5281374238575</v>
      </c>
      <c r="H11" s="1433" t="s">
        <v>1855</v>
      </c>
      <c r="I11" s="1434"/>
      <c r="J11" s="1434"/>
      <c r="K11" s="1434"/>
      <c r="L11" s="1434"/>
      <c r="M11" s="1434"/>
      <c r="N11" s="1434"/>
      <c r="O11" s="1478"/>
      <c r="P11" s="1434"/>
    </row>
    <row r="12" spans="1:28" s="1356" customFormat="1">
      <c r="C12" s="1417"/>
      <c r="H12" s="1493" t="s">
        <v>1640</v>
      </c>
      <c r="I12" s="1436">
        <v>16</v>
      </c>
      <c r="J12" s="1436">
        <v>110</v>
      </c>
      <c r="K12" s="1436">
        <f>16+50</f>
        <v>66</v>
      </c>
      <c r="L12" s="1436">
        <f>16+50+100+I12/2</f>
        <v>174</v>
      </c>
      <c r="M12" s="1447">
        <f>C25-L12</f>
        <v>1026</v>
      </c>
      <c r="N12" s="1438">
        <f>-($F$11/2-K12-I12/2)</f>
        <v>-3100.2640687119288</v>
      </c>
      <c r="O12" s="1476">
        <f>ROUNDUP((M12-L12)/J12,0)+1</f>
        <v>9</v>
      </c>
      <c r="P12" s="1438">
        <f>(M12-L12)/(O12-1)</f>
        <v>106.5</v>
      </c>
      <c r="S12" s="1419" t="s">
        <v>1665</v>
      </c>
      <c r="T12" s="1449"/>
      <c r="U12" s="1449"/>
      <c r="V12" s="1449"/>
      <c r="W12" s="1449"/>
      <c r="X12" s="1449"/>
      <c r="Y12" s="1449"/>
      <c r="Z12" s="1449"/>
      <c r="AA12" s="1449"/>
      <c r="AB12" s="1450"/>
    </row>
    <row r="13" spans="1:28" s="1356" customFormat="1" ht="17.25">
      <c r="C13" s="1417"/>
      <c r="H13" s="1494"/>
      <c r="I13" s="1439">
        <v>0</v>
      </c>
      <c r="J13" s="1439">
        <f>J12</f>
        <v>110</v>
      </c>
      <c r="K13" s="1439">
        <f>16+50+32+32</f>
        <v>130</v>
      </c>
      <c r="L13" s="1439">
        <f>L12</f>
        <v>174</v>
      </c>
      <c r="M13" s="1439">
        <f>M12</f>
        <v>1026</v>
      </c>
      <c r="N13" s="1441">
        <f>-($F$11/2-K13-I13/2)</f>
        <v>-3044.2640687119288</v>
      </c>
      <c r="O13" s="1477">
        <f>ROUNDUP((M13-L13)/J13,0)+1</f>
        <v>9</v>
      </c>
      <c r="P13" s="1441">
        <f>(M13-L13)/(O13-1)</f>
        <v>106.5</v>
      </c>
      <c r="S13" s="1422" t="s">
        <v>1666</v>
      </c>
      <c r="T13" s="1452"/>
      <c r="U13" s="1452"/>
      <c r="V13" s="1452"/>
      <c r="W13" s="1452" t="s">
        <v>1</v>
      </c>
      <c r="X13" s="1452">
        <f>O26</f>
        <v>28148.670176164549</v>
      </c>
      <c r="Y13" s="1452" t="s">
        <v>1827</v>
      </c>
      <c r="Z13" s="1452"/>
      <c r="AA13" s="1452"/>
      <c r="AB13" s="1453"/>
    </row>
    <row r="14" spans="1:28" s="1356" customFormat="1">
      <c r="C14" s="1417"/>
      <c r="E14" s="1557">
        <f>M20</f>
        <v>6274.5281374238575</v>
      </c>
      <c r="H14" s="1493" t="s">
        <v>1650</v>
      </c>
      <c r="I14" s="1436">
        <f>I12</f>
        <v>16</v>
      </c>
      <c r="J14" s="1436">
        <f>J13</f>
        <v>110</v>
      </c>
      <c r="K14" s="1436">
        <f>16+50</f>
        <v>66</v>
      </c>
      <c r="L14" s="1436">
        <f>L12</f>
        <v>174</v>
      </c>
      <c r="M14" s="1436">
        <f>M12</f>
        <v>1026</v>
      </c>
      <c r="N14" s="1438">
        <f>-N12</f>
        <v>3100.2640687119288</v>
      </c>
      <c r="O14" s="1476">
        <f>ROUNDUP((M14-L14)/J14,0)+1</f>
        <v>9</v>
      </c>
      <c r="P14" s="1438">
        <f>(M14-L14)/(O14-1)</f>
        <v>106.5</v>
      </c>
      <c r="S14" s="1422" t="s">
        <v>1667</v>
      </c>
      <c r="T14" s="1452"/>
      <c r="U14" s="1452"/>
      <c r="V14" s="1452"/>
      <c r="W14" s="1452" t="s">
        <v>1</v>
      </c>
      <c r="X14" s="1456">
        <f>C25/1000</f>
        <v>1.2</v>
      </c>
      <c r="Y14" s="1452" t="s">
        <v>2</v>
      </c>
      <c r="Z14" s="1452"/>
      <c r="AA14" s="1452"/>
      <c r="AB14" s="1453"/>
    </row>
    <row r="15" spans="1:28" s="1356" customFormat="1">
      <c r="C15" s="1417"/>
      <c r="H15" s="1494"/>
      <c r="I15" s="1439">
        <v>0</v>
      </c>
      <c r="J15" s="1439">
        <f>J14</f>
        <v>110</v>
      </c>
      <c r="K15" s="1439">
        <f>16+50+32+32</f>
        <v>130</v>
      </c>
      <c r="L15" s="1439">
        <f>L13</f>
        <v>174</v>
      </c>
      <c r="M15" s="1439">
        <f>M13</f>
        <v>1026</v>
      </c>
      <c r="N15" s="1441">
        <f>-N13</f>
        <v>3044.2640687119288</v>
      </c>
      <c r="O15" s="1477">
        <f>ROUNDUP((M15-L15)/J15,0)+1</f>
        <v>9</v>
      </c>
      <c r="P15" s="1441">
        <f>(M15-L15)/(O15-1)</f>
        <v>106.5</v>
      </c>
      <c r="S15" s="1422" t="s">
        <v>1668</v>
      </c>
      <c r="T15" s="1452"/>
      <c r="U15" s="1452"/>
      <c r="V15" s="1452"/>
      <c r="W15" s="1452" t="s">
        <v>1</v>
      </c>
      <c r="X15" s="1452">
        <f>X13/X14</f>
        <v>23457.22514680379</v>
      </c>
      <c r="Y15" s="1452" t="s">
        <v>1669</v>
      </c>
      <c r="Z15" s="1452"/>
      <c r="AA15" s="1452"/>
      <c r="AB15" s="1453"/>
    </row>
    <row r="16" spans="1:28" s="1356" customFormat="1">
      <c r="C16" s="1417"/>
      <c r="H16" s="1443" t="s">
        <v>1856</v>
      </c>
      <c r="I16" s="1444"/>
      <c r="J16" s="1444"/>
      <c r="K16" s="1444"/>
      <c r="L16" s="1444"/>
      <c r="M16" s="1444"/>
      <c r="N16" s="1445"/>
      <c r="O16" s="1479"/>
      <c r="P16" s="1446"/>
      <c r="S16" s="1422" t="s">
        <v>1670</v>
      </c>
      <c r="T16" s="1452"/>
      <c r="U16" s="1452"/>
      <c r="V16" s="1452"/>
      <c r="W16" s="1452" t="s">
        <v>1</v>
      </c>
      <c r="X16" s="1452" t="s">
        <v>1671</v>
      </c>
      <c r="Y16" s="1452"/>
      <c r="Z16" s="1452"/>
      <c r="AA16" s="1452"/>
      <c r="AB16" s="1453"/>
    </row>
    <row r="17" spans="1:28" s="1356" customFormat="1">
      <c r="C17" s="1417"/>
      <c r="H17" s="1493" t="s">
        <v>1649</v>
      </c>
      <c r="I17" s="1436">
        <v>16</v>
      </c>
      <c r="J17" s="1436">
        <v>105</v>
      </c>
      <c r="K17" s="1436">
        <f>16+50</f>
        <v>66</v>
      </c>
      <c r="L17" s="1436">
        <f>16+50+I17/2</f>
        <v>74</v>
      </c>
      <c r="M17" s="1447">
        <f>F11-L17</f>
        <v>6274.5281374238575</v>
      </c>
      <c r="N17" s="1437">
        <f>-($C$25/2-K17-I17/2)</f>
        <v>-526</v>
      </c>
      <c r="O17" s="1476">
        <f>ROUNDUP((M17-L17)/J17,0)+1</f>
        <v>61</v>
      </c>
      <c r="P17" s="1438">
        <f>(M17-L17)/(O17-1)</f>
        <v>103.34213562373095</v>
      </c>
      <c r="S17" s="1422"/>
      <c r="T17" s="1452"/>
      <c r="U17" s="1452"/>
      <c r="V17" s="1452"/>
      <c r="W17" s="1452" t="s">
        <v>1</v>
      </c>
      <c r="X17" s="1452">
        <f>X15*0.25</f>
        <v>5864.3062867009476</v>
      </c>
      <c r="Y17" s="1452" t="s">
        <v>1674</v>
      </c>
      <c r="Z17" s="1452"/>
      <c r="AA17" s="1452"/>
      <c r="AB17" s="1453"/>
    </row>
    <row r="18" spans="1:28" s="1356" customFormat="1">
      <c r="C18" s="1417"/>
      <c r="H18" s="1494"/>
      <c r="I18" s="1439">
        <v>0</v>
      </c>
      <c r="J18" s="1439">
        <f>J17</f>
        <v>105</v>
      </c>
      <c r="K18" s="1439">
        <f>16+50+32+32</f>
        <v>130</v>
      </c>
      <c r="L18" s="1439">
        <f t="shared" ref="L18:M20" si="0">L17</f>
        <v>74</v>
      </c>
      <c r="M18" s="1448">
        <f t="shared" si="0"/>
        <v>6274.5281374238575</v>
      </c>
      <c r="N18" s="1440">
        <f>-($C$25/2-K18-I18/2)</f>
        <v>-470</v>
      </c>
      <c r="O18" s="1477">
        <f>ROUNDUP((M18-L18)/J18,0)+1</f>
        <v>61</v>
      </c>
      <c r="P18" s="1441">
        <f>(M18-L18)/(O18-1)</f>
        <v>103.34213562373095</v>
      </c>
      <c r="S18" s="1422"/>
      <c r="T18" s="1452"/>
      <c r="U18" s="1452"/>
      <c r="V18" s="1452"/>
      <c r="W18" s="1452"/>
      <c r="X18" s="1452"/>
      <c r="Y18" s="1452"/>
      <c r="Z18" s="1452"/>
      <c r="AA18" s="1452"/>
      <c r="AB18" s="1453"/>
    </row>
    <row r="19" spans="1:28" s="1356" customFormat="1">
      <c r="C19" s="1417"/>
      <c r="H19" s="1493" t="s">
        <v>1647</v>
      </c>
      <c r="I19" s="1436">
        <f>I17</f>
        <v>16</v>
      </c>
      <c r="J19" s="1436">
        <f>J18</f>
        <v>105</v>
      </c>
      <c r="K19" s="1436">
        <f>16+50</f>
        <v>66</v>
      </c>
      <c r="L19" s="1436">
        <f t="shared" si="0"/>
        <v>74</v>
      </c>
      <c r="M19" s="1447">
        <f t="shared" si="0"/>
        <v>6274.5281374238575</v>
      </c>
      <c r="N19" s="1437">
        <f>-N17</f>
        <v>526</v>
      </c>
      <c r="O19" s="1476">
        <f>ROUNDUP((M19-L19)/J19,0)+1</f>
        <v>61</v>
      </c>
      <c r="P19" s="1438">
        <f>(M19-L19)/(O19-1)</f>
        <v>103.34213562373095</v>
      </c>
      <c r="S19" s="1422"/>
      <c r="T19" s="1452"/>
      <c r="U19" s="1452"/>
      <c r="V19" s="1452"/>
      <c r="W19" s="1452"/>
      <c r="X19" s="1452"/>
      <c r="Y19" s="1452"/>
      <c r="Z19" s="1452"/>
      <c r="AA19" s="1452"/>
      <c r="AB19" s="1453"/>
    </row>
    <row r="20" spans="1:28" s="1356" customFormat="1">
      <c r="C20" s="1417"/>
      <c r="H20" s="1494"/>
      <c r="I20" s="1439">
        <v>0</v>
      </c>
      <c r="J20" s="1439">
        <f>J18</f>
        <v>105</v>
      </c>
      <c r="K20" s="1439">
        <f>16+50+32+32</f>
        <v>130</v>
      </c>
      <c r="L20" s="1439">
        <f t="shared" si="0"/>
        <v>74</v>
      </c>
      <c r="M20" s="1448">
        <f t="shared" si="0"/>
        <v>6274.5281374238575</v>
      </c>
      <c r="N20" s="1440">
        <f>-N18</f>
        <v>470</v>
      </c>
      <c r="O20" s="1477">
        <f>ROUNDUP((M20-L20)/J20,0)+1</f>
        <v>61</v>
      </c>
      <c r="P20" s="1441">
        <f>(M20-L20)/(O20-1)</f>
        <v>103.34213562373095</v>
      </c>
      <c r="S20" s="1422"/>
      <c r="T20" s="1452"/>
      <c r="U20" s="1452"/>
      <c r="V20" s="1452"/>
      <c r="W20" s="1452"/>
      <c r="X20" s="1452"/>
      <c r="Y20" s="1452"/>
      <c r="Z20" s="1452"/>
      <c r="AA20" s="1452"/>
      <c r="AB20" s="1453"/>
    </row>
    <row r="21" spans="1:28" s="1356" customFormat="1" ht="17.25">
      <c r="S21" s="1422" t="s">
        <v>1675</v>
      </c>
      <c r="T21" s="1452"/>
      <c r="U21" s="1452"/>
      <c r="V21" s="1452"/>
      <c r="W21" s="1452"/>
      <c r="X21" s="1452"/>
      <c r="Y21" s="1452" t="s">
        <v>1</v>
      </c>
      <c r="Z21" s="1452">
        <f>F11*1000</f>
        <v>6348528.1374238571</v>
      </c>
      <c r="AA21" s="1452" t="s">
        <v>1865</v>
      </c>
      <c r="AB21" s="1453"/>
    </row>
    <row r="22" spans="1:28" s="1356" customFormat="1" ht="17.25">
      <c r="C22" s="1428" t="s">
        <v>1650</v>
      </c>
      <c r="J22" s="1433" t="s">
        <v>1857</v>
      </c>
      <c r="K22" s="1451"/>
      <c r="L22" s="1451"/>
      <c r="M22" s="1451"/>
      <c r="N22" s="1451" t="s">
        <v>1</v>
      </c>
      <c r="O22" s="1451">
        <f>PI()/4*I17^2*O17+PI()/4*I18^2*O18</f>
        <v>12264.777719614553</v>
      </c>
      <c r="P22" s="1480" t="s">
        <v>1858</v>
      </c>
      <c r="S22" s="1422" t="s">
        <v>1676</v>
      </c>
      <c r="T22" s="1452"/>
      <c r="U22" s="1452"/>
      <c r="V22" s="1452"/>
      <c r="W22" s="1452" t="s">
        <v>1</v>
      </c>
      <c r="X22" s="1452" t="s">
        <v>1677</v>
      </c>
      <c r="Y22" s="1452"/>
      <c r="Z22" s="1452"/>
      <c r="AA22" s="1452"/>
      <c r="AB22" s="1453"/>
    </row>
    <row r="23" spans="1:28" s="1356" customFormat="1" ht="17.25">
      <c r="C23" s="1417"/>
      <c r="J23" s="1454" t="s">
        <v>1859</v>
      </c>
      <c r="K23" s="1455"/>
      <c r="L23" s="1455"/>
      <c r="M23" s="1455"/>
      <c r="N23" s="1455" t="s">
        <v>1</v>
      </c>
      <c r="O23" s="1451">
        <f>PI()/4*I19^2*O19+PI()/4*I20^2*O20</f>
        <v>12264.777719614553</v>
      </c>
      <c r="P23" s="1481" t="s">
        <v>1858</v>
      </c>
      <c r="S23" s="1422"/>
      <c r="T23" s="1452"/>
      <c r="U23" s="1452"/>
      <c r="V23" s="1452"/>
      <c r="W23" s="1452" t="s">
        <v>1</v>
      </c>
      <c r="X23" s="1452">
        <f>0.001*Z21</f>
        <v>6348.5281374238575</v>
      </c>
      <c r="Y23" s="1452" t="s">
        <v>1669</v>
      </c>
      <c r="Z23" s="1452"/>
      <c r="AA23" s="1452"/>
      <c r="AB23" s="1453"/>
    </row>
    <row r="24" spans="1:28" s="1356" customFormat="1" ht="17.25">
      <c r="C24" s="1429">
        <f>M15</f>
        <v>1026</v>
      </c>
      <c r="J24" s="1454" t="s">
        <v>1860</v>
      </c>
      <c r="K24" s="1455"/>
      <c r="L24" s="1455"/>
      <c r="M24" s="1455"/>
      <c r="N24" s="1455" t="s">
        <v>1</v>
      </c>
      <c r="O24" s="1451">
        <f>PI()/4*I12^2*O12+PI()/4*I13^2*O13</f>
        <v>1809.5573684677208</v>
      </c>
      <c r="P24" s="1481" t="s">
        <v>1858</v>
      </c>
      <c r="S24" s="1422"/>
      <c r="T24" s="1452"/>
      <c r="U24" s="1452"/>
      <c r="V24" s="1452"/>
      <c r="W24" s="1452"/>
      <c r="X24" s="1452"/>
      <c r="Y24" s="1452"/>
      <c r="Z24" s="1452"/>
      <c r="AA24" s="1452"/>
      <c r="AB24" s="1453"/>
    </row>
    <row r="25" spans="1:28" s="1356" customFormat="1" ht="17.25">
      <c r="B25" s="1430" t="s">
        <v>1644</v>
      </c>
      <c r="C25" s="1562">
        <f>U_3.4_SH_SUM!C20</f>
        <v>1200</v>
      </c>
      <c r="J25" s="1454" t="s">
        <v>1861</v>
      </c>
      <c r="K25" s="1455"/>
      <c r="L25" s="1455"/>
      <c r="M25" s="1455"/>
      <c r="N25" s="1455" t="s">
        <v>1</v>
      </c>
      <c r="O25" s="1451">
        <f>PI()/4*I14^2*O14+PI()/4*I15^2*O15</f>
        <v>1809.5573684677208</v>
      </c>
      <c r="P25" s="1481" t="s">
        <v>1858</v>
      </c>
      <c r="S25" s="1422"/>
      <c r="T25" s="1452"/>
      <c r="U25" s="1452"/>
      <c r="V25" s="1452"/>
      <c r="W25" s="1452" t="s">
        <v>1</v>
      </c>
      <c r="X25" s="1452">
        <f>MAX(X17,X23)</f>
        <v>6348.5281374238575</v>
      </c>
      <c r="Y25" s="1452" t="s">
        <v>1678</v>
      </c>
      <c r="Z25" s="1452"/>
      <c r="AA25" s="1452"/>
      <c r="AB25" s="1453"/>
    </row>
    <row r="26" spans="1:28" s="1356" customFormat="1" ht="17.25">
      <c r="C26" s="1417"/>
      <c r="J26" s="1457" t="s">
        <v>1673</v>
      </c>
      <c r="K26" s="1458"/>
      <c r="L26" s="1449"/>
      <c r="M26" s="1449"/>
      <c r="N26" s="1449" t="s">
        <v>1</v>
      </c>
      <c r="O26" s="1458">
        <f>SUM(O22:O25)</f>
        <v>28148.670176164549</v>
      </c>
      <c r="P26" s="1482" t="s">
        <v>1862</v>
      </c>
      <c r="S26" s="1422"/>
      <c r="T26" s="1452"/>
      <c r="U26" s="1452"/>
      <c r="V26" s="1452"/>
      <c r="W26" s="1452"/>
      <c r="X26" s="1452"/>
      <c r="Y26" s="1452"/>
      <c r="Z26" s="1452"/>
      <c r="AA26" s="1452"/>
      <c r="AB26" s="1453"/>
    </row>
    <row r="27" spans="1:28" s="1356" customFormat="1">
      <c r="C27" s="1417"/>
      <c r="G27" s="1452"/>
      <c r="J27" s="1431"/>
      <c r="N27" s="1419" t="s">
        <v>1</v>
      </c>
      <c r="O27" s="1459">
        <f>O26/(C25*F11)*100</f>
        <v>0.36949076445808116</v>
      </c>
      <c r="P27" s="1450" t="s">
        <v>360</v>
      </c>
      <c r="S27" s="1422"/>
      <c r="T27" s="1452"/>
      <c r="U27" s="1452" t="s">
        <v>1866</v>
      </c>
      <c r="V27" s="1452">
        <v>100</v>
      </c>
      <c r="W27" s="1452" t="s">
        <v>1679</v>
      </c>
      <c r="X27" s="1452"/>
      <c r="Y27" s="1452"/>
      <c r="Z27" s="1452"/>
      <c r="AA27" s="1452"/>
      <c r="AB27" s="1453"/>
    </row>
    <row r="28" spans="1:28" s="1356" customFormat="1">
      <c r="A28" s="1483" t="s">
        <v>568</v>
      </c>
      <c r="B28" s="1452"/>
      <c r="C28" s="1452"/>
      <c r="D28" s="1452"/>
      <c r="E28" s="1452"/>
      <c r="F28" s="1452"/>
      <c r="G28" s="1452"/>
      <c r="S28" s="1422"/>
      <c r="T28" s="1452"/>
      <c r="U28" s="1452"/>
      <c r="V28" s="1452"/>
      <c r="W28" s="1452" t="s">
        <v>1</v>
      </c>
      <c r="X28" s="1452" t="e">
        <f>PI()*#REF!^2/4*1000/V27*2</f>
        <v>#REF!</v>
      </c>
      <c r="Y28" s="1452" t="s">
        <v>1680</v>
      </c>
      <c r="Z28" s="1452"/>
      <c r="AA28" s="1452"/>
      <c r="AB28" s="1453"/>
    </row>
    <row r="29" spans="1:28" s="1356" customFormat="1" ht="18">
      <c r="A29" s="1484" t="s">
        <v>329</v>
      </c>
      <c r="B29" s="1484" t="s">
        <v>1</v>
      </c>
      <c r="C29" s="1486">
        <f>GEN!H19</f>
        <v>35</v>
      </c>
      <c r="D29" s="1485" t="s">
        <v>567</v>
      </c>
      <c r="E29" s="1452"/>
      <c r="F29" s="1452" t="s">
        <v>1869</v>
      </c>
      <c r="G29" s="26" t="s">
        <v>331</v>
      </c>
      <c r="H29" s="26" t="s">
        <v>1</v>
      </c>
      <c r="I29" s="1487">
        <f>GEN!H22</f>
        <v>15.633333333333335</v>
      </c>
      <c r="J29" s="26" t="s">
        <v>293</v>
      </c>
      <c r="S29" s="1425"/>
      <c r="T29" s="1463"/>
      <c r="U29" s="1463"/>
      <c r="V29" s="1463"/>
      <c r="W29" s="1463"/>
      <c r="X29" s="1463"/>
      <c r="Y29" s="1463"/>
      <c r="Z29" s="1463"/>
      <c r="AA29" s="1463"/>
      <c r="AB29" s="1464"/>
    </row>
    <row r="30" spans="1:28" s="1356" customFormat="1" ht="18">
      <c r="A30" s="1484" t="s">
        <v>295</v>
      </c>
      <c r="B30" s="1484" t="s">
        <v>1</v>
      </c>
      <c r="C30" s="1486">
        <f>GEN!H27</f>
        <v>500</v>
      </c>
      <c r="D30" s="1485" t="s">
        <v>567</v>
      </c>
      <c r="E30" s="1452"/>
      <c r="F30" s="1452" t="s">
        <v>1869</v>
      </c>
      <c r="G30" s="26" t="s">
        <v>304</v>
      </c>
      <c r="H30" s="26" t="s">
        <v>1</v>
      </c>
      <c r="I30" s="1487">
        <f>GEN!H29</f>
        <v>434.78260869565224</v>
      </c>
      <c r="J30" s="26" t="s">
        <v>293</v>
      </c>
      <c r="K30" s="1452"/>
      <c r="L30" s="1452"/>
      <c r="M30" s="1452"/>
      <c r="N30" s="1452"/>
      <c r="O30" s="1452"/>
    </row>
    <row r="31" spans="1:28" s="1356" customFormat="1" ht="18">
      <c r="A31" s="1452" t="s">
        <v>294</v>
      </c>
      <c r="B31" s="1452" t="s">
        <v>1</v>
      </c>
      <c r="C31" s="1488">
        <f>GEN!H30</f>
        <v>200000</v>
      </c>
      <c r="D31" s="1485" t="s">
        <v>567</v>
      </c>
      <c r="E31" s="1452"/>
      <c r="F31" s="1452"/>
      <c r="G31" s="1452"/>
    </row>
    <row r="32" spans="1:28" s="1356" customFormat="1">
      <c r="C32" s="1417"/>
    </row>
    <row r="33" spans="1:13" s="1356" customFormat="1">
      <c r="A33" s="1356" t="s">
        <v>1867</v>
      </c>
    </row>
    <row r="34" spans="1:13" s="1356" customFormat="1" ht="18">
      <c r="A34" s="1774" t="s">
        <v>566</v>
      </c>
      <c r="B34" s="1460" t="s">
        <v>562</v>
      </c>
      <c r="C34" s="1495" t="s">
        <v>1864</v>
      </c>
      <c r="K34" s="1431"/>
      <c r="L34" s="1431"/>
      <c r="M34" s="1431"/>
    </row>
    <row r="35" spans="1:13" s="1356" customFormat="1">
      <c r="A35" s="1775"/>
      <c r="B35" s="1460" t="s">
        <v>51</v>
      </c>
      <c r="C35" s="1495" t="s">
        <v>77</v>
      </c>
      <c r="K35" s="1431"/>
      <c r="L35" s="1431"/>
      <c r="M35" s="1431"/>
    </row>
    <row r="36" spans="1:13" s="1356" customFormat="1">
      <c r="A36" s="1461">
        <v>1.0000000000000001E-9</v>
      </c>
      <c r="B36" s="1461">
        <f>ULS(A36,$T$4:$T$5,$C$29:$C$31,$I$17:$P$20,$I$12:$P$15,"PU")/10^4</f>
        <v>-1224.4671430375197</v>
      </c>
      <c r="C36" s="1462">
        <f>ULS(A36,$T$4:$T$5,$C$29:$C$31,$I$17:$P$20,$I$12:$P$15,"MU")/10^7</f>
        <v>3.0554318132263106E-5</v>
      </c>
      <c r="K36" s="1431"/>
      <c r="L36" s="1431"/>
      <c r="M36" s="1431"/>
    </row>
    <row r="37" spans="1:13" s="1356" customFormat="1">
      <c r="A37" s="1422">
        <f t="shared" ref="A37:A46" si="1">A36+0.2</f>
        <v>0.20000000100000001</v>
      </c>
      <c r="B37" s="1461">
        <f t="shared" ref="B37:B46" si="2">ULS(A37,$T$4:$T$5,$C$29:$C$31,$I$17:$P$20,$I$12:$P$15,"PU")/10^4</f>
        <v>1271.5490297238268</v>
      </c>
      <c r="C37" s="1462">
        <f t="shared" ref="C37:C46" si="3">ULS(A37,$T$4:$T$5,$C$29:$C$31,$I$17:$P$20,$I$12:$P$15,"MU")/10^7</f>
        <v>6589.9000902799635</v>
      </c>
      <c r="K37" s="1431"/>
      <c r="L37" s="1431"/>
      <c r="M37" s="1431"/>
    </row>
    <row r="38" spans="1:13" s="1356" customFormat="1">
      <c r="A38" s="1422">
        <f t="shared" si="1"/>
        <v>0.40000000099999999</v>
      </c>
      <c r="B38" s="1461">
        <f t="shared" si="2"/>
        <v>3620.0871938210034</v>
      </c>
      <c r="C38" s="1462">
        <f t="shared" si="3"/>
        <v>10080.310901464974</v>
      </c>
      <c r="K38" s="1431"/>
      <c r="L38" s="1431"/>
      <c r="M38" s="1431"/>
    </row>
    <row r="39" spans="1:13" s="1356" customFormat="1">
      <c r="A39" s="1422">
        <f t="shared" si="1"/>
        <v>0.60000000099999995</v>
      </c>
      <c r="B39" s="1461">
        <f t="shared" si="2"/>
        <v>5968.7954519813229</v>
      </c>
      <c r="C39" s="1462">
        <f t="shared" si="3"/>
        <v>10928.278157111657</v>
      </c>
      <c r="K39" s="1431"/>
      <c r="L39" s="1431"/>
      <c r="M39" s="1431"/>
    </row>
    <row r="40" spans="1:13" s="1356" customFormat="1">
      <c r="A40" s="1422">
        <f t="shared" si="1"/>
        <v>0.80000000099999991</v>
      </c>
      <c r="B40" s="1461">
        <f t="shared" si="2"/>
        <v>8268.8429176282043</v>
      </c>
      <c r="C40" s="1462">
        <f t="shared" si="3"/>
        <v>9351.0871047068322</v>
      </c>
      <c r="K40" s="1431"/>
      <c r="L40" s="1431"/>
      <c r="M40" s="1431"/>
    </row>
    <row r="41" spans="1:13" s="1356" customFormat="1">
      <c r="A41" s="1422">
        <f t="shared" si="1"/>
        <v>1.0000000009999999</v>
      </c>
      <c r="B41" s="1461">
        <f t="shared" si="2"/>
        <v>10431.577668247806</v>
      </c>
      <c r="C41" s="1462">
        <f t="shared" si="3"/>
        <v>5970.9153600433392</v>
      </c>
      <c r="K41" s="1431"/>
      <c r="L41" s="1431"/>
      <c r="M41" s="1431"/>
    </row>
    <row r="42" spans="1:13" s="1356" customFormat="1">
      <c r="A42" s="1422">
        <f t="shared" si="1"/>
        <v>1.2000000009999998</v>
      </c>
      <c r="B42" s="1461">
        <f t="shared" si="2"/>
        <v>11541.587633208224</v>
      </c>
      <c r="C42" s="1462">
        <f t="shared" si="3"/>
        <v>3460.5269617688364</v>
      </c>
      <c r="K42" s="1431"/>
      <c r="L42" s="1431"/>
      <c r="M42" s="1431"/>
    </row>
    <row r="43" spans="1:13" s="1356" customFormat="1">
      <c r="A43" s="1422">
        <f t="shared" si="1"/>
        <v>1.4000000009999998</v>
      </c>
      <c r="B43" s="1461">
        <f t="shared" si="2"/>
        <v>12052.285172109769</v>
      </c>
      <c r="C43" s="1462">
        <f t="shared" si="3"/>
        <v>2305.2445844016488</v>
      </c>
      <c r="K43" s="1431"/>
      <c r="L43" s="1431"/>
      <c r="M43" s="1431"/>
    </row>
    <row r="44" spans="1:13" s="1356" customFormat="1">
      <c r="A44" s="1422">
        <f t="shared" si="1"/>
        <v>1.6000000009999997</v>
      </c>
      <c r="B44" s="1461">
        <f t="shared" si="2"/>
        <v>12330.923588284852</v>
      </c>
      <c r="C44" s="1462">
        <f t="shared" si="3"/>
        <v>1674.3243368197598</v>
      </c>
      <c r="K44" s="1431"/>
      <c r="L44" s="1431"/>
      <c r="M44" s="1431"/>
    </row>
    <row r="45" spans="1:13" s="1356" customFormat="1">
      <c r="A45" s="1422">
        <f t="shared" si="1"/>
        <v>1.8000000009999997</v>
      </c>
      <c r="B45" s="1461">
        <f t="shared" si="2"/>
        <v>12500.485557773867</v>
      </c>
      <c r="C45" s="1462">
        <f t="shared" si="3"/>
        <v>1289.7041628042421</v>
      </c>
      <c r="K45" s="1431"/>
      <c r="L45" s="1431"/>
      <c r="M45" s="1431"/>
    </row>
    <row r="46" spans="1:13" s="1356" customFormat="1">
      <c r="A46" s="1422">
        <f t="shared" si="1"/>
        <v>2.0000000009999996</v>
      </c>
      <c r="B46" s="1461">
        <f t="shared" si="2"/>
        <v>12611.811186864941</v>
      </c>
      <c r="C46" s="1462">
        <f t="shared" si="3"/>
        <v>1036.486815789503</v>
      </c>
      <c r="K46" s="1431"/>
      <c r="L46" s="1431"/>
      <c r="M46" s="1431"/>
    </row>
    <row r="47" spans="1:13" s="1356" customFormat="1">
      <c r="A47" s="1425"/>
      <c r="B47" s="1425"/>
      <c r="C47" s="1444"/>
      <c r="K47" s="1431"/>
      <c r="L47" s="1431"/>
      <c r="M47" s="1431"/>
    </row>
    <row r="48" spans="1:13" s="1356" customFormat="1">
      <c r="K48" s="1431"/>
      <c r="L48" s="1431"/>
      <c r="M48" s="1431"/>
    </row>
    <row r="49" spans="1:14" s="1356" customFormat="1">
      <c r="K49" s="1431"/>
      <c r="L49" s="1431"/>
      <c r="M49" s="1431"/>
      <c r="N49" s="1431"/>
    </row>
    <row r="50" spans="1:14" s="1356" customFormat="1">
      <c r="A50" s="1356" t="s">
        <v>1868</v>
      </c>
      <c r="C50" s="1417"/>
      <c r="K50" s="1431"/>
      <c r="L50" s="1431"/>
      <c r="M50" s="1431"/>
      <c r="N50" s="1431"/>
    </row>
    <row r="51" spans="1:14" s="1356" customFormat="1" ht="18">
      <c r="A51" s="1774" t="s">
        <v>566</v>
      </c>
      <c r="B51" s="1460" t="s">
        <v>562</v>
      </c>
      <c r="C51" s="1495" t="s">
        <v>1863</v>
      </c>
      <c r="K51" s="1431"/>
      <c r="L51" s="1431"/>
      <c r="M51" s="1431"/>
      <c r="N51" s="1431"/>
    </row>
    <row r="52" spans="1:14" s="1356" customFormat="1">
      <c r="A52" s="1775"/>
      <c r="B52" s="1460" t="s">
        <v>51</v>
      </c>
      <c r="C52" s="1495" t="s">
        <v>77</v>
      </c>
      <c r="K52" s="1431"/>
      <c r="L52" s="1431"/>
      <c r="M52" s="1431"/>
      <c r="N52" s="1431"/>
    </row>
    <row r="53" spans="1:14" s="1356" customFormat="1">
      <c r="A53" s="1461">
        <v>1.0000000000000001E-9</v>
      </c>
      <c r="B53" s="1461">
        <f>ULS(A53,$U$4:$U$5,$C$29:$C$31,$I$12:$P$15,$I$17:$P$20,"PU")/10^4</f>
        <v>-1224.4671430375195</v>
      </c>
      <c r="C53" s="1462">
        <f>ULS(A53,$U$4:$U$5,$C$29:$C$31,$I$12:$P$15,$I$17:$P$20,"MU")/10^7</f>
        <v>5.775383012372113E-6</v>
      </c>
      <c r="K53" s="1431"/>
      <c r="L53" s="1431"/>
      <c r="M53" s="1431"/>
      <c r="N53" s="1431"/>
    </row>
    <row r="54" spans="1:14" s="1356" customFormat="1">
      <c r="A54" s="1422">
        <f t="shared" ref="A54:A63" si="4">A53+0.2</f>
        <v>0.20000000100000001</v>
      </c>
      <c r="B54" s="1461">
        <f t="shared" ref="B54:B63" si="5">ULS(A54,$U$4:$U$5,$C$29:$C$31,$I$12:$P$15,$I$17:$P$20,"PU")/10^4</f>
        <v>1786.3189766744665</v>
      </c>
      <c r="C54" s="1462">
        <f t="shared" ref="C54:C63" si="6">ULS(A54,$U$4:$U$5,$C$29:$C$31,$I$12:$P$15,$I$17:$P$20,"MU")/10^7</f>
        <v>1528.7408056601867</v>
      </c>
      <c r="K54" s="1431"/>
      <c r="L54" s="1431"/>
      <c r="M54" s="1431"/>
      <c r="N54" s="1431"/>
    </row>
    <row r="55" spans="1:14" s="1356" customFormat="1">
      <c r="A55" s="1422">
        <f t="shared" si="4"/>
        <v>0.40000000099999999</v>
      </c>
      <c r="B55" s="1461">
        <f t="shared" si="5"/>
        <v>3790.6045835898935</v>
      </c>
      <c r="C55" s="1462">
        <f t="shared" si="6"/>
        <v>2122.4442769777602</v>
      </c>
      <c r="K55" s="1431"/>
      <c r="L55" s="1431"/>
      <c r="M55" s="1431"/>
      <c r="N55" s="1431"/>
    </row>
    <row r="56" spans="1:14" s="1356" customFormat="1">
      <c r="A56" s="1422">
        <f t="shared" si="4"/>
        <v>0.60000000099999995</v>
      </c>
      <c r="B56" s="1461">
        <f t="shared" si="5"/>
        <v>5841.2923096635805</v>
      </c>
      <c r="C56" s="1462">
        <f t="shared" si="6"/>
        <v>2284.9113776626268</v>
      </c>
      <c r="K56" s="1431"/>
      <c r="L56" s="1431"/>
      <c r="M56" s="1431"/>
      <c r="N56" s="1431"/>
    </row>
    <row r="57" spans="1:14" s="1356" customFormat="1">
      <c r="A57" s="1422">
        <f t="shared" si="4"/>
        <v>0.80000000099999991</v>
      </c>
      <c r="B57" s="1461">
        <f t="shared" si="5"/>
        <v>8149.5670727603556</v>
      </c>
      <c r="C57" s="1462">
        <f t="shared" si="6"/>
        <v>1909.9600409891586</v>
      </c>
      <c r="K57" s="1431"/>
      <c r="L57" s="1431"/>
      <c r="M57" s="1431"/>
      <c r="N57" s="1431"/>
    </row>
    <row r="58" spans="1:14" s="1356" customFormat="1">
      <c r="A58" s="1422">
        <f t="shared" si="4"/>
        <v>1.0000000009999999</v>
      </c>
      <c r="B58" s="1461">
        <f t="shared" si="5"/>
        <v>10321.436318750988</v>
      </c>
      <c r="C58" s="1462">
        <f t="shared" si="6"/>
        <v>1228.9998977087919</v>
      </c>
      <c r="K58" s="1431"/>
      <c r="L58" s="1431"/>
      <c r="M58" s="1431"/>
      <c r="N58" s="1431"/>
    </row>
    <row r="59" spans="1:14" s="1356" customFormat="1">
      <c r="A59" s="1422">
        <f t="shared" si="4"/>
        <v>1.2000000009999998</v>
      </c>
      <c r="B59" s="1461">
        <f t="shared" si="5"/>
        <v>11461.207786466141</v>
      </c>
      <c r="C59" s="1462">
        <f t="shared" si="6"/>
        <v>731.31047321830874</v>
      </c>
      <c r="K59" s="1431"/>
      <c r="L59" s="1431"/>
      <c r="M59" s="1431"/>
      <c r="N59" s="1431"/>
    </row>
    <row r="60" spans="1:14" s="1356" customFormat="1">
      <c r="A60" s="1422">
        <f t="shared" si="4"/>
        <v>1.4000000009999998</v>
      </c>
      <c r="B60" s="1461">
        <f t="shared" si="5"/>
        <v>11990.102862117192</v>
      </c>
      <c r="C60" s="1462">
        <f t="shared" si="6"/>
        <v>499.1312299679924</v>
      </c>
      <c r="K60" s="1431"/>
      <c r="L60" s="1431"/>
      <c r="M60" s="1431"/>
      <c r="N60" s="1431"/>
    </row>
    <row r="61" spans="1:14" s="1356" customFormat="1">
      <c r="A61" s="1422">
        <f t="shared" si="4"/>
        <v>1.6000000009999997</v>
      </c>
      <c r="B61" s="1461">
        <f t="shared" si="5"/>
        <v>12281.136123824397</v>
      </c>
      <c r="C61" s="1462">
        <f t="shared" si="6"/>
        <v>370.73828659007643</v>
      </c>
      <c r="K61" s="1431"/>
      <c r="L61" s="1431"/>
      <c r="M61" s="1431"/>
      <c r="N61" s="1431"/>
    </row>
    <row r="62" spans="1:14" s="1356" customFormat="1">
      <c r="A62" s="1422">
        <f t="shared" si="4"/>
        <v>1.8000000009999997</v>
      </c>
      <c r="B62" s="1461">
        <f t="shared" si="5"/>
        <v>12459.608001280894</v>
      </c>
      <c r="C62" s="1462">
        <f t="shared" si="6"/>
        <v>291.5326554347144</v>
      </c>
      <c r="K62" s="1431"/>
      <c r="L62" s="1431"/>
      <c r="M62" s="1431"/>
      <c r="N62" s="1431"/>
    </row>
    <row r="63" spans="1:14" s="1356" customFormat="1">
      <c r="A63" s="1422">
        <f t="shared" si="4"/>
        <v>2.0000000009999996</v>
      </c>
      <c r="B63" s="1461">
        <f t="shared" si="5"/>
        <v>12577.770566955716</v>
      </c>
      <c r="C63" s="1462">
        <f t="shared" si="6"/>
        <v>238.83288266917</v>
      </c>
      <c r="K63" s="1431"/>
      <c r="L63" s="1431"/>
      <c r="M63" s="1431"/>
      <c r="N63" s="1431"/>
    </row>
    <row r="64" spans="1:14" s="1356" customFormat="1">
      <c r="A64" s="1425"/>
      <c r="B64" s="1425"/>
      <c r="C64" s="1444"/>
      <c r="K64" s="1431"/>
      <c r="L64" s="1431"/>
      <c r="M64" s="1431"/>
      <c r="N64" s="1431"/>
    </row>
    <row r="65" spans="1:19" s="1356" customFormat="1">
      <c r="K65" s="1431"/>
      <c r="L65" s="1431"/>
      <c r="M65" s="1431"/>
      <c r="N65" s="1431"/>
      <c r="O65" s="1431"/>
    </row>
    <row r="66" spans="1:19" s="1356" customFormat="1">
      <c r="K66" s="1431"/>
      <c r="L66" s="1431"/>
      <c r="M66" s="1431"/>
      <c r="N66" s="1431"/>
      <c r="O66" s="1431"/>
    </row>
    <row r="67" spans="1:19" s="1356" customFormat="1">
      <c r="A67" s="1465" t="s">
        <v>1681</v>
      </c>
      <c r="K67" s="1431"/>
      <c r="L67" s="1431"/>
      <c r="M67" s="1431"/>
      <c r="N67" s="1431"/>
      <c r="O67" s="1431"/>
    </row>
    <row r="68" spans="1:19" s="1356" customFormat="1">
      <c r="A68" s="1329" t="s">
        <v>562</v>
      </c>
      <c r="B68" s="1329" t="s">
        <v>1</v>
      </c>
      <c r="C68" s="1329" t="s">
        <v>1682</v>
      </c>
      <c r="D68" s="1329"/>
      <c r="E68" s="1329"/>
      <c r="K68" s="1431"/>
      <c r="L68" s="1431"/>
      <c r="M68" s="1431"/>
      <c r="N68" s="1466"/>
      <c r="O68" s="1466"/>
      <c r="Q68" s="1442"/>
      <c r="R68" s="1442"/>
      <c r="S68" s="1329"/>
    </row>
    <row r="69" spans="1:19" s="1356" customFormat="1">
      <c r="A69" s="1329" t="s">
        <v>563</v>
      </c>
      <c r="B69" s="1329" t="s">
        <v>1</v>
      </c>
      <c r="C69" s="1329" t="s">
        <v>1683</v>
      </c>
      <c r="D69" s="1329"/>
      <c r="E69" s="1329"/>
      <c r="K69" s="1431"/>
      <c r="L69" s="1431"/>
      <c r="M69" s="1431"/>
      <c r="N69" s="1466"/>
      <c r="O69" s="1442"/>
      <c r="P69" s="1442"/>
      <c r="Q69" s="1442"/>
      <c r="R69" s="1442"/>
      <c r="S69" s="1329"/>
    </row>
    <row r="70" spans="1:19" s="1356" customFormat="1">
      <c r="K70" s="1431"/>
      <c r="L70" s="1431"/>
      <c r="M70" s="1431"/>
      <c r="N70" s="1466"/>
      <c r="O70" s="1442"/>
      <c r="P70" s="1442"/>
      <c r="Q70" s="1442"/>
      <c r="R70" s="1442"/>
      <c r="S70" s="1329"/>
    </row>
    <row r="71" spans="1:19" s="1356" customFormat="1" ht="18.75">
      <c r="A71" s="1467" t="s">
        <v>1684</v>
      </c>
      <c r="B71" s="1329" t="s">
        <v>1</v>
      </c>
      <c r="C71" s="1468" t="s">
        <v>1685</v>
      </c>
      <c r="D71" s="1467"/>
      <c r="E71" s="1467"/>
      <c r="F71" s="1329"/>
      <c r="G71" s="1329"/>
      <c r="H71" s="1467" t="s">
        <v>1686</v>
      </c>
      <c r="I71" s="1329"/>
      <c r="J71" s="1329"/>
      <c r="K71" s="1431"/>
      <c r="L71" s="1431"/>
      <c r="M71" s="1431"/>
      <c r="N71" s="1466"/>
      <c r="O71" s="1442"/>
      <c r="P71" s="1442"/>
      <c r="Q71" s="1442"/>
      <c r="R71" s="1442"/>
      <c r="S71" s="1329"/>
    </row>
    <row r="72" spans="1:19" s="1356" customFormat="1" ht="15.75">
      <c r="A72" s="1467"/>
      <c r="B72" s="1329"/>
      <c r="C72" s="1468" t="s">
        <v>1687</v>
      </c>
      <c r="D72" s="1467"/>
      <c r="E72" s="1467"/>
      <c r="F72" s="1329"/>
      <c r="G72" s="1329"/>
      <c r="H72" s="1467" t="s">
        <v>1688</v>
      </c>
      <c r="I72" s="1329"/>
      <c r="J72" s="1329"/>
      <c r="K72" s="1431"/>
      <c r="L72" s="1431"/>
      <c r="M72" s="1431"/>
      <c r="N72" s="1466"/>
      <c r="O72" s="1442"/>
      <c r="P72" s="1442"/>
      <c r="Q72" s="1442"/>
      <c r="R72" s="1442"/>
      <c r="S72" s="1329"/>
    </row>
    <row r="73" spans="1:19" s="1356" customFormat="1" ht="15.75">
      <c r="A73" s="1467"/>
      <c r="B73" s="1329"/>
      <c r="C73" s="1467"/>
      <c r="D73" s="1467"/>
      <c r="E73" s="1467"/>
      <c r="F73" s="1467"/>
      <c r="G73" s="1467"/>
      <c r="H73" s="1467"/>
      <c r="I73" s="1329"/>
      <c r="J73" s="1329"/>
      <c r="K73" s="1431"/>
      <c r="L73" s="1431"/>
      <c r="M73" s="1431"/>
      <c r="N73" s="1466"/>
      <c r="O73" s="1442"/>
      <c r="P73" s="1442"/>
      <c r="Q73" s="1442"/>
      <c r="R73" s="1442"/>
      <c r="S73" s="1329"/>
    </row>
    <row r="74" spans="1:19" s="1356" customFormat="1" ht="19.5">
      <c r="A74" s="1330" t="s">
        <v>1180</v>
      </c>
      <c r="B74" s="1329" t="s">
        <v>1</v>
      </c>
      <c r="C74" s="1330" t="s">
        <v>1689</v>
      </c>
      <c r="D74" s="1330"/>
      <c r="E74" s="1330"/>
      <c r="F74" s="1329"/>
      <c r="G74" s="1329"/>
      <c r="H74" s="1329"/>
      <c r="I74" s="1329"/>
      <c r="J74" s="1329"/>
      <c r="K74" s="1431"/>
      <c r="L74" s="1431"/>
      <c r="M74" s="1431"/>
      <c r="N74" s="1466"/>
      <c r="O74" s="1442"/>
      <c r="P74" s="1442"/>
      <c r="Q74" s="1442"/>
      <c r="R74" s="1442"/>
      <c r="S74" s="1329"/>
    </row>
    <row r="75" spans="1:19" s="1356" customFormat="1">
      <c r="N75" s="1442"/>
      <c r="O75" s="1442"/>
      <c r="P75" s="1442"/>
      <c r="Q75" s="1442"/>
      <c r="R75" s="1442"/>
      <c r="S75" s="1329"/>
    </row>
    <row r="76" spans="1:19" s="1356" customFormat="1">
      <c r="A76" s="1329" t="s">
        <v>1690</v>
      </c>
      <c r="B76" s="1329" t="s">
        <v>1</v>
      </c>
      <c r="C76" s="1329" t="s">
        <v>1691</v>
      </c>
      <c r="D76" s="1329"/>
      <c r="E76" s="1329"/>
      <c r="F76" s="1329"/>
      <c r="G76" s="1329"/>
      <c r="H76" s="1329"/>
      <c r="I76" s="1329"/>
      <c r="J76" s="1329"/>
      <c r="K76" s="1329"/>
      <c r="N76" s="1442"/>
      <c r="O76" s="1442"/>
      <c r="P76" s="1442"/>
      <c r="Q76" s="1442"/>
      <c r="R76" s="1442"/>
      <c r="S76" s="1329"/>
    </row>
    <row r="77" spans="1:19" s="1356" customFormat="1" ht="15.75">
      <c r="A77" s="1467"/>
      <c r="B77" s="1329"/>
      <c r="C77" s="1467"/>
      <c r="D77" s="1467"/>
      <c r="E77" s="1467"/>
      <c r="F77" s="1467"/>
      <c r="G77" s="1467"/>
      <c r="H77" s="1467"/>
      <c r="I77" s="1467"/>
      <c r="J77" s="1469"/>
      <c r="K77" s="1469"/>
      <c r="N77" s="1442"/>
      <c r="O77" s="1442"/>
      <c r="P77" s="1442"/>
      <c r="Q77" s="1442"/>
      <c r="R77" s="1442"/>
      <c r="S77" s="1329"/>
    </row>
    <row r="78" spans="1:19" s="1356" customFormat="1" ht="15.75">
      <c r="A78" s="1467" t="s">
        <v>1692</v>
      </c>
      <c r="B78" s="1329" t="s">
        <v>1</v>
      </c>
      <c r="C78" s="1470">
        <v>0</v>
      </c>
      <c r="D78" s="1467"/>
      <c r="E78" s="1467"/>
      <c r="F78" s="1467"/>
      <c r="G78" s="1329"/>
      <c r="H78" s="1329"/>
      <c r="I78" s="1471" t="s">
        <v>1693</v>
      </c>
      <c r="J78" s="1467">
        <v>0</v>
      </c>
      <c r="P78" s="1442"/>
      <c r="S78" s="1329"/>
    </row>
    <row r="79" spans="1:19" s="1356" customFormat="1" ht="15.75">
      <c r="A79" s="1467"/>
      <c r="B79" s="1329"/>
      <c r="C79" s="1470" t="s">
        <v>1694</v>
      </c>
      <c r="D79" s="1467"/>
      <c r="E79" s="1467"/>
      <c r="F79" s="1467"/>
      <c r="G79" s="1329"/>
      <c r="H79" s="1329"/>
      <c r="I79" s="1471" t="s">
        <v>1695</v>
      </c>
      <c r="J79" s="1467">
        <v>2E-3</v>
      </c>
      <c r="S79" s="1329"/>
    </row>
    <row r="80" spans="1:19" s="1356" customFormat="1" ht="18">
      <c r="A80" s="1467"/>
      <c r="B80" s="1329"/>
      <c r="C80" s="1470" t="s">
        <v>1696</v>
      </c>
      <c r="D80" s="1467"/>
      <c r="E80" s="1467"/>
      <c r="F80" s="1467"/>
      <c r="G80" s="1329"/>
      <c r="H80" s="1329"/>
      <c r="I80" s="1469" t="s">
        <v>1697</v>
      </c>
      <c r="J80" s="1329"/>
      <c r="S80" s="1329"/>
    </row>
    <row r="81" spans="1:19" s="1356" customFormat="1">
      <c r="S81" s="1329"/>
    </row>
    <row r="82" spans="1:19" s="1356" customFormat="1" ht="15.75">
      <c r="A82" s="1467" t="s">
        <v>1698</v>
      </c>
      <c r="B82" s="1329" t="s">
        <v>1</v>
      </c>
      <c r="C82" s="1472" t="s">
        <v>1699</v>
      </c>
      <c r="D82" s="1467"/>
      <c r="E82" s="1471" t="s">
        <v>1693</v>
      </c>
      <c r="F82" s="1770">
        <f>-Mprop!I16</f>
        <v>-2.1739130434782613E-3</v>
      </c>
      <c r="G82" s="1770"/>
      <c r="M82" s="1473"/>
    </row>
    <row r="83" spans="1:19" s="1356" customFormat="1" ht="15.75">
      <c r="A83" s="1467"/>
      <c r="B83" s="1329"/>
      <c r="C83" s="1470" t="s">
        <v>1700</v>
      </c>
      <c r="D83" s="1467"/>
      <c r="E83" s="1471" t="s">
        <v>1701</v>
      </c>
      <c r="F83" s="1770">
        <v>-2.1739130434782613E-3</v>
      </c>
      <c r="G83" s="1770"/>
      <c r="H83" s="1471" t="s">
        <v>1693</v>
      </c>
      <c r="I83" s="1770">
        <f>Mprop!I16</f>
        <v>2.1739130434782613E-3</v>
      </c>
      <c r="J83" s="1770"/>
    </row>
    <row r="84" spans="1:19" s="1356" customFormat="1" ht="15.75">
      <c r="A84" s="1467"/>
      <c r="B84" s="1329"/>
      <c r="C84" s="1470" t="s">
        <v>1702</v>
      </c>
      <c r="D84" s="1467"/>
      <c r="E84" s="1471" t="s">
        <v>1701</v>
      </c>
      <c r="F84" s="1770">
        <v>2.1739130434782613E-3</v>
      </c>
      <c r="G84" s="1770"/>
    </row>
    <row r="85" spans="1:19" s="1356" customFormat="1"/>
    <row r="86" spans="1:19" s="1356" customFormat="1" ht="15.75">
      <c r="A86" s="1467" t="s">
        <v>1703</v>
      </c>
      <c r="B86" s="1329" t="s">
        <v>1</v>
      </c>
      <c r="C86" s="1467" t="s">
        <v>1704</v>
      </c>
      <c r="D86" s="1467"/>
      <c r="E86" s="1467"/>
      <c r="F86" s="1467"/>
    </row>
    <row r="87" spans="1:19" s="1356" customFormat="1" ht="15.75">
      <c r="A87" s="1467"/>
      <c r="B87" s="1329"/>
      <c r="C87" s="1467"/>
      <c r="D87" s="1467"/>
      <c r="E87" s="1467"/>
      <c r="F87" s="1467"/>
      <c r="K87" s="320"/>
      <c r="L87" s="1"/>
      <c r="M87" s="1"/>
    </row>
    <row r="88" spans="1:19" s="1356" customFormat="1" ht="15.75">
      <c r="A88" s="1467" t="s">
        <v>1705</v>
      </c>
      <c r="B88" s="1329" t="s">
        <v>1</v>
      </c>
      <c r="C88" s="1329" t="s">
        <v>1706</v>
      </c>
      <c r="D88" s="1467"/>
      <c r="E88" s="1329"/>
      <c r="F88" s="1329"/>
      <c r="K88" s="1"/>
      <c r="L88" s="1"/>
      <c r="M88" s="320"/>
    </row>
    <row r="89" spans="1:19" s="1356" customFormat="1"/>
    <row r="90" spans="1:19" s="1356" customFormat="1" ht="15.75">
      <c r="A90" s="1467" t="s">
        <v>30</v>
      </c>
      <c r="B90" s="1329" t="s">
        <v>1</v>
      </c>
      <c r="C90" s="1468" t="s">
        <v>1707</v>
      </c>
      <c r="D90" s="1470"/>
      <c r="E90" s="1467"/>
      <c r="F90" s="1467"/>
      <c r="G90" s="1329"/>
      <c r="H90" s="1467" t="s">
        <v>1686</v>
      </c>
      <c r="J90" s="1329"/>
    </row>
    <row r="91" spans="1:19" s="1356" customFormat="1" ht="15.75">
      <c r="A91" s="1467"/>
      <c r="B91" s="1329"/>
      <c r="C91" s="1468" t="s">
        <v>1708</v>
      </c>
      <c r="D91" s="1470"/>
      <c r="E91" s="1467"/>
      <c r="F91" s="1467"/>
      <c r="G91" s="1329"/>
      <c r="H91" s="1467" t="s">
        <v>1688</v>
      </c>
      <c r="J91" s="1329"/>
      <c r="S91" s="1329"/>
    </row>
    <row r="92" spans="1:19" s="1356" customFormat="1" ht="15.75">
      <c r="A92" s="1467"/>
      <c r="B92" s="1329"/>
      <c r="C92" s="1467"/>
      <c r="D92" s="1467"/>
      <c r="E92" s="1467"/>
      <c r="F92" s="1467"/>
      <c r="G92" s="1467"/>
      <c r="H92" s="1329"/>
      <c r="I92" s="1329"/>
      <c r="J92" s="1329"/>
      <c r="S92" s="1329"/>
    </row>
    <row r="93" spans="1:19" s="1356" customFormat="1">
      <c r="A93" s="1329" t="s">
        <v>30</v>
      </c>
      <c r="B93" s="1329" t="s">
        <v>1</v>
      </c>
      <c r="C93" s="1474" t="s">
        <v>1709</v>
      </c>
      <c r="D93" s="1329"/>
      <c r="E93" s="1329"/>
      <c r="F93" s="1329"/>
      <c r="G93" s="1329"/>
      <c r="H93" s="1329"/>
      <c r="I93" s="1329"/>
      <c r="J93" s="1329"/>
      <c r="S93" s="1329"/>
    </row>
    <row r="94" spans="1:19" s="1356" customFormat="1">
      <c r="S94" s="1329"/>
    </row>
    <row r="95" spans="1:19" s="1356" customFormat="1" ht="15.75">
      <c r="A95" s="1467"/>
      <c r="B95" s="1329"/>
      <c r="C95" s="1471" t="s">
        <v>1710</v>
      </c>
      <c r="D95" s="1475" t="s">
        <v>1711</v>
      </c>
      <c r="E95" s="1467"/>
      <c r="F95" s="1329"/>
      <c r="G95" s="1467" t="s">
        <v>1686</v>
      </c>
      <c r="I95" s="1329"/>
      <c r="S95" s="1329"/>
    </row>
    <row r="96" spans="1:19" s="1356" customFormat="1" ht="15.75">
      <c r="A96" s="1467"/>
      <c r="B96" s="1329"/>
      <c r="C96" s="1467"/>
      <c r="D96" s="1771" t="s">
        <v>409</v>
      </c>
      <c r="E96" s="1771"/>
      <c r="F96" s="1329"/>
      <c r="G96" s="1467"/>
      <c r="I96" s="1329"/>
      <c r="S96" s="1329"/>
    </row>
    <row r="97" spans="1:25" s="1356" customFormat="1" ht="18.75">
      <c r="A97" s="1467" t="s">
        <v>1712</v>
      </c>
      <c r="B97" s="1329" t="s">
        <v>1</v>
      </c>
      <c r="C97" s="1467"/>
      <c r="D97" s="1467"/>
      <c r="E97" s="1467"/>
      <c r="F97" s="1329"/>
      <c r="G97" s="1467"/>
      <c r="I97" s="1329"/>
      <c r="S97" s="1329"/>
    </row>
    <row r="98" spans="1:25" s="1356" customFormat="1" ht="15.75">
      <c r="A98" s="1467"/>
      <c r="B98" s="1329"/>
      <c r="C98" s="1471" t="s">
        <v>1713</v>
      </c>
      <c r="D98" s="1526" t="s">
        <v>1714</v>
      </c>
      <c r="E98" s="1475" t="s">
        <v>1715</v>
      </c>
      <c r="F98" s="1329"/>
      <c r="G98" s="1467" t="s">
        <v>1688</v>
      </c>
      <c r="I98" s="1329"/>
      <c r="S98" s="1329"/>
    </row>
    <row r="99" spans="1:25" s="1356" customFormat="1" ht="15.75">
      <c r="A99" s="1467"/>
      <c r="B99" s="1329"/>
      <c r="C99" s="1467"/>
      <c r="D99" s="1470"/>
      <c r="E99" s="1467" t="s">
        <v>1716</v>
      </c>
      <c r="F99" s="1467"/>
      <c r="G99" s="1329"/>
      <c r="H99" s="1329"/>
      <c r="I99" s="1329"/>
      <c r="S99" s="1329"/>
    </row>
    <row r="101" spans="1:25">
      <c r="A101" s="533" t="s">
        <v>1948</v>
      </c>
      <c r="B101" s="82"/>
      <c r="C101" s="82"/>
      <c r="D101" s="82"/>
      <c r="E101" s="82"/>
      <c r="F101" s="82"/>
      <c r="G101" s="82"/>
      <c r="H101" s="82"/>
      <c r="Y101" s="9"/>
    </row>
    <row r="102" spans="1:25" ht="18">
      <c r="A102" s="349" t="s">
        <v>1641</v>
      </c>
      <c r="B102" s="349" t="s">
        <v>1</v>
      </c>
      <c r="C102" s="1227" t="s">
        <v>1642</v>
      </c>
      <c r="D102" s="1227"/>
      <c r="E102" s="26"/>
      <c r="F102" s="26"/>
      <c r="G102" s="26"/>
      <c r="I102" s="11"/>
      <c r="J102" s="11"/>
      <c r="K102" s="26"/>
      <c r="L102" s="26"/>
      <c r="M102" s="26"/>
      <c r="S102" s="1228" t="s">
        <v>1643</v>
      </c>
      <c r="T102" s="1135" t="s">
        <v>62</v>
      </c>
    </row>
    <row r="103" spans="1:25">
      <c r="A103" s="26"/>
      <c r="B103" s="26" t="s">
        <v>1</v>
      </c>
      <c r="C103" s="26">
        <f>(J6*I29+O26*I30)/10^4</f>
        <v>13133.694010857791</v>
      </c>
      <c r="D103" s="26" t="s">
        <v>34</v>
      </c>
      <c r="E103" s="26"/>
      <c r="F103" s="26"/>
      <c r="G103" s="26"/>
      <c r="S103" s="1524">
        <v>0</v>
      </c>
      <c r="T103" s="1524">
        <v>1</v>
      </c>
    </row>
    <row r="104" spans="1:25">
      <c r="A104" s="26"/>
      <c r="B104" s="26"/>
      <c r="C104" s="26"/>
      <c r="D104" s="26"/>
      <c r="E104" s="26"/>
      <c r="F104" s="26"/>
      <c r="G104" s="26"/>
      <c r="S104" s="1524">
        <v>0.1</v>
      </c>
      <c r="T104" s="1524">
        <v>1</v>
      </c>
    </row>
    <row r="105" spans="1:25" ht="16.5">
      <c r="A105" s="171"/>
      <c r="B105" s="171"/>
      <c r="C105" s="193"/>
      <c r="D105" s="1229" t="s">
        <v>62</v>
      </c>
      <c r="E105" s="193"/>
      <c r="F105" s="1229" t="s">
        <v>62</v>
      </c>
      <c r="G105" s="193"/>
      <c r="H105" s="193"/>
      <c r="I105" s="193"/>
      <c r="J105" s="193"/>
      <c r="K105" s="193"/>
      <c r="S105" s="1524">
        <v>0.7</v>
      </c>
      <c r="T105" s="1524">
        <v>1.5</v>
      </c>
    </row>
    <row r="106" spans="1:25" ht="18">
      <c r="A106" s="1512" t="s">
        <v>420</v>
      </c>
      <c r="B106" s="171"/>
      <c r="C106" s="1513" t="s">
        <v>1645</v>
      </c>
      <c r="D106" s="1525" t="s">
        <v>54</v>
      </c>
      <c r="E106" s="1523" t="s">
        <v>1646</v>
      </c>
      <c r="F106" s="1772" t="s">
        <v>1</v>
      </c>
      <c r="G106" s="1773">
        <f>MAX(O115:O163)</f>
        <v>0.81313269536004784</v>
      </c>
      <c r="H106" s="1772" t="s">
        <v>355</v>
      </c>
      <c r="I106" s="1772">
        <v>1</v>
      </c>
      <c r="J106" s="1772" t="str">
        <f>IF(G106&lt;I106,"OK","REVISE REINFORCEMENT")</f>
        <v>OK</v>
      </c>
      <c r="K106" s="1514"/>
      <c r="S106" s="1524">
        <v>1</v>
      </c>
      <c r="T106" s="1524">
        <v>2</v>
      </c>
    </row>
    <row r="107" spans="1:25" ht="18">
      <c r="A107" s="171"/>
      <c r="B107" s="171"/>
      <c r="C107" s="1511" t="s">
        <v>1645</v>
      </c>
      <c r="D107" s="1525"/>
      <c r="E107" s="1231" t="s">
        <v>1648</v>
      </c>
      <c r="F107" s="1772"/>
      <c r="G107" s="1772"/>
      <c r="H107" s="1772"/>
      <c r="I107" s="1772"/>
      <c r="J107" s="1772"/>
      <c r="K107" s="1514"/>
      <c r="S107" s="1524"/>
      <c r="T107" s="1524"/>
    </row>
    <row r="108" spans="1:25">
      <c r="A108" s="171"/>
      <c r="B108" s="171"/>
      <c r="C108" s="193"/>
      <c r="D108" s="193"/>
      <c r="E108" s="193"/>
      <c r="F108" s="193"/>
      <c r="G108" s="193"/>
      <c r="H108" s="193"/>
      <c r="I108" s="193"/>
      <c r="J108" s="193"/>
      <c r="K108" s="193"/>
    </row>
    <row r="110" spans="1:25" ht="15" customHeight="1">
      <c r="A110" s="62" t="s">
        <v>1537</v>
      </c>
    </row>
    <row r="111" spans="1:25">
      <c r="A111" s="249" t="s">
        <v>213</v>
      </c>
      <c r="B111" s="229"/>
      <c r="C111" s="229"/>
      <c r="D111" s="229"/>
      <c r="E111" s="230"/>
      <c r="F111" s="229"/>
      <c r="G111" s="230"/>
      <c r="H111" s="230"/>
      <c r="I111" s="230"/>
      <c r="J111" s="231"/>
      <c r="K111" s="1763" t="s">
        <v>1652</v>
      </c>
      <c r="L111" s="1764"/>
      <c r="M111" s="1764"/>
      <c r="N111" s="1764"/>
      <c r="O111" s="1764"/>
      <c r="P111" s="1765"/>
    </row>
    <row r="112" spans="1:25">
      <c r="A112" s="228" t="s">
        <v>73</v>
      </c>
      <c r="B112" s="228" t="s">
        <v>74</v>
      </c>
      <c r="C112" s="229"/>
      <c r="D112" s="229"/>
      <c r="E112" s="232"/>
      <c r="F112" s="1641" t="s">
        <v>1481</v>
      </c>
      <c r="G112" s="1642"/>
      <c r="H112" s="1642"/>
      <c r="I112" s="1642"/>
      <c r="J112" s="1643"/>
      <c r="K112" s="1766" t="s">
        <v>1653</v>
      </c>
      <c r="L112" s="1767" t="s">
        <v>62</v>
      </c>
      <c r="M112" s="1768" t="s">
        <v>1654</v>
      </c>
      <c r="N112" s="1768" t="s">
        <v>1655</v>
      </c>
      <c r="O112" s="1724" t="s">
        <v>1656</v>
      </c>
      <c r="P112" s="1724"/>
    </row>
    <row r="113" spans="1:24" ht="36" customHeight="1">
      <c r="A113" s="237"/>
      <c r="B113" s="237"/>
      <c r="C113" s="234"/>
      <c r="D113" s="234"/>
      <c r="E113" s="238"/>
      <c r="F113" s="1056" t="s">
        <v>598</v>
      </c>
      <c r="G113" s="247" t="s">
        <v>234</v>
      </c>
      <c r="H113" s="248" t="s">
        <v>235</v>
      </c>
      <c r="I113" s="247" t="s">
        <v>236</v>
      </c>
      <c r="J113" s="1056" t="s">
        <v>237</v>
      </c>
      <c r="K113" s="1766"/>
      <c r="L113" s="1767"/>
      <c r="M113" s="1769"/>
      <c r="N113" s="1769"/>
      <c r="O113" s="1724"/>
      <c r="P113" s="1724"/>
    </row>
    <row r="114" spans="1:24">
      <c r="A114" s="411"/>
      <c r="B114" s="245"/>
      <c r="C114" s="239"/>
      <c r="D114" s="239"/>
      <c r="E114" s="246"/>
      <c r="F114" s="250" t="s">
        <v>34</v>
      </c>
      <c r="G114" s="250" t="s">
        <v>34</v>
      </c>
      <c r="H114" s="251" t="s">
        <v>34</v>
      </c>
      <c r="I114" s="250" t="s">
        <v>77</v>
      </c>
      <c r="J114" s="1078" t="s">
        <v>77</v>
      </c>
      <c r="K114" s="223"/>
      <c r="L114" s="1233"/>
      <c r="M114" s="1233" t="s">
        <v>77</v>
      </c>
      <c r="N114" s="1233" t="s">
        <v>77</v>
      </c>
      <c r="O114" s="1412"/>
      <c r="P114" s="1413" t="s">
        <v>125</v>
      </c>
    </row>
    <row r="115" spans="1:24" ht="18">
      <c r="A115" s="112" t="str">
        <f>U_3.4_SH_SUM!A29</f>
        <v>LC-1</v>
      </c>
      <c r="B115" s="112" t="str">
        <f>U_3.4_SH_SUM!B29</f>
        <v>NS LWL Span dislodge case</v>
      </c>
      <c r="C115" s="11"/>
      <c r="D115" s="11"/>
      <c r="E115" s="191"/>
      <c r="F115" s="159">
        <f>U_3.4_SH_SUM!F29</f>
        <v>635.21210219751424</v>
      </c>
      <c r="G115" s="159">
        <f>U_3.4_SH_SUM!G29</f>
        <v>21.9495</v>
      </c>
      <c r="H115" s="159">
        <f>U_3.4_SH_SUM!H29</f>
        <v>0</v>
      </c>
      <c r="I115" s="159">
        <f>U_3.4_SH_SUM!I29</f>
        <v>337.43063500000005</v>
      </c>
      <c r="J115" s="159">
        <f>U_3.4_SH_SUM!J29</f>
        <v>0</v>
      </c>
      <c r="K115" s="159">
        <f>F115/$C$103</f>
        <v>4.8365075482372011E-2</v>
      </c>
      <c r="L115" s="950">
        <f>data_polation(K115,$S$103:$T$107,2)</f>
        <v>1</v>
      </c>
      <c r="M115" s="159">
        <f>data_polation(F115,$B$53:$C$63,2)</f>
        <v>944.26088112501884</v>
      </c>
      <c r="N115" s="159">
        <f>data_polation(F115,$B$36:$C$46,2)</f>
        <v>4909.8641984964097</v>
      </c>
      <c r="O115" s="480">
        <f>(I115/M115)^L115+(J115/N115)^L115</f>
        <v>0.35734895063954758</v>
      </c>
      <c r="P115" s="1038" t="str">
        <f>IF(O115&lt;1,"OK","REVISE")</f>
        <v>OK</v>
      </c>
      <c r="S115" s="23" t="s">
        <v>1874</v>
      </c>
      <c r="T115" s="24"/>
      <c r="U115" s="24"/>
      <c r="V115" s="24"/>
      <c r="W115" s="24"/>
      <c r="X115" s="21"/>
    </row>
    <row r="116" spans="1:24" ht="15.75" thickBot="1">
      <c r="A116" s="112" t="str">
        <f>U_3.4_SH_SUM!A30</f>
        <v>LC-2</v>
      </c>
      <c r="B116" s="112" t="str">
        <f>U_3.4_SH_SUM!B30</f>
        <v>NS LWL No Live load</v>
      </c>
      <c r="C116" s="11"/>
      <c r="D116" s="11"/>
      <c r="E116" s="191"/>
      <c r="F116" s="159">
        <f>U_3.4_SH_SUM!F30</f>
        <v>1030.3031021975144</v>
      </c>
      <c r="G116" s="159">
        <f>U_3.4_SH_SUM!G30</f>
        <v>8.7798000000000016</v>
      </c>
      <c r="H116" s="159">
        <f>U_3.4_SH_SUM!H30</f>
        <v>0</v>
      </c>
      <c r="I116" s="159">
        <f>U_3.4_SH_SUM!I30</f>
        <v>62.836504000000012</v>
      </c>
      <c r="J116" s="159">
        <f>U_3.4_SH_SUM!J30</f>
        <v>0</v>
      </c>
      <c r="K116" s="159">
        <f>F116/$C$103</f>
        <v>7.8447320407019516E-2</v>
      </c>
      <c r="L116" s="950">
        <f>data_polation(K116,$S$103:$T$107,2)</f>
        <v>1</v>
      </c>
      <c r="M116" s="159">
        <f>data_polation(F116,$B$53:$C$63,2)</f>
        <v>1144.870192896745</v>
      </c>
      <c r="N116" s="159">
        <f t="shared" ref="N116:N163" si="7">data_polation(F116,$B$36:$C$46,2)</f>
        <v>5952.9705024177847</v>
      </c>
      <c r="O116" s="480">
        <f>(I116/M116)^L116+(J116/N116)^L116</f>
        <v>5.4885265063117236E-2</v>
      </c>
      <c r="P116" s="1038" t="str">
        <f t="shared" ref="P116:P163" si="8">IF(O116&lt;1,"OK","REVISE")</f>
        <v>OK</v>
      </c>
      <c r="S116" s="25" t="s">
        <v>598</v>
      </c>
      <c r="T116" s="26" t="s">
        <v>1</v>
      </c>
      <c r="U116" s="38">
        <f>INDEX(F115:F163,W117,1)</f>
        <v>999.72203780548512</v>
      </c>
      <c r="V116" s="26" t="s">
        <v>34</v>
      </c>
      <c r="W116" s="26"/>
      <c r="X116" s="27"/>
    </row>
    <row r="117" spans="1:24" ht="18.75" thickBot="1">
      <c r="A117" s="112" t="str">
        <f>U_3.4_SH_SUM!A31</f>
        <v>LC-3</v>
      </c>
      <c r="B117" s="112" t="str">
        <f>U_3.4_SH_SUM!B31</f>
        <v>NS LWL With LL max reaction case</v>
      </c>
      <c r="C117" s="11"/>
      <c r="D117" s="11"/>
      <c r="E117" s="191"/>
      <c r="F117" s="159">
        <f>U_3.4_SH_SUM!F31</f>
        <v>1240.8216736260858</v>
      </c>
      <c r="G117" s="159">
        <f>U_3.4_SH_SUM!G31</f>
        <v>48.076916571428576</v>
      </c>
      <c r="H117" s="159">
        <f>U_3.4_SH_SUM!H31</f>
        <v>0</v>
      </c>
      <c r="I117" s="159">
        <f>U_3.4_SH_SUM!I31</f>
        <v>325.00050509714293</v>
      </c>
      <c r="J117" s="159">
        <f>U_3.4_SH_SUM!J31</f>
        <v>-32.649344208494199</v>
      </c>
      <c r="K117" s="159">
        <f>F117/$C$103</f>
        <v>9.4476213059348182E-2</v>
      </c>
      <c r="L117" s="950">
        <f>data_polation(K117,$S$103:$T$107,2)</f>
        <v>1</v>
      </c>
      <c r="M117" s="159">
        <f>data_polation(F117,$B$53:$C$63,2)</f>
        <v>1251.7619867605704</v>
      </c>
      <c r="N117" s="159">
        <f t="shared" si="7"/>
        <v>6508.774732201975</v>
      </c>
      <c r="O117" s="480">
        <f>(I117/M117)^L117+(J117/N117)^L117</f>
        <v>0.25461822177770371</v>
      </c>
      <c r="P117" s="1038" t="str">
        <f t="shared" si="8"/>
        <v>OK</v>
      </c>
      <c r="S117" s="25" t="s">
        <v>1872</v>
      </c>
      <c r="T117" s="26" t="s">
        <v>1</v>
      </c>
      <c r="U117" s="172">
        <f>MAX(G115:G163)</f>
        <v>152.79737814216605</v>
      </c>
      <c r="V117" s="26" t="s">
        <v>34</v>
      </c>
      <c r="W117" s="1519">
        <f>MATCH(U117,G115:G163,FALSE)</f>
        <v>36</v>
      </c>
      <c r="X117" s="27"/>
    </row>
    <row r="118" spans="1:24" ht="18">
      <c r="A118" s="112" t="str">
        <f>U_3.4_SH_SUM!A32</f>
        <v>LC-4</v>
      </c>
      <c r="B118" s="112" t="str">
        <f>U_3.4_SH_SUM!B32</f>
        <v>NS LWL With LL max moment case</v>
      </c>
      <c r="C118" s="11"/>
      <c r="D118" s="11"/>
      <c r="E118" s="191"/>
      <c r="F118" s="159">
        <f>U_3.4_SH_SUM!F32</f>
        <v>1222.1523307689431</v>
      </c>
      <c r="G118" s="159">
        <f>U_3.4_SH_SUM!G32</f>
        <v>44.997338571428571</v>
      </c>
      <c r="H118" s="159">
        <f>U_3.4_SH_SUM!H32</f>
        <v>0</v>
      </c>
      <c r="I118" s="159">
        <f>U_3.4_SH_SUM!I32</f>
        <v>393.45076822857152</v>
      </c>
      <c r="J118" s="159">
        <f>U_3.4_SH_SUM!J32</f>
        <v>-29.753914142857134</v>
      </c>
      <c r="K118" s="159">
        <f>F118/$C$103</f>
        <v>9.3054728529427769E-2</v>
      </c>
      <c r="L118" s="950">
        <f>data_polation(K118,$S$103:$T$107,2)</f>
        <v>1</v>
      </c>
      <c r="M118" s="159">
        <f>data_polation(F118,$B$53:$C$63,2)</f>
        <v>1242.2825401981283</v>
      </c>
      <c r="N118" s="159">
        <f t="shared" si="7"/>
        <v>6459.4845453226098</v>
      </c>
      <c r="O118" s="480">
        <f>(I118/M118)^L118+(J118/N118)^L118</f>
        <v>0.3121097724355209</v>
      </c>
      <c r="P118" s="1038" t="str">
        <f t="shared" si="8"/>
        <v>OK</v>
      </c>
      <c r="S118" s="25" t="s">
        <v>212</v>
      </c>
      <c r="T118" s="26" t="s">
        <v>1</v>
      </c>
      <c r="U118" s="26">
        <f>INDEX(H115:H163,W117,1)</f>
        <v>43.506164930877603</v>
      </c>
      <c r="V118" s="26" t="s">
        <v>34</v>
      </c>
      <c r="W118" s="26"/>
      <c r="X118" s="27"/>
    </row>
    <row r="119" spans="1:24" ht="18">
      <c r="A119" s="112"/>
      <c r="B119" s="112"/>
      <c r="F119" s="159"/>
      <c r="G119" s="159"/>
      <c r="H119" s="159"/>
      <c r="I119" s="159"/>
      <c r="J119" s="159"/>
      <c r="K119" s="159"/>
      <c r="L119" s="950"/>
      <c r="M119" s="159"/>
      <c r="N119" s="159"/>
      <c r="O119" s="480"/>
      <c r="P119" s="1038"/>
      <c r="S119" s="25" t="s">
        <v>80</v>
      </c>
      <c r="T119" s="26" t="s">
        <v>1</v>
      </c>
      <c r="U119" s="26">
        <f>INDEX(I115:I163,W117,1)</f>
        <v>866.63645850964929</v>
      </c>
      <c r="V119" s="26" t="s">
        <v>77</v>
      </c>
      <c r="W119" s="26"/>
      <c r="X119" s="27"/>
    </row>
    <row r="120" spans="1:24" ht="18">
      <c r="A120" s="112" t="str">
        <f>U_3.4_SH_SUM!A34</f>
        <v>LC-5</v>
      </c>
      <c r="B120" s="112" t="str">
        <f>U_3.4_SH_SUM!B34</f>
        <v>LC-1 + Seismic Sx=1,Sz=0.3,Sy=-0.3 (50% seismic)</v>
      </c>
      <c r="C120" s="11"/>
      <c r="D120" s="11"/>
      <c r="E120" s="191"/>
      <c r="F120" s="159">
        <f>U_3.4_SH_SUM!F34</f>
        <v>626.9666075015474</v>
      </c>
      <c r="G120" s="159">
        <f>U_3.4_SH_SUM!G34</f>
        <v>78.541623479834271</v>
      </c>
      <c r="H120" s="159">
        <f>U_3.4_SH_SUM!H34</f>
        <v>12.368242043950282</v>
      </c>
      <c r="I120" s="159">
        <f>U_3.4_SH_SUM!I34</f>
        <v>660.1752942333602</v>
      </c>
      <c r="J120" s="159">
        <f>U_3.4_SH_SUM!J34</f>
        <v>74.467904735437429</v>
      </c>
      <c r="K120" s="159">
        <f>F120/$C$103</f>
        <v>4.7737263178449729E-2</v>
      </c>
      <c r="L120" s="950">
        <f>data_polation(K120,$S$103:$T$107,2)</f>
        <v>1</v>
      </c>
      <c r="M120" s="159">
        <f t="shared" ref="M120:M163" si="9">data_polation(F120,$B$53:$C$63,2)</f>
        <v>940.07419244778907</v>
      </c>
      <c r="N120" s="159">
        <f t="shared" si="7"/>
        <v>4888.094713754127</v>
      </c>
      <c r="O120" s="480">
        <f>(I120/M120)^L120+(J120/N120)^L120</f>
        <v>0.71749326102783728</v>
      </c>
      <c r="P120" s="1038" t="str">
        <f t="shared" si="8"/>
        <v>OK</v>
      </c>
      <c r="S120" s="25" t="s">
        <v>81</v>
      </c>
      <c r="T120" s="26" t="s">
        <v>1</v>
      </c>
      <c r="U120" s="26">
        <f>INDEX(J115:J163,W117,1)</f>
        <v>268.66209226418351</v>
      </c>
      <c r="V120" s="26" t="s">
        <v>77</v>
      </c>
      <c r="W120" s="26"/>
      <c r="X120" s="27"/>
    </row>
    <row r="121" spans="1:24">
      <c r="A121" s="112" t="str">
        <f>U_3.4_SH_SUM!A35</f>
        <v>LC-6</v>
      </c>
      <c r="B121" s="112" t="str">
        <f>U_3.4_SH_SUM!B35</f>
        <v>LC-1 + Seismic Sx=0.3,Sz=1,Sy=-0.3 (50% seismic)</v>
      </c>
      <c r="C121" s="11"/>
      <c r="D121" s="11"/>
      <c r="E121" s="191"/>
      <c r="F121" s="159">
        <f>U_3.4_SH_SUM!F35</f>
        <v>626.9666075015474</v>
      </c>
      <c r="G121" s="159">
        <f>U_3.4_SH_SUM!G35</f>
        <v>31.244812043950279</v>
      </c>
      <c r="H121" s="159">
        <f>U_3.4_SH_SUM!H35</f>
        <v>41.227473479834273</v>
      </c>
      <c r="I121" s="159">
        <f>U_3.4_SH_SUM!I35</f>
        <v>382.70619167000802</v>
      </c>
      <c r="J121" s="159">
        <f>U_3.4_SH_SUM!J35</f>
        <v>248.2263491181248</v>
      </c>
      <c r="K121" s="159">
        <f>F121/$C$103</f>
        <v>4.7737263178449729E-2</v>
      </c>
      <c r="L121" s="950">
        <f>data_polation(K121,$S$103:$T$107,2)</f>
        <v>1</v>
      </c>
      <c r="M121" s="159">
        <f t="shared" si="9"/>
        <v>940.07419244778907</v>
      </c>
      <c r="N121" s="159">
        <f t="shared" si="7"/>
        <v>4888.094713754127</v>
      </c>
      <c r="O121" s="480">
        <f>(I121/M121)^L121+(J121/N121)^L121</f>
        <v>0.45788393530541832</v>
      </c>
      <c r="P121" s="1038" t="str">
        <f t="shared" si="8"/>
        <v>OK</v>
      </c>
      <c r="S121" s="28"/>
      <c r="T121" s="15"/>
      <c r="U121" s="15"/>
      <c r="V121" s="15"/>
      <c r="W121" s="15"/>
      <c r="X121" s="22"/>
    </row>
    <row r="122" spans="1:24">
      <c r="A122" s="112" t="str">
        <f>U_3.4_SH_SUM!A36</f>
        <v>LC-7</v>
      </c>
      <c r="B122" s="112" t="str">
        <f>U_3.4_SH_SUM!B36</f>
        <v>LC-1 + Seismic Sx=1,Sz=0.3,Sy=0.3 (50% seismic)</v>
      </c>
      <c r="C122" s="11"/>
      <c r="D122" s="11"/>
      <c r="E122" s="191"/>
      <c r="F122" s="159">
        <f>U_3.4_SH_SUM!F36</f>
        <v>643.45759689348108</v>
      </c>
      <c r="G122" s="159">
        <f>U_3.4_SH_SUM!G36</f>
        <v>78.541623479834271</v>
      </c>
      <c r="H122" s="159">
        <f>U_3.4_SH_SUM!H36</f>
        <v>12.368242043950282</v>
      </c>
      <c r="I122" s="159">
        <f>U_3.4_SH_SUM!I36</f>
        <v>665.22208023336032</v>
      </c>
      <c r="J122" s="159">
        <f>U_3.4_SH_SUM!J36</f>
        <v>74.467904735437429</v>
      </c>
      <c r="K122" s="159">
        <f>F122/$C$103</f>
        <v>4.8992887786294285E-2</v>
      </c>
      <c r="L122" s="950">
        <f>data_polation(K122,$S$103:$T$107,2)</f>
        <v>1</v>
      </c>
      <c r="M122" s="159">
        <f t="shared" si="9"/>
        <v>948.44756980224849</v>
      </c>
      <c r="N122" s="159">
        <f t="shared" si="7"/>
        <v>4931.6336832386924</v>
      </c>
      <c r="O122" s="480">
        <f>(I122/M122)^L122+(J122/N122)^L122</f>
        <v>0.71647996745795184</v>
      </c>
      <c r="P122" s="1038" t="str">
        <f t="shared" si="8"/>
        <v>OK</v>
      </c>
      <c r="S122" s="25"/>
      <c r="T122" s="26"/>
      <c r="U122" s="26"/>
      <c r="V122" s="26"/>
      <c r="W122" s="26"/>
      <c r="X122" s="27"/>
    </row>
    <row r="123" spans="1:24" ht="18">
      <c r="A123" s="112" t="str">
        <f>U_3.4_SH_SUM!A37</f>
        <v>LC-8</v>
      </c>
      <c r="B123" s="112" t="str">
        <f>U_3.4_SH_SUM!B37</f>
        <v>LC-1 + Seismic Sx=0.3,Sz=1,Sy=0.3 (50% seismic)</v>
      </c>
      <c r="C123" s="11"/>
      <c r="D123" s="11"/>
      <c r="E123" s="191"/>
      <c r="F123" s="159">
        <f>U_3.4_SH_SUM!F37</f>
        <v>643.45759689348108</v>
      </c>
      <c r="G123" s="159">
        <f>U_3.4_SH_SUM!G37</f>
        <v>31.244812043950279</v>
      </c>
      <c r="H123" s="159">
        <f>U_3.4_SH_SUM!H37</f>
        <v>41.227473479834273</v>
      </c>
      <c r="I123" s="159">
        <f>U_3.4_SH_SUM!I37</f>
        <v>387.75297767000802</v>
      </c>
      <c r="J123" s="159">
        <f>U_3.4_SH_SUM!J37</f>
        <v>248.2263491181248</v>
      </c>
      <c r="K123" s="159">
        <f>F123/$C$103</f>
        <v>4.8992887786294285E-2</v>
      </c>
      <c r="L123" s="950">
        <f>data_polation(K123,$S$103:$T$107,2)</f>
        <v>1</v>
      </c>
      <c r="M123" s="159">
        <f t="shared" si="9"/>
        <v>948.44756980224849</v>
      </c>
      <c r="N123" s="159">
        <f t="shared" si="7"/>
        <v>4931.6336832386924</v>
      </c>
      <c r="O123" s="480">
        <f>(I123/M123)^L123+(J123/N123)^L123</f>
        <v>0.45916260485321514</v>
      </c>
      <c r="P123" s="1038" t="str">
        <f t="shared" si="8"/>
        <v>OK</v>
      </c>
      <c r="S123" s="25" t="s">
        <v>1873</v>
      </c>
      <c r="T123" s="26"/>
      <c r="U123" s="26"/>
      <c r="V123" s="26"/>
      <c r="W123" s="26"/>
      <c r="X123" s="27"/>
    </row>
    <row r="124" spans="1:24">
      <c r="A124" s="112"/>
      <c r="B124" s="112"/>
      <c r="F124" s="159"/>
      <c r="G124" s="159"/>
      <c r="H124" s="159"/>
      <c r="I124" s="159"/>
      <c r="J124" s="159"/>
      <c r="K124" s="159"/>
      <c r="L124" s="950"/>
      <c r="M124" s="159"/>
      <c r="N124" s="159"/>
      <c r="O124" s="480"/>
      <c r="P124" s="1038"/>
      <c r="S124" s="25" t="s">
        <v>598</v>
      </c>
      <c r="T124" s="26" t="s">
        <v>1</v>
      </c>
      <c r="U124" s="38">
        <f>INDEX(F115:F163,W126,1)</f>
        <v>1026.7806915197709</v>
      </c>
      <c r="V124" s="26" t="s">
        <v>34</v>
      </c>
      <c r="W124" s="26"/>
      <c r="X124" s="27"/>
    </row>
    <row r="125" spans="1:24" ht="18.75" thickBot="1">
      <c r="A125" s="112" t="str">
        <f>U_3.4_SH_SUM!A39</f>
        <v>LC-9</v>
      </c>
      <c r="B125" s="112" t="str">
        <f>U_3.4_SH_SUM!B39</f>
        <v>LC-2 + Seismic Sx=1,Sz=0.3,Sy=-0.3</v>
      </c>
      <c r="C125" s="11"/>
      <c r="D125" s="11"/>
      <c r="E125" s="191"/>
      <c r="F125" s="159">
        <f>U_3.4_SH_SUM!F39</f>
        <v>1003.2763528055807</v>
      </c>
      <c r="G125" s="159">
        <f>U_3.4_SH_SUM!G39</f>
        <v>143.03556695966853</v>
      </c>
      <c r="H125" s="159">
        <f>U_3.4_SH_SUM!H39</f>
        <v>40.540124087900558</v>
      </c>
      <c r="I125" s="159">
        <f>U_3.4_SH_SUM!I39</f>
        <v>849.91605806672055</v>
      </c>
      <c r="J125" s="159">
        <f>U_3.4_SH_SUM!J39</f>
        <v>264.85613400173355</v>
      </c>
      <c r="K125" s="159">
        <f>F125/$C$103</f>
        <v>7.6389502601184364E-2</v>
      </c>
      <c r="L125" s="950">
        <f>data_polation(K125,$S$103:$T$107,2)</f>
        <v>1</v>
      </c>
      <c r="M125" s="159">
        <f t="shared" si="9"/>
        <v>1131.1472338950398</v>
      </c>
      <c r="N125" s="159">
        <f t="shared" si="7"/>
        <v>5881.615364828649</v>
      </c>
      <c r="O125" s="480">
        <f>(I125/M125)^L125+(J125/N125)^L125</f>
        <v>0.79640645896363615</v>
      </c>
      <c r="P125" s="1038" t="str">
        <f t="shared" si="8"/>
        <v>OK</v>
      </c>
      <c r="S125" s="25" t="s">
        <v>1872</v>
      </c>
      <c r="T125" s="26" t="s">
        <v>1</v>
      </c>
      <c r="U125" s="38">
        <f>INDEX(G115:G163,W126,1)</f>
        <v>51.132785324228578</v>
      </c>
      <c r="V125" s="26" t="s">
        <v>34</v>
      </c>
      <c r="W125" s="26"/>
      <c r="X125" s="27"/>
    </row>
    <row r="126" spans="1:24" ht="18.75" thickBot="1">
      <c r="A126" s="112" t="str">
        <f>U_3.4_SH_SUM!A40</f>
        <v>LC-10</v>
      </c>
      <c r="B126" s="112" t="str">
        <f>U_3.4_SH_SUM!B40</f>
        <v>LC-2 + Seismic Sx=0.3,Sz=1,Sy=-0.3</v>
      </c>
      <c r="C126" s="11"/>
      <c r="D126" s="11"/>
      <c r="E126" s="191"/>
      <c r="F126" s="159">
        <f>U_3.4_SH_SUM!F40</f>
        <v>1003.2763528055807</v>
      </c>
      <c r="G126" s="159">
        <f>U_3.4_SH_SUM!G40</f>
        <v>48.441944087900559</v>
      </c>
      <c r="H126" s="159">
        <f>U_3.4_SH_SUM!H40</f>
        <v>135.13374695966854</v>
      </c>
      <c r="I126" s="159">
        <f>U_3.4_SH_SUM!I40</f>
        <v>294.97785294001619</v>
      </c>
      <c r="J126" s="159">
        <f>U_3.4_SH_SUM!J40</f>
        <v>882.85378000577862</v>
      </c>
      <c r="K126" s="159">
        <f>F126/$C$103</f>
        <v>7.6389502601184364E-2</v>
      </c>
      <c r="L126" s="950">
        <f>data_polation(K126,$S$103:$T$107,2)</f>
        <v>1</v>
      </c>
      <c r="M126" s="159">
        <f t="shared" si="9"/>
        <v>1131.1472338950398</v>
      </c>
      <c r="N126" s="159">
        <f t="shared" si="7"/>
        <v>5881.615364828649</v>
      </c>
      <c r="O126" s="480">
        <f>(I126/M126)^L126+(J126/N126)^L126</f>
        <v>0.41088155679499783</v>
      </c>
      <c r="P126" s="1038" t="str">
        <f t="shared" si="8"/>
        <v>OK</v>
      </c>
      <c r="S126" s="25" t="s">
        <v>212</v>
      </c>
      <c r="T126" s="26" t="s">
        <v>1</v>
      </c>
      <c r="U126" s="172">
        <f>MAX(H115:H163)</f>
        <v>148.27440346310081</v>
      </c>
      <c r="V126" s="26" t="s">
        <v>34</v>
      </c>
      <c r="W126" s="1519">
        <f>MATCH(U126,H115:H163,FALSE)</f>
        <v>42</v>
      </c>
      <c r="X126" s="27"/>
    </row>
    <row r="127" spans="1:24" ht="18">
      <c r="A127" s="112" t="str">
        <f>U_3.4_SH_SUM!A41</f>
        <v>LC-11</v>
      </c>
      <c r="B127" s="112" t="str">
        <f>U_3.4_SH_SUM!B41</f>
        <v>LC-2 + Seismic Sx=1,Sz=0.3,Sy=0.3</v>
      </c>
      <c r="C127" s="11"/>
      <c r="D127" s="11"/>
      <c r="E127" s="191"/>
      <c r="F127" s="159">
        <f>U_3.4_SH_SUM!F41</f>
        <v>1057.329851589448</v>
      </c>
      <c r="G127" s="159">
        <f>U_3.4_SH_SUM!G41</f>
        <v>143.03556695966853</v>
      </c>
      <c r="H127" s="159">
        <f>U_3.4_SH_SUM!H41</f>
        <v>40.540124087900558</v>
      </c>
      <c r="I127" s="159">
        <f>U_3.4_SH_SUM!I41</f>
        <v>849.91605806672055</v>
      </c>
      <c r="J127" s="159">
        <f>U_3.4_SH_SUM!J41</f>
        <v>264.85613400173355</v>
      </c>
      <c r="K127" s="159">
        <f>F127/$C$103</f>
        <v>8.0505138212854668E-2</v>
      </c>
      <c r="L127" s="950">
        <f>data_polation(K127,$S$103:$T$107,2)</f>
        <v>1</v>
      </c>
      <c r="M127" s="159">
        <f t="shared" si="9"/>
        <v>1158.5931518984503</v>
      </c>
      <c r="N127" s="159">
        <f t="shared" si="7"/>
        <v>6024.3256400069213</v>
      </c>
      <c r="O127" s="480">
        <f>(I127/M127)^L127+(J127/N127)^L127</f>
        <v>0.77754038303855522</v>
      </c>
      <c r="P127" s="1038" t="str">
        <f t="shared" si="8"/>
        <v>OK</v>
      </c>
      <c r="S127" s="25" t="s">
        <v>80</v>
      </c>
      <c r="T127" s="26" t="s">
        <v>1</v>
      </c>
      <c r="U127" s="38">
        <f>INDEX(I115:I163,W126,1)</f>
        <v>294.12449683968316</v>
      </c>
      <c r="V127" s="26" t="s">
        <v>77</v>
      </c>
      <c r="W127" s="26"/>
      <c r="X127" s="27"/>
    </row>
    <row r="128" spans="1:24" ht="18">
      <c r="A128" s="112" t="str">
        <f>U_3.4_SH_SUM!A42</f>
        <v>LC-12</v>
      </c>
      <c r="B128" s="112" t="str">
        <f>U_3.4_SH_SUM!B42</f>
        <v>LC-2 + Seismic Sx=0.3,Sz=1,Sy=0.3</v>
      </c>
      <c r="C128" s="11"/>
      <c r="D128" s="11"/>
      <c r="E128" s="191"/>
      <c r="F128" s="159">
        <f>U_3.4_SH_SUM!F42</f>
        <v>1057.329851589448</v>
      </c>
      <c r="G128" s="159">
        <f>U_3.4_SH_SUM!G42</f>
        <v>48.441944087900559</v>
      </c>
      <c r="H128" s="159">
        <f>U_3.4_SH_SUM!H42</f>
        <v>135.13374695966854</v>
      </c>
      <c r="I128" s="159">
        <f>U_3.4_SH_SUM!I42</f>
        <v>294.97785294001619</v>
      </c>
      <c r="J128" s="159">
        <f>U_3.4_SH_SUM!J42</f>
        <v>882.85378000577862</v>
      </c>
      <c r="K128" s="159">
        <f>F128/$C$103</f>
        <v>8.0505138212854668E-2</v>
      </c>
      <c r="L128" s="950">
        <f>data_polation(K128,$S$103:$T$107,2)</f>
        <v>1</v>
      </c>
      <c r="M128" s="159">
        <f t="shared" si="9"/>
        <v>1158.5931518984503</v>
      </c>
      <c r="N128" s="159">
        <f t="shared" si="7"/>
        <v>6024.3256400069213</v>
      </c>
      <c r="O128" s="480">
        <f>(I128/M128)^L128+(J128/N128)^L128</f>
        <v>0.40114818188416534</v>
      </c>
      <c r="P128" s="1038" t="str">
        <f t="shared" si="8"/>
        <v>OK</v>
      </c>
      <c r="S128" s="25" t="s">
        <v>81</v>
      </c>
      <c r="T128" s="26" t="s">
        <v>1</v>
      </c>
      <c r="U128" s="38">
        <f>INDEX(J115:J163,W126,1)</f>
        <v>934.68080847779652</v>
      </c>
      <c r="V128" s="26" t="s">
        <v>77</v>
      </c>
      <c r="W128" s="26"/>
      <c r="X128" s="27"/>
    </row>
    <row r="129" spans="1:24">
      <c r="A129" s="112"/>
      <c r="B129" s="112"/>
      <c r="F129" s="159"/>
      <c r="G129" s="159"/>
      <c r="H129" s="159"/>
      <c r="I129" s="159"/>
      <c r="J129" s="159"/>
      <c r="K129" s="159"/>
      <c r="L129" s="950"/>
      <c r="M129" s="159"/>
      <c r="N129" s="159"/>
      <c r="O129" s="480"/>
      <c r="P129" s="1038"/>
      <c r="S129" s="25"/>
      <c r="T129" s="26"/>
      <c r="U129" s="26"/>
      <c r="V129" s="26"/>
      <c r="W129" s="26"/>
      <c r="X129" s="27"/>
    </row>
    <row r="130" spans="1:24">
      <c r="A130" s="112" t="str">
        <f>U_3.4_SH_SUM!A44</f>
        <v>LC-13</v>
      </c>
      <c r="B130" s="112" t="str">
        <f>U_3.4_SH_SUM!B44</f>
        <v>LC-3 + Seismic Sx=1,Sz=0.3,Sy=-0.3</v>
      </c>
      <c r="C130" s="11"/>
      <c r="D130" s="11"/>
      <c r="E130" s="191"/>
      <c r="F130" s="159">
        <f>U_3.4_SH_SUM!F44</f>
        <v>1030.3350065198665</v>
      </c>
      <c r="G130" s="159">
        <f>U_3.4_SH_SUM!G44</f>
        <v>141.96474695966856</v>
      </c>
      <c r="H130" s="159">
        <f>U_3.4_SH_SUM!H44</f>
        <v>42.055857802186274</v>
      </c>
      <c r="I130" s="159">
        <f>U_3.4_SH_SUM!I44</f>
        <v>843.94354620386332</v>
      </c>
      <c r="J130" s="159">
        <f>U_3.4_SH_SUM!J44</f>
        <v>274.55130445089702</v>
      </c>
      <c r="K130" s="159">
        <f>F130/$C$103</f>
        <v>7.8449749603430347E-2</v>
      </c>
      <c r="L130" s="950">
        <f>data_polation(K130,$S$103:$T$107,2)</f>
        <v>1</v>
      </c>
      <c r="M130" s="159">
        <f t="shared" si="9"/>
        <v>1144.8863924663365</v>
      </c>
      <c r="N130" s="159">
        <f t="shared" si="7"/>
        <v>5953.0547351635778</v>
      </c>
      <c r="O130" s="480">
        <f>(I130/M130)^L130+(J130/N130)^L130</f>
        <v>0.78326113755498383</v>
      </c>
      <c r="P130" s="1038" t="str">
        <f t="shared" si="8"/>
        <v>OK</v>
      </c>
      <c r="S130" s="28"/>
      <c r="T130" s="15"/>
      <c r="U130" s="15"/>
      <c r="V130" s="15"/>
      <c r="W130" s="15"/>
      <c r="X130" s="22"/>
    </row>
    <row r="131" spans="1:24">
      <c r="A131" s="112" t="str">
        <f>U_3.4_SH_SUM!A45</f>
        <v>LC-14</v>
      </c>
      <c r="B131" s="112" t="str">
        <f>U_3.4_SH_SUM!B45</f>
        <v>LC-3 + Seismic Sx=0.3,Sz=1,Sy=-0.3</v>
      </c>
      <c r="C131" s="11"/>
      <c r="D131" s="11"/>
      <c r="E131" s="191"/>
      <c r="F131" s="159">
        <f>U_3.4_SH_SUM!F45</f>
        <v>1030.3350065198665</v>
      </c>
      <c r="G131" s="159">
        <f>U_3.4_SH_SUM!G45</f>
        <v>47.371124087900562</v>
      </c>
      <c r="H131" s="159">
        <f>U_3.4_SH_SUM!H45</f>
        <v>140.18619267395425</v>
      </c>
      <c r="I131" s="159">
        <f>U_3.4_SH_SUM!I45</f>
        <v>289.00534107715902</v>
      </c>
      <c r="J131" s="159">
        <f>U_3.4_SH_SUM!J45</f>
        <v>924.96291593494198</v>
      </c>
      <c r="K131" s="159">
        <f>F131/$C$103</f>
        <v>7.8449749603430347E-2</v>
      </c>
      <c r="L131" s="950">
        <f>data_polation(K131,$S$103:$T$107,2)</f>
        <v>1</v>
      </c>
      <c r="M131" s="159">
        <f t="shared" si="9"/>
        <v>1144.8863924663365</v>
      </c>
      <c r="N131" s="159">
        <f t="shared" si="7"/>
        <v>5953.0547351635778</v>
      </c>
      <c r="O131" s="480">
        <f>(I131/M131)^L131+(J131/N131)^L131</f>
        <v>0.40780763980134282</v>
      </c>
      <c r="P131" s="1038" t="str">
        <f t="shared" si="8"/>
        <v>OK</v>
      </c>
    </row>
    <row r="132" spans="1:24">
      <c r="A132" s="112" t="str">
        <f>U_3.4_SH_SUM!A46</f>
        <v>LC-15</v>
      </c>
      <c r="B132" s="112" t="str">
        <f>U_3.4_SH_SUM!B46</f>
        <v>LC-3 + Seismic Sx=1,Sz=0.3,Sy=0.3</v>
      </c>
      <c r="C132" s="11"/>
      <c r="D132" s="11"/>
      <c r="E132" s="191"/>
      <c r="F132" s="159">
        <f>U_3.4_SH_SUM!F46</f>
        <v>1086.409483589448</v>
      </c>
      <c r="G132" s="159">
        <f>U_3.4_SH_SUM!G46</f>
        <v>141.96474695966856</v>
      </c>
      <c r="H132" s="159">
        <f>U_3.4_SH_SUM!H46</f>
        <v>42.055857802186274</v>
      </c>
      <c r="I132" s="159">
        <f>U_3.4_SH_SUM!I46</f>
        <v>844.01572558672058</v>
      </c>
      <c r="J132" s="159">
        <f>U_3.4_SH_SUM!J46</f>
        <v>274.2378707464955</v>
      </c>
      <c r="K132" s="159">
        <f>F132/$C$103</f>
        <v>8.2719262584562997E-2</v>
      </c>
      <c r="L132" s="950">
        <f>data_polation(K132,$S$103:$T$107,2)</f>
        <v>1</v>
      </c>
      <c r="M132" s="159">
        <f t="shared" si="9"/>
        <v>1173.3584716908399</v>
      </c>
      <c r="N132" s="159">
        <f t="shared" si="7"/>
        <v>6101.1007309477764</v>
      </c>
      <c r="O132" s="480">
        <f>(I132/M132)^L132+(J132/N132)^L132</f>
        <v>0.76426509021007727</v>
      </c>
      <c r="P132" s="1038" t="str">
        <f t="shared" si="8"/>
        <v>OK</v>
      </c>
    </row>
    <row r="133" spans="1:24">
      <c r="A133" s="112" t="str">
        <f>U_3.4_SH_SUM!A47</f>
        <v>LC-16</v>
      </c>
      <c r="B133" s="112" t="str">
        <f>U_3.4_SH_SUM!B47</f>
        <v>LC-3 + Seismic Sx=0.3,Sz=1,Sy=0.3</v>
      </c>
      <c r="C133" s="11"/>
      <c r="D133" s="11"/>
      <c r="E133" s="191"/>
      <c r="F133" s="159">
        <f>U_3.4_SH_SUM!F47</f>
        <v>1086.409483589448</v>
      </c>
      <c r="G133" s="159">
        <f>U_3.4_SH_SUM!G47</f>
        <v>47.371124087900562</v>
      </c>
      <c r="H133" s="159">
        <f>U_3.4_SH_SUM!H47</f>
        <v>140.18619267395425</v>
      </c>
      <c r="I133" s="159">
        <f>U_3.4_SH_SUM!I47</f>
        <v>289.07752046001616</v>
      </c>
      <c r="J133" s="159">
        <f>U_3.4_SH_SUM!J47</f>
        <v>924.64948223054057</v>
      </c>
      <c r="K133" s="159">
        <f>F133/$C$103</f>
        <v>8.2719262584562997E-2</v>
      </c>
      <c r="L133" s="950">
        <f>data_polation(K133,$S$103:$T$107,2)</f>
        <v>1</v>
      </c>
      <c r="M133" s="159">
        <f t="shared" si="9"/>
        <v>1173.3584716908399</v>
      </c>
      <c r="N133" s="159">
        <f t="shared" si="7"/>
        <v>6101.1007309477764</v>
      </c>
      <c r="O133" s="480">
        <f>(I133/M133)^L133+(J133/N133)^L133</f>
        <v>0.39792214306082341</v>
      </c>
      <c r="P133" s="1038" t="str">
        <f t="shared" si="8"/>
        <v>OK</v>
      </c>
    </row>
    <row r="134" spans="1:24">
      <c r="A134" s="112"/>
      <c r="B134" s="112"/>
      <c r="F134" s="159"/>
      <c r="G134" s="159"/>
      <c r="H134" s="159"/>
      <c r="I134" s="159"/>
      <c r="J134" s="159"/>
      <c r="K134" s="159"/>
      <c r="L134" s="950"/>
      <c r="M134" s="159"/>
      <c r="N134" s="159"/>
      <c r="O134" s="480"/>
      <c r="P134" s="1038"/>
    </row>
    <row r="135" spans="1:24">
      <c r="A135" s="112" t="str">
        <f>U_3.4_SH_SUM!A49</f>
        <v>LC-17</v>
      </c>
      <c r="B135" s="112" t="str">
        <f>U_3.4_SH_SUM!B49</f>
        <v>LC-4 + Seismic Sx=1,Sz=0.3,Sy=-0.3</v>
      </c>
      <c r="C135" s="11"/>
      <c r="D135" s="11"/>
      <c r="E135" s="191"/>
      <c r="F135" s="159">
        <f>U_3.4_SH_SUM!F49</f>
        <v>1027.9353736512949</v>
      </c>
      <c r="G135" s="159">
        <f>U_3.4_SH_SUM!G49</f>
        <v>141.96474695966856</v>
      </c>
      <c r="H135" s="159">
        <f>U_3.4_SH_SUM!H49</f>
        <v>41.921438533614847</v>
      </c>
      <c r="I135" s="159">
        <f>U_3.4_SH_SUM!I49</f>
        <v>855.30665488957766</v>
      </c>
      <c r="J135" s="159">
        <f>U_3.4_SH_SUM!J49</f>
        <v>273.69151113220971</v>
      </c>
      <c r="K135" s="159">
        <f>F135/$C$103</f>
        <v>7.8267041458517886E-2</v>
      </c>
      <c r="L135" s="950">
        <f>data_polation(K135,$S$103:$T$107,2)</f>
        <v>1</v>
      </c>
      <c r="M135" s="159">
        <f t="shared" si="9"/>
        <v>1143.6679676015106</v>
      </c>
      <c r="N135" s="159">
        <f t="shared" si="7"/>
        <v>5946.719303143349</v>
      </c>
      <c r="O135" s="480">
        <f>(I135/M135)^L135+(J135/N135)^L135</f>
        <v>0.79388668549399222</v>
      </c>
      <c r="P135" s="1038" t="str">
        <f t="shared" si="8"/>
        <v>OK</v>
      </c>
    </row>
    <row r="136" spans="1:24">
      <c r="A136" s="112" t="str">
        <f>U_3.4_SH_SUM!A50</f>
        <v>LC-18</v>
      </c>
      <c r="B136" s="112" t="str">
        <f>U_3.4_SH_SUM!B50</f>
        <v>LC-4 + Seismic Sx=0.3,Sz=1,Sy=-0.3</v>
      </c>
      <c r="C136" s="11"/>
      <c r="D136" s="11"/>
      <c r="E136" s="191"/>
      <c r="F136" s="159">
        <f>U_3.4_SH_SUM!F50</f>
        <v>1027.9353736512949</v>
      </c>
      <c r="G136" s="159">
        <f>U_3.4_SH_SUM!G50</f>
        <v>47.371124087900562</v>
      </c>
      <c r="H136" s="159">
        <f>U_3.4_SH_SUM!H50</f>
        <v>139.73812844538281</v>
      </c>
      <c r="I136" s="159">
        <f>U_3.4_SH_SUM!I50</f>
        <v>300.3684497628733</v>
      </c>
      <c r="J136" s="159">
        <f>U_3.4_SH_SUM!J50</f>
        <v>921.22856655785495</v>
      </c>
      <c r="K136" s="159">
        <f>F136/$C$103</f>
        <v>7.8267041458517886E-2</v>
      </c>
      <c r="L136" s="950">
        <f>data_polation(K136,$S$103:$T$107,2)</f>
        <v>1</v>
      </c>
      <c r="M136" s="159">
        <f t="shared" si="9"/>
        <v>1143.6679676015106</v>
      </c>
      <c r="N136" s="159">
        <f t="shared" si="7"/>
        <v>5946.719303143349</v>
      </c>
      <c r="O136" s="480">
        <f>(I136/M136)^L136+(J136/N136)^L136</f>
        <v>0.41754980719005885</v>
      </c>
      <c r="P136" s="1038" t="str">
        <f t="shared" si="8"/>
        <v>OK</v>
      </c>
    </row>
    <row r="137" spans="1:24">
      <c r="A137" s="112" t="str">
        <f>U_3.4_SH_SUM!A51</f>
        <v>LC-19</v>
      </c>
      <c r="B137" s="112" t="str">
        <f>U_3.4_SH_SUM!B51</f>
        <v>LC-4 + Seismic Sx=1,Sz=0.3,Sy=0.3</v>
      </c>
      <c r="C137" s="11"/>
      <c r="D137" s="11"/>
      <c r="E137" s="191"/>
      <c r="F137" s="159">
        <f>U_3.4_SH_SUM!F51</f>
        <v>1083.8306250294481</v>
      </c>
      <c r="G137" s="159">
        <f>U_3.4_SH_SUM!G51</f>
        <v>141.96474695966856</v>
      </c>
      <c r="H137" s="159">
        <f>U_3.4_SH_SUM!H51</f>
        <v>41.921438533614847</v>
      </c>
      <c r="I137" s="159">
        <f>U_3.4_SH_SUM!I51</f>
        <v>856.22753118672063</v>
      </c>
      <c r="J137" s="159">
        <f>U_3.4_SH_SUM!J51</f>
        <v>273.40587355643834</v>
      </c>
      <c r="K137" s="159">
        <f>F137/$C$103</f>
        <v>8.2522908188163338E-2</v>
      </c>
      <c r="L137" s="950">
        <f>data_polation(K137,$S$103:$T$107,2)</f>
        <v>1</v>
      </c>
      <c r="M137" s="159">
        <f t="shared" si="9"/>
        <v>1172.0490441390145</v>
      </c>
      <c r="N137" s="159">
        <f t="shared" si="7"/>
        <v>6094.292113133507</v>
      </c>
      <c r="O137" s="480">
        <f>(I137/M137)^L137+(J137/N137)^L137</f>
        <v>0.77540160914984102</v>
      </c>
      <c r="P137" s="1038" t="str">
        <f t="shared" si="8"/>
        <v>OK</v>
      </c>
    </row>
    <row r="138" spans="1:24">
      <c r="A138" s="112" t="str">
        <f>U_3.4_SH_SUM!A52</f>
        <v>LC-20</v>
      </c>
      <c r="B138" s="112" t="str">
        <f>U_3.4_SH_SUM!B52</f>
        <v>LC-4 + Seismic Sx=0.3,Sz=1,Sy=0.3</v>
      </c>
      <c r="C138" s="11"/>
      <c r="D138" s="11"/>
      <c r="E138" s="191"/>
      <c r="F138" s="159">
        <f>U_3.4_SH_SUM!F52</f>
        <v>1083.8306250294481</v>
      </c>
      <c r="G138" s="159">
        <f>U_3.4_SH_SUM!G52</f>
        <v>47.371124087900562</v>
      </c>
      <c r="H138" s="159">
        <f>U_3.4_SH_SUM!H52</f>
        <v>139.73812844538281</v>
      </c>
      <c r="I138" s="159">
        <f>U_3.4_SH_SUM!I52</f>
        <v>301.28932606001615</v>
      </c>
      <c r="J138" s="159">
        <f>U_3.4_SH_SUM!J52</f>
        <v>920.94292898208346</v>
      </c>
      <c r="K138" s="159">
        <f>F138/$C$103</f>
        <v>8.2522908188163338E-2</v>
      </c>
      <c r="L138" s="950">
        <f>data_polation(K138,$S$103:$T$107,2)</f>
        <v>1</v>
      </c>
      <c r="M138" s="159">
        <f t="shared" si="9"/>
        <v>1172.0490441390145</v>
      </c>
      <c r="N138" s="159">
        <f t="shared" si="7"/>
        <v>6094.292113133507</v>
      </c>
      <c r="O138" s="480">
        <f>(I138/M138)^L138+(J138/N138)^L138</f>
        <v>0.40817769911349494</v>
      </c>
      <c r="P138" s="1038" t="str">
        <f t="shared" si="8"/>
        <v>OK</v>
      </c>
    </row>
    <row r="139" spans="1:24">
      <c r="A139" s="112"/>
      <c r="B139" s="112"/>
      <c r="F139" s="159"/>
      <c r="G139" s="159"/>
      <c r="H139" s="159"/>
      <c r="I139" s="159"/>
      <c r="J139" s="159"/>
      <c r="K139" s="159"/>
      <c r="L139" s="950"/>
      <c r="M139" s="159"/>
      <c r="N139" s="159"/>
      <c r="O139" s="480"/>
      <c r="P139" s="1038"/>
    </row>
    <row r="140" spans="1:24">
      <c r="A140" s="112" t="str">
        <f>U_3.4_SH_SUM!A54</f>
        <v>LC-21</v>
      </c>
      <c r="B140" s="112" t="str">
        <f>U_3.4_SH_SUM!B54</f>
        <v>NS HFL Span dislodge case</v>
      </c>
      <c r="C140" s="11"/>
      <c r="D140" s="11"/>
      <c r="E140" s="191"/>
      <c r="F140" s="159">
        <f>U_3.4_SH_SUM!F54</f>
        <v>631.65778719741854</v>
      </c>
      <c r="G140" s="159">
        <f>U_3.4_SH_SUM!G54</f>
        <v>23.515945545112501</v>
      </c>
      <c r="H140" s="159">
        <f>U_3.4_SH_SUM!H54</f>
        <v>0.77082515176153144</v>
      </c>
      <c r="I140" s="159">
        <f>U_3.4_SH_SUM!I54</f>
        <v>340.0161046423508</v>
      </c>
      <c r="J140" s="159">
        <f>U_3.4_SH_SUM!J54</f>
        <v>1.2722721422765415</v>
      </c>
      <c r="K140" s="159">
        <f>F140/$C$103</f>
        <v>4.8094449792664508E-2</v>
      </c>
      <c r="L140" s="950">
        <f>data_polation(K140,$S$103:$T$107,2)</f>
        <v>1</v>
      </c>
      <c r="M140" s="159">
        <f t="shared" si="9"/>
        <v>942.456160982092</v>
      </c>
      <c r="N140" s="159">
        <f t="shared" si="7"/>
        <v>4900.4802125723518</v>
      </c>
      <c r="O140" s="480">
        <f>(I140/M140)^L140+(J140/N140)^L140</f>
        <v>0.36103619565440381</v>
      </c>
      <c r="P140" s="1038" t="str">
        <f t="shared" si="8"/>
        <v>OK</v>
      </c>
    </row>
    <row r="141" spans="1:24">
      <c r="A141" s="112" t="str">
        <f>U_3.4_SH_SUM!A55</f>
        <v>LC-22</v>
      </c>
      <c r="B141" s="112" t="str">
        <f>U_3.4_SH_SUM!B55</f>
        <v>NS HFL No Live load</v>
      </c>
      <c r="C141" s="11"/>
      <c r="D141" s="11"/>
      <c r="E141" s="191"/>
      <c r="F141" s="159">
        <f>U_3.4_SH_SUM!F55</f>
        <v>1026.7487871974188</v>
      </c>
      <c r="G141" s="159">
        <f>U_3.4_SH_SUM!G55</f>
        <v>10.346245545112502</v>
      </c>
      <c r="H141" s="159">
        <f>U_3.4_SH_SUM!H55</f>
        <v>0.77082515176153144</v>
      </c>
      <c r="I141" s="159">
        <f>U_3.4_SH_SUM!I55</f>
        <v>65.421973642350736</v>
      </c>
      <c r="J141" s="159">
        <f>U_3.4_SH_SUM!J55</f>
        <v>1.2722721422765415</v>
      </c>
      <c r="K141" s="159">
        <f>F141/$C$103</f>
        <v>7.817669471731202E-2</v>
      </c>
      <c r="L141" s="950">
        <f>data_polation(K141,$S$103:$T$107,2)</f>
        <v>1</v>
      </c>
      <c r="M141" s="159">
        <f t="shared" si="9"/>
        <v>1143.0654727538181</v>
      </c>
      <c r="N141" s="159">
        <f t="shared" si="7"/>
        <v>5943.5865164937259</v>
      </c>
      <c r="O141" s="480">
        <f>(I141/M141)^L141+(J141/N141)^L141</f>
        <v>5.7447851848619391E-2</v>
      </c>
      <c r="P141" s="1038" t="str">
        <f t="shared" si="8"/>
        <v>OK</v>
      </c>
    </row>
    <row r="142" spans="1:24">
      <c r="A142" s="112" t="str">
        <f>U_3.4_SH_SUM!A56</f>
        <v>LC-23</v>
      </c>
      <c r="B142" s="112" t="str">
        <f>U_3.4_SH_SUM!B56</f>
        <v>NS HFL With LL max reaction case</v>
      </c>
      <c r="C142" s="11"/>
      <c r="D142" s="11"/>
      <c r="E142" s="191"/>
      <c r="F142" s="159">
        <f>U_3.4_SH_SUM!F56</f>
        <v>1237.2673586259903</v>
      </c>
      <c r="G142" s="159">
        <f>U_3.4_SH_SUM!G56</f>
        <v>49.643362116541077</v>
      </c>
      <c r="H142" s="159">
        <f>U_3.4_SH_SUM!H56</f>
        <v>0.77082515176153144</v>
      </c>
      <c r="I142" s="159">
        <f>U_3.4_SH_SUM!I56</f>
        <v>327.58597473949368</v>
      </c>
      <c r="J142" s="159">
        <f>U_3.4_SH_SUM!J56</f>
        <v>-31.377072066217657</v>
      </c>
      <c r="K142" s="159">
        <f>F142/$C$103</f>
        <v>9.4205587369640686E-2</v>
      </c>
      <c r="L142" s="950">
        <f>data_polation(K142,$S$103:$T$107,2)</f>
        <v>1</v>
      </c>
      <c r="M142" s="159">
        <f t="shared" si="9"/>
        <v>1249.9572666176437</v>
      </c>
      <c r="N142" s="159">
        <f t="shared" si="7"/>
        <v>6499.3907462779162</v>
      </c>
      <c r="O142" s="480">
        <f>(I142/M142)^L142+(J142/N142)^L142</f>
        <v>0.25725004500357779</v>
      </c>
      <c r="P142" s="1038" t="str">
        <f t="shared" si="8"/>
        <v>OK</v>
      </c>
    </row>
    <row r="143" spans="1:24">
      <c r="A143" s="112" t="str">
        <f>U_3.4_SH_SUM!A57</f>
        <v>LC-24</v>
      </c>
      <c r="B143" s="112" t="str">
        <f>U_3.4_SH_SUM!B57</f>
        <v>NS HFL With LL max moment case</v>
      </c>
      <c r="C143" s="11"/>
      <c r="D143" s="11"/>
      <c r="E143" s="191"/>
      <c r="F143" s="159">
        <f>U_3.4_SH_SUM!F57</f>
        <v>1218.5980157688475</v>
      </c>
      <c r="G143" s="159">
        <f>U_3.4_SH_SUM!G57</f>
        <v>46.563784116541072</v>
      </c>
      <c r="H143" s="159">
        <f>U_3.4_SH_SUM!H57</f>
        <v>0.77082515176153144</v>
      </c>
      <c r="I143" s="159">
        <f>U_3.4_SH_SUM!I57</f>
        <v>396.03623787092226</v>
      </c>
      <c r="J143" s="159">
        <f>U_3.4_SH_SUM!J57</f>
        <v>-28.481642000580592</v>
      </c>
      <c r="K143" s="159">
        <f>F143/$C$103</f>
        <v>9.2784102839720273E-2</v>
      </c>
      <c r="L143" s="950">
        <f>data_polation(K143,$S$103:$T$107,2)</f>
        <v>1</v>
      </c>
      <c r="M143" s="159">
        <f t="shared" si="9"/>
        <v>1240.4778200552016</v>
      </c>
      <c r="N143" s="159">
        <f t="shared" si="7"/>
        <v>6450.1005593985519</v>
      </c>
      <c r="O143" s="480">
        <f>(I143/M143)^L143+(J143/N143)^L143</f>
        <v>0.31484534954161009</v>
      </c>
      <c r="P143" s="1038" t="str">
        <f t="shared" si="8"/>
        <v>OK</v>
      </c>
    </row>
    <row r="144" spans="1:24">
      <c r="A144" s="112"/>
      <c r="B144" s="112"/>
      <c r="F144" s="159"/>
      <c r="G144" s="159"/>
      <c r="H144" s="159"/>
      <c r="I144" s="159"/>
      <c r="J144" s="159"/>
      <c r="K144" s="159"/>
      <c r="L144" s="950"/>
      <c r="M144" s="159"/>
      <c r="N144" s="159"/>
      <c r="O144" s="480"/>
      <c r="P144" s="1038"/>
    </row>
    <row r="145" spans="1:16">
      <c r="A145" s="112" t="str">
        <f>U_3.4_SH_SUM!A59</f>
        <v>LC-25</v>
      </c>
      <c r="B145" s="112" t="str">
        <f>U_3.4_SH_SUM!B59</f>
        <v>LC-21 + Seismic Sx=1,Sz=0.3,Sy=-0.3 (50% seismic)</v>
      </c>
      <c r="C145" s="11"/>
      <c r="D145" s="11"/>
      <c r="E145" s="191"/>
      <c r="F145" s="159">
        <f>U_3.4_SH_SUM!F59</f>
        <v>623.4122925014517</v>
      </c>
      <c r="G145" s="159">
        <f>U_3.4_SH_SUM!G59</f>
        <v>94.741511843639273</v>
      </c>
      <c r="H145" s="159">
        <f>U_3.4_SH_SUM!H59</f>
        <v>14.785478964123449</v>
      </c>
      <c r="I145" s="159">
        <f>U_3.4_SH_SUM!I59</f>
        <v>738.09995407600013</v>
      </c>
      <c r="J145" s="159">
        <f>U_3.4_SH_SUM!J59</f>
        <v>77.640441467844028</v>
      </c>
      <c r="K145" s="159">
        <f>F145/$C$103</f>
        <v>4.7466637488742226E-2</v>
      </c>
      <c r="L145" s="950">
        <f>data_polation(K145,$S$103:$T$107,2)</f>
        <v>1</v>
      </c>
      <c r="M145" s="159">
        <f t="shared" si="9"/>
        <v>938.26947230486246</v>
      </c>
      <c r="N145" s="159">
        <f t="shared" si="7"/>
        <v>4878.7107278300682</v>
      </c>
      <c r="O145" s="480">
        <f>(I145/M145)^L145+(J145/N145)^L145</f>
        <v>0.80257508057873839</v>
      </c>
      <c r="P145" s="1038" t="str">
        <f t="shared" si="8"/>
        <v>OK</v>
      </c>
    </row>
    <row r="146" spans="1:16">
      <c r="A146" s="112" t="str">
        <f>U_3.4_SH_SUM!A60</f>
        <v>LC-26</v>
      </c>
      <c r="B146" s="112" t="str">
        <f>U_3.4_SH_SUM!B60</f>
        <v>LC-21 + Seismic Sx=0.3,Sz=1,Sy=-0.3 (50% seismic)</v>
      </c>
      <c r="C146" s="11"/>
      <c r="D146" s="11"/>
      <c r="E146" s="191"/>
      <c r="F146" s="159">
        <f>U_3.4_SH_SUM!F60</f>
        <v>623.4122925014517</v>
      </c>
      <c r="G146" s="159">
        <f>U_3.4_SH_SUM!G60</f>
        <v>44.883615434670531</v>
      </c>
      <c r="H146" s="159">
        <f>U_3.4_SH_SUM!H60</f>
        <v>47.486337859634588</v>
      </c>
      <c r="I146" s="159">
        <f>U_3.4_SH_SUM!I60</f>
        <v>457.67488437244555</v>
      </c>
      <c r="J146" s="159">
        <f>U_3.4_SH_SUM!J60</f>
        <v>255.83283656083486</v>
      </c>
      <c r="K146" s="159">
        <f>F146/$C$103</f>
        <v>4.7466637488742226E-2</v>
      </c>
      <c r="L146" s="950">
        <f>data_polation(K146,$S$103:$T$107,2)</f>
        <v>1</v>
      </c>
      <c r="M146" s="159">
        <f t="shared" si="9"/>
        <v>938.26947230486246</v>
      </c>
      <c r="N146" s="159">
        <f t="shared" si="7"/>
        <v>4878.7107278300682</v>
      </c>
      <c r="O146" s="480">
        <f>(I146/M146)^L146+(J146/N146)^L146</f>
        <v>0.54022479845817006</v>
      </c>
      <c r="P146" s="1038" t="str">
        <f t="shared" si="8"/>
        <v>OK</v>
      </c>
    </row>
    <row r="147" spans="1:16">
      <c r="A147" s="112" t="str">
        <f>U_3.4_SH_SUM!A61</f>
        <v>LC-27</v>
      </c>
      <c r="B147" s="112" t="str">
        <f>U_3.4_SH_SUM!B61</f>
        <v>LC-21 + Seismic Sx=1,Sz=0.3,Sy=0.3 (50% seismic)</v>
      </c>
      <c r="C147" s="11"/>
      <c r="D147" s="11"/>
      <c r="E147" s="191"/>
      <c r="F147" s="159">
        <f>U_3.4_SH_SUM!F61</f>
        <v>639.90328189338538</v>
      </c>
      <c r="G147" s="159">
        <f>U_3.4_SH_SUM!G61</f>
        <v>94.741511843639273</v>
      </c>
      <c r="H147" s="159">
        <f>U_3.4_SH_SUM!H61</f>
        <v>14.785478964123449</v>
      </c>
      <c r="I147" s="159">
        <f>U_3.4_SH_SUM!I61</f>
        <v>743.14674007600024</v>
      </c>
      <c r="J147" s="159">
        <f>U_3.4_SH_SUM!J61</f>
        <v>77.640441467844028</v>
      </c>
      <c r="K147" s="159">
        <f>F147/$C$103</f>
        <v>4.8722262096586783E-2</v>
      </c>
      <c r="L147" s="950">
        <f>data_polation(K147,$S$103:$T$107,2)</f>
        <v>1</v>
      </c>
      <c r="M147" s="159">
        <f t="shared" si="9"/>
        <v>946.64284965932154</v>
      </c>
      <c r="N147" s="159">
        <f t="shared" si="7"/>
        <v>4922.2496973146335</v>
      </c>
      <c r="O147" s="480">
        <f>(I147/M147)^L147+(J147/N147)^L147</f>
        <v>0.80080727764697901</v>
      </c>
      <c r="P147" s="1038" t="str">
        <f t="shared" si="8"/>
        <v>OK</v>
      </c>
    </row>
    <row r="148" spans="1:16">
      <c r="A148" s="112" t="str">
        <f>U_3.4_SH_SUM!A62</f>
        <v>LC-28</v>
      </c>
      <c r="B148" s="112" t="str">
        <f>U_3.4_SH_SUM!B62</f>
        <v>LC-21 + Seismic Sx=0.3,Sz=1,Sy=0.3 (50% seismic)</v>
      </c>
      <c r="C148" s="11"/>
      <c r="D148" s="11"/>
      <c r="E148" s="191"/>
      <c r="F148" s="159">
        <f>U_3.4_SH_SUM!F62</f>
        <v>639.90328189338538</v>
      </c>
      <c r="G148" s="159">
        <f>U_3.4_SH_SUM!G62</f>
        <v>44.883615434670531</v>
      </c>
      <c r="H148" s="159">
        <f>U_3.4_SH_SUM!H62</f>
        <v>47.486337859634588</v>
      </c>
      <c r="I148" s="159">
        <f>U_3.4_SH_SUM!I62</f>
        <v>462.72167037244554</v>
      </c>
      <c r="J148" s="159">
        <f>U_3.4_SH_SUM!J62</f>
        <v>255.83283656083486</v>
      </c>
      <c r="K148" s="159">
        <f>F148/$C$103</f>
        <v>4.8722262096586783E-2</v>
      </c>
      <c r="L148" s="950">
        <f>data_polation(K148,$S$103:$T$107,2)</f>
        <v>1</v>
      </c>
      <c r="M148" s="159">
        <f t="shared" si="9"/>
        <v>946.64284965932154</v>
      </c>
      <c r="N148" s="159">
        <f t="shared" si="7"/>
        <v>4922.2496973146335</v>
      </c>
      <c r="O148" s="480">
        <f>(I148/M148)^L148+(J148/N148)^L148</f>
        <v>0.54077757282973815</v>
      </c>
      <c r="P148" s="1038" t="str">
        <f t="shared" si="8"/>
        <v>OK</v>
      </c>
    </row>
    <row r="149" spans="1:16">
      <c r="A149" s="112"/>
      <c r="B149" s="112"/>
      <c r="F149" s="159"/>
      <c r="G149" s="159"/>
      <c r="H149" s="159"/>
      <c r="I149" s="159"/>
      <c r="J149" s="159"/>
      <c r="K149" s="159"/>
      <c r="L149" s="950"/>
      <c r="M149" s="159"/>
      <c r="N149" s="159"/>
      <c r="O149" s="480"/>
      <c r="P149" s="1038"/>
    </row>
    <row r="150" spans="1:16">
      <c r="A150" s="112" t="str">
        <f>U_3.4_SH_SUM!A64</f>
        <v>LC-29</v>
      </c>
      <c r="B150" s="112" t="str">
        <f>U_3.4_SH_SUM!B64</f>
        <v>LC-22 + Seismic Sx=1,Sz=0.3,Sy=-0.3</v>
      </c>
      <c r="C150" s="11"/>
      <c r="D150" s="11"/>
      <c r="E150" s="191"/>
      <c r="F150" s="159">
        <f>U_3.4_SH_SUM!F64</f>
        <v>999.72203780548512</v>
      </c>
      <c r="G150" s="159">
        <f>U_3.4_SH_SUM!G64</f>
        <v>152.79737814216605</v>
      </c>
      <c r="H150" s="159">
        <f>U_3.4_SH_SUM!H64</f>
        <v>43.506164930877603</v>
      </c>
      <c r="I150" s="159">
        <f>U_3.4_SH_SUM!I64</f>
        <v>866.63645850964929</v>
      </c>
      <c r="J150" s="159">
        <f>U_3.4_SH_SUM!J64</f>
        <v>268.66209226418351</v>
      </c>
      <c r="K150" s="159">
        <f>F150/$C$103</f>
        <v>7.6118876911476868E-2</v>
      </c>
      <c r="L150" s="950">
        <f>data_polation(K150,$S$103:$T$107,2)</f>
        <v>1</v>
      </c>
      <c r="M150" s="159">
        <f t="shared" si="9"/>
        <v>1129.3425137521128</v>
      </c>
      <c r="N150" s="159">
        <f t="shared" si="7"/>
        <v>5872.2313789045911</v>
      </c>
      <c r="O150" s="480">
        <f>(I150/M150)^L150+(J150/N150)^L150</f>
        <v>0.81313269536004784</v>
      </c>
      <c r="P150" s="1038" t="str">
        <f t="shared" si="8"/>
        <v>OK</v>
      </c>
    </row>
    <row r="151" spans="1:16">
      <c r="A151" s="112" t="str">
        <f>U_3.4_SH_SUM!A65</f>
        <v>LC-30</v>
      </c>
      <c r="B151" s="112" t="str">
        <f>U_3.4_SH_SUM!B65</f>
        <v>LC-22 + Seismic Sx=0.3,Sz=1,Sy=-0.3</v>
      </c>
      <c r="C151" s="11"/>
      <c r="D151" s="11"/>
      <c r="E151" s="191"/>
      <c r="F151" s="159">
        <f>U_3.4_SH_SUM!F65</f>
        <v>999.72203780548512</v>
      </c>
      <c r="G151" s="159">
        <f>U_3.4_SH_SUM!G65</f>
        <v>53.081585324228577</v>
      </c>
      <c r="H151" s="159">
        <f>U_3.4_SH_SUM!H65</f>
        <v>143.2219577488151</v>
      </c>
      <c r="I151" s="159">
        <f>U_3.4_SH_SUM!I65</f>
        <v>305.78631910254029</v>
      </c>
      <c r="J151" s="159">
        <f>U_3.4_SH_SUM!J65</f>
        <v>892.57167254863327</v>
      </c>
      <c r="K151" s="159">
        <f>F151/$C$103</f>
        <v>7.6118876911476868E-2</v>
      </c>
      <c r="L151" s="950">
        <f>data_polation(K151,$S$103:$T$107,2)</f>
        <v>1</v>
      </c>
      <c r="M151" s="159">
        <f t="shared" si="9"/>
        <v>1129.3425137521128</v>
      </c>
      <c r="N151" s="159">
        <f t="shared" si="7"/>
        <v>5872.2313789045911</v>
      </c>
      <c r="O151" s="480">
        <f>(I151/M151)^L151+(J151/N151)^L151</f>
        <v>0.42276362888469654</v>
      </c>
      <c r="P151" s="1038" t="str">
        <f t="shared" si="8"/>
        <v>OK</v>
      </c>
    </row>
    <row r="152" spans="1:16">
      <c r="A152" s="112" t="str">
        <f>U_3.4_SH_SUM!A66</f>
        <v>LC-31</v>
      </c>
      <c r="B152" s="112" t="str">
        <f>U_3.4_SH_SUM!B66</f>
        <v>LC-22 + Seismic Sx=1,Sz=0.3,Sy=0.3</v>
      </c>
      <c r="C152" s="11"/>
      <c r="D152" s="11"/>
      <c r="E152" s="191"/>
      <c r="F152" s="159">
        <f>U_3.4_SH_SUM!F66</f>
        <v>1053.7755365893524</v>
      </c>
      <c r="G152" s="159">
        <f>U_3.4_SH_SUM!G66</f>
        <v>152.79737814216605</v>
      </c>
      <c r="H152" s="159">
        <f>U_3.4_SH_SUM!H66</f>
        <v>43.506164930877603</v>
      </c>
      <c r="I152" s="159">
        <f>U_3.4_SH_SUM!I66</f>
        <v>866.63645850964929</v>
      </c>
      <c r="J152" s="159">
        <f>U_3.4_SH_SUM!J66</f>
        <v>268.66209226418351</v>
      </c>
      <c r="K152" s="159">
        <f>F152/$C$103</f>
        <v>8.0234512523147172E-2</v>
      </c>
      <c r="L152" s="950">
        <f>data_polation(K152,$S$103:$T$107,2)</f>
        <v>1</v>
      </c>
      <c r="M152" s="159">
        <f t="shared" si="9"/>
        <v>1156.7884317555233</v>
      </c>
      <c r="N152" s="159">
        <f t="shared" si="7"/>
        <v>6014.9416540828615</v>
      </c>
      <c r="O152" s="480">
        <f>(I152/M152)^L152+(J152/N152)^L152</f>
        <v>0.79384034018947758</v>
      </c>
      <c r="P152" s="1038" t="str">
        <f t="shared" si="8"/>
        <v>OK</v>
      </c>
    </row>
    <row r="153" spans="1:16">
      <c r="A153" s="112" t="str">
        <f>U_3.4_SH_SUM!A67</f>
        <v>LC-32</v>
      </c>
      <c r="B153" s="112" t="str">
        <f>U_3.4_SH_SUM!B67</f>
        <v>LC-22 + Seismic Sx=0.3,Sz=1,Sy=0.3</v>
      </c>
      <c r="C153" s="11"/>
      <c r="D153" s="11"/>
      <c r="E153" s="191"/>
      <c r="F153" s="159">
        <f>U_3.4_SH_SUM!F67</f>
        <v>1053.7755365893524</v>
      </c>
      <c r="G153" s="159">
        <f>U_3.4_SH_SUM!G67</f>
        <v>53.081585324228577</v>
      </c>
      <c r="H153" s="159">
        <f>U_3.4_SH_SUM!H67</f>
        <v>143.2219577488151</v>
      </c>
      <c r="I153" s="159">
        <f>U_3.4_SH_SUM!I67</f>
        <v>305.78631910254029</v>
      </c>
      <c r="J153" s="159">
        <f>U_3.4_SH_SUM!J67</f>
        <v>892.57167254863327</v>
      </c>
      <c r="K153" s="159">
        <f>F153/$C$103</f>
        <v>8.0234512523147172E-2</v>
      </c>
      <c r="L153" s="950">
        <f>data_polation(K153,$S$103:$T$107,2)</f>
        <v>1</v>
      </c>
      <c r="M153" s="159">
        <f t="shared" si="9"/>
        <v>1156.7884317555233</v>
      </c>
      <c r="N153" s="159">
        <f t="shared" si="7"/>
        <v>6014.9416540828615</v>
      </c>
      <c r="O153" s="480">
        <f>(I153/M153)^L153+(J153/N153)^L153</f>
        <v>0.41273315522650011</v>
      </c>
      <c r="P153" s="1038" t="str">
        <f t="shared" si="8"/>
        <v>OK</v>
      </c>
    </row>
    <row r="154" spans="1:16">
      <c r="A154" s="112"/>
      <c r="B154" s="112"/>
      <c r="F154" s="159"/>
      <c r="G154" s="159"/>
      <c r="H154" s="159"/>
      <c r="I154" s="159"/>
      <c r="J154" s="159"/>
      <c r="K154" s="159"/>
      <c r="L154" s="950"/>
      <c r="M154" s="159"/>
      <c r="N154" s="159"/>
      <c r="O154" s="480"/>
      <c r="P154" s="1038"/>
    </row>
    <row r="155" spans="1:16">
      <c r="A155" s="112" t="str">
        <f>U_3.4_SH_SUM!A69</f>
        <v>LC-33</v>
      </c>
      <c r="B155" s="112" t="str">
        <f>U_3.4_SH_SUM!B69</f>
        <v>LC-23 + Seismic Sx=1,Sz=0.3,Sy=-0.3</v>
      </c>
      <c r="C155" s="11"/>
      <c r="D155" s="11"/>
      <c r="E155" s="191"/>
      <c r="F155" s="159">
        <f>U_3.4_SH_SUM!F69</f>
        <v>1026.7806915197709</v>
      </c>
      <c r="G155" s="159">
        <f>U_3.4_SH_SUM!G69</f>
        <v>150.84857814216608</v>
      </c>
      <c r="H155" s="159">
        <f>U_3.4_SH_SUM!H69</f>
        <v>45.021898645163319</v>
      </c>
      <c r="I155" s="159">
        <f>U_3.4_SH_SUM!I69</f>
        <v>854.9746362467921</v>
      </c>
      <c r="J155" s="159">
        <f>U_3.4_SH_SUM!J69</f>
        <v>278.35726271334698</v>
      </c>
      <c r="K155" s="159">
        <f>F155/$C$103</f>
        <v>7.8179123913722851E-2</v>
      </c>
      <c r="L155" s="950">
        <f>data_polation(K155,$S$103:$T$107,2)</f>
        <v>1</v>
      </c>
      <c r="M155" s="159">
        <f t="shared" si="9"/>
        <v>1143.0816723234097</v>
      </c>
      <c r="N155" s="159">
        <f t="shared" si="7"/>
        <v>5943.6707492395199</v>
      </c>
      <c r="O155" s="480">
        <f>(I155/M155)^L155+(J155/N155)^L155</f>
        <v>0.79478841172116155</v>
      </c>
      <c r="P155" s="1038" t="str">
        <f t="shared" si="8"/>
        <v>OK</v>
      </c>
    </row>
    <row r="156" spans="1:16">
      <c r="A156" s="112" t="str">
        <f>U_3.4_SH_SUM!A70</f>
        <v>LC-34</v>
      </c>
      <c r="B156" s="112" t="str">
        <f>U_3.4_SH_SUM!B70</f>
        <v>LC-23 + Seismic Sx=0.3,Sz=1,Sy=-0.3</v>
      </c>
      <c r="C156" s="11"/>
      <c r="D156" s="11"/>
      <c r="E156" s="191"/>
      <c r="F156" s="159">
        <f>U_3.4_SH_SUM!F70</f>
        <v>1026.7806915197709</v>
      </c>
      <c r="G156" s="159">
        <f>U_3.4_SH_SUM!G70</f>
        <v>51.132785324228578</v>
      </c>
      <c r="H156" s="159">
        <f>U_3.4_SH_SUM!H70</f>
        <v>148.27440346310081</v>
      </c>
      <c r="I156" s="159">
        <f>U_3.4_SH_SUM!I70</f>
        <v>294.12449683968316</v>
      </c>
      <c r="J156" s="159">
        <f>U_3.4_SH_SUM!J70</f>
        <v>934.68080847779652</v>
      </c>
      <c r="K156" s="159">
        <f>F156/$C$103</f>
        <v>7.8179123913722851E-2</v>
      </c>
      <c r="L156" s="950">
        <f>data_polation(K156,$S$103:$T$107,2)</f>
        <v>1</v>
      </c>
      <c r="M156" s="159">
        <f t="shared" si="9"/>
        <v>1143.0816723234097</v>
      </c>
      <c r="N156" s="159">
        <f t="shared" si="7"/>
        <v>5943.6707492395199</v>
      </c>
      <c r="O156" s="480">
        <f>(I156/M156)^L156+(J156/N156)^L156</f>
        <v>0.41456487455496249</v>
      </c>
      <c r="P156" s="1038" t="str">
        <f t="shared" si="8"/>
        <v>OK</v>
      </c>
    </row>
    <row r="157" spans="1:16">
      <c r="A157" s="112" t="str">
        <f>U_3.4_SH_SUM!A71</f>
        <v>LC-35</v>
      </c>
      <c r="B157" s="112" t="str">
        <f>U_3.4_SH_SUM!B71</f>
        <v>LC-23 + Seismic Sx=1,Sz=0.3,Sy=0.3</v>
      </c>
      <c r="C157" s="11"/>
      <c r="D157" s="11"/>
      <c r="E157" s="191"/>
      <c r="F157" s="159">
        <f>U_3.4_SH_SUM!F71</f>
        <v>1082.8551685893524</v>
      </c>
      <c r="G157" s="159">
        <f>U_3.4_SH_SUM!G71</f>
        <v>150.84857814216608</v>
      </c>
      <c r="H157" s="159">
        <f>U_3.4_SH_SUM!H71</f>
        <v>45.021898645163319</v>
      </c>
      <c r="I157" s="159">
        <f>U_3.4_SH_SUM!I71</f>
        <v>855.04681562964936</v>
      </c>
      <c r="J157" s="159">
        <f>U_3.4_SH_SUM!J71</f>
        <v>278.04382900894547</v>
      </c>
      <c r="K157" s="159">
        <f>F157/$C$103</f>
        <v>8.2448636894855501E-2</v>
      </c>
      <c r="L157" s="950">
        <f>data_polation(K157,$S$103:$T$107,2)</f>
        <v>1</v>
      </c>
      <c r="M157" s="159">
        <f t="shared" si="9"/>
        <v>1171.5537515479132</v>
      </c>
      <c r="N157" s="159">
        <f t="shared" si="7"/>
        <v>6091.7167450237175</v>
      </c>
      <c r="O157" s="480">
        <f>(I157/M157)^L157+(J157/N157)^L157</f>
        <v>0.77548295645357068</v>
      </c>
      <c r="P157" s="1038" t="str">
        <f t="shared" si="8"/>
        <v>OK</v>
      </c>
    </row>
    <row r="158" spans="1:16">
      <c r="A158" s="112" t="str">
        <f>U_3.4_SH_SUM!A72</f>
        <v>LC-36</v>
      </c>
      <c r="B158" s="112" t="str">
        <f>U_3.4_SH_SUM!B72</f>
        <v>LC-23 + Seismic Sx=0.3,Sz=1,Sy=0.3</v>
      </c>
      <c r="C158" s="11"/>
      <c r="D158" s="11"/>
      <c r="E158" s="191"/>
      <c r="F158" s="159">
        <f>U_3.4_SH_SUM!F72</f>
        <v>1082.8551685893524</v>
      </c>
      <c r="G158" s="159">
        <f>U_3.4_SH_SUM!G72</f>
        <v>51.132785324228578</v>
      </c>
      <c r="H158" s="159">
        <f>U_3.4_SH_SUM!H72</f>
        <v>148.27440346310081</v>
      </c>
      <c r="I158" s="159">
        <f>U_3.4_SH_SUM!I72</f>
        <v>294.1966762225403</v>
      </c>
      <c r="J158" s="159">
        <f>U_3.4_SH_SUM!J72</f>
        <v>934.36737477339511</v>
      </c>
      <c r="K158" s="159">
        <f>F158/$C$103</f>
        <v>8.2448636894855501E-2</v>
      </c>
      <c r="L158" s="950">
        <f>data_polation(K158,$S$103:$T$107,2)</f>
        <v>1</v>
      </c>
      <c r="M158" s="159">
        <f t="shared" si="9"/>
        <v>1171.5537515479132</v>
      </c>
      <c r="N158" s="159">
        <f t="shared" si="7"/>
        <v>6091.7167450237175</v>
      </c>
      <c r="O158" s="480">
        <f>(I158/M158)^L158+(J158/N158)^L158</f>
        <v>0.40449992972847082</v>
      </c>
      <c r="P158" s="1038" t="str">
        <f t="shared" si="8"/>
        <v>OK</v>
      </c>
    </row>
    <row r="159" spans="1:16">
      <c r="A159" s="112"/>
      <c r="B159" s="112"/>
      <c r="F159" s="159"/>
      <c r="G159" s="159"/>
      <c r="H159" s="159"/>
      <c r="I159" s="159"/>
      <c r="J159" s="159"/>
      <c r="K159" s="159"/>
      <c r="L159" s="950"/>
      <c r="M159" s="159"/>
      <c r="N159" s="159"/>
      <c r="O159" s="480"/>
      <c r="P159" s="1038"/>
    </row>
    <row r="160" spans="1:16">
      <c r="A160" s="112" t="str">
        <f>U_3.4_SH_SUM!A74</f>
        <v>LC-37</v>
      </c>
      <c r="B160" s="112" t="str">
        <f>U_3.4_SH_SUM!B74</f>
        <v>LC-24 + Seismic Sx=1,Sz=0.3,Sy=-0.3</v>
      </c>
      <c r="C160" s="11"/>
      <c r="D160" s="11"/>
      <c r="E160" s="191"/>
      <c r="F160" s="159">
        <f>U_3.4_SH_SUM!F74</f>
        <v>1024.3810586511993</v>
      </c>
      <c r="G160" s="159">
        <f>U_3.4_SH_SUM!G74</f>
        <v>150.84857814216608</v>
      </c>
      <c r="H160" s="159">
        <f>U_3.4_SH_SUM!H74</f>
        <v>44.887479376591891</v>
      </c>
      <c r="I160" s="159">
        <f>U_3.4_SH_SUM!I74</f>
        <v>866.33774493250644</v>
      </c>
      <c r="J160" s="159">
        <f>U_3.4_SH_SUM!J74</f>
        <v>277.49746939465967</v>
      </c>
      <c r="K160" s="159">
        <f>F160/$C$103</f>
        <v>7.7996415768810404E-2</v>
      </c>
      <c r="L160" s="950">
        <f>data_polation(K160,$S$103:$T$107,2)</f>
        <v>1</v>
      </c>
      <c r="M160" s="159">
        <f t="shared" si="9"/>
        <v>1141.8632474585838</v>
      </c>
      <c r="N160" s="159">
        <f t="shared" si="7"/>
        <v>5937.3353172192919</v>
      </c>
      <c r="O160" s="480">
        <f>(I160/M160)^L160+(J160/N160)^L160</f>
        <v>0.80544305356255863</v>
      </c>
      <c r="P160" s="1038" t="str">
        <f t="shared" si="8"/>
        <v>OK</v>
      </c>
    </row>
    <row r="161" spans="1:16">
      <c r="A161" s="112" t="str">
        <f>U_3.4_SH_SUM!A75</f>
        <v>LC-38</v>
      </c>
      <c r="B161" s="112" t="str">
        <f>U_3.4_SH_SUM!B75</f>
        <v>LC-24 + Seismic Sx=0.3,Sz=1,Sy=-0.3</v>
      </c>
      <c r="C161" s="11"/>
      <c r="D161" s="11"/>
      <c r="E161" s="191"/>
      <c r="F161" s="159">
        <f>U_3.4_SH_SUM!F75</f>
        <v>1024.3810586511993</v>
      </c>
      <c r="G161" s="159">
        <f>U_3.4_SH_SUM!G75</f>
        <v>51.132785324228578</v>
      </c>
      <c r="H161" s="159">
        <f>U_3.4_SH_SUM!H75</f>
        <v>147.82633923452937</v>
      </c>
      <c r="I161" s="159">
        <f>U_3.4_SH_SUM!I75</f>
        <v>305.48760552539744</v>
      </c>
      <c r="J161" s="159">
        <f>U_3.4_SH_SUM!J75</f>
        <v>930.94645910070949</v>
      </c>
      <c r="K161" s="159">
        <f>F161/$C$103</f>
        <v>7.7996415768810404E-2</v>
      </c>
      <c r="L161" s="950">
        <f>data_polation(K161,$S$103:$T$107,2)</f>
        <v>1</v>
      </c>
      <c r="M161" s="159">
        <f t="shared" si="9"/>
        <v>1141.8632474585838</v>
      </c>
      <c r="N161" s="159">
        <f t="shared" si="7"/>
        <v>5937.3353172192919</v>
      </c>
      <c r="O161" s="480">
        <f>(I161/M161)^L161+(J161/N161)^L161</f>
        <v>0.42432964978977633</v>
      </c>
      <c r="P161" s="1038" t="str">
        <f t="shared" si="8"/>
        <v>OK</v>
      </c>
    </row>
    <row r="162" spans="1:16">
      <c r="A162" s="112" t="str">
        <f>U_3.4_SH_SUM!A76</f>
        <v>LC-39</v>
      </c>
      <c r="B162" s="112" t="str">
        <f>U_3.4_SH_SUM!B76</f>
        <v>LC-24 + Seismic Sx=1,Sz=0.3,Sy=0.3</v>
      </c>
      <c r="C162" s="11"/>
      <c r="D162" s="11"/>
      <c r="E162" s="191"/>
      <c r="F162" s="159">
        <f>U_3.4_SH_SUM!F76</f>
        <v>1080.2763100293525</v>
      </c>
      <c r="G162" s="159">
        <f>U_3.4_SH_SUM!G76</f>
        <v>150.84857814216608</v>
      </c>
      <c r="H162" s="159">
        <f>U_3.4_SH_SUM!H76</f>
        <v>44.887479376591891</v>
      </c>
      <c r="I162" s="159">
        <f>U_3.4_SH_SUM!I76</f>
        <v>867.25862122964941</v>
      </c>
      <c r="J162" s="159">
        <f>U_3.4_SH_SUM!J76</f>
        <v>277.2118318188883</v>
      </c>
      <c r="K162" s="159">
        <f>F162/$C$103</f>
        <v>8.2252282498455842E-2</v>
      </c>
      <c r="L162" s="950">
        <f>data_polation(K162,$S$103:$T$107,2)</f>
        <v>1</v>
      </c>
      <c r="M162" s="159">
        <f t="shared" si="9"/>
        <v>1170.2443239960878</v>
      </c>
      <c r="N162" s="159">
        <f t="shared" si="7"/>
        <v>6084.908127209449</v>
      </c>
      <c r="O162" s="480">
        <f>(I162/M162)^L162+(J162/N162)^L162</f>
        <v>0.78664920190639775</v>
      </c>
      <c r="P162" s="1038" t="str">
        <f t="shared" si="8"/>
        <v>OK</v>
      </c>
    </row>
    <row r="163" spans="1:16">
      <c r="A163" s="112" t="str">
        <f>U_3.4_SH_SUM!A77</f>
        <v>LC-40</v>
      </c>
      <c r="B163" s="112" t="str">
        <f>U_3.4_SH_SUM!B77</f>
        <v>LC-24 + Seismic Sx=0.3,Sz=1,Sy=0.3</v>
      </c>
      <c r="C163" s="11"/>
      <c r="D163" s="11"/>
      <c r="E163" s="191"/>
      <c r="F163" s="159">
        <f>U_3.4_SH_SUM!F77</f>
        <v>1080.2763100293525</v>
      </c>
      <c r="G163" s="159">
        <f>U_3.4_SH_SUM!G77</f>
        <v>51.132785324228578</v>
      </c>
      <c r="H163" s="159">
        <f>U_3.4_SH_SUM!H77</f>
        <v>147.82633923452937</v>
      </c>
      <c r="I163" s="159">
        <f>U_3.4_SH_SUM!I77</f>
        <v>306.4084818225403</v>
      </c>
      <c r="J163" s="159">
        <f>U_3.4_SH_SUM!J77</f>
        <v>930.660821524938</v>
      </c>
      <c r="K163" s="159">
        <f>F163/$C$103</f>
        <v>8.2252282498455842E-2</v>
      </c>
      <c r="L163" s="950">
        <f>data_polation(K163,$S$103:$T$107,2)</f>
        <v>1</v>
      </c>
      <c r="M163" s="159">
        <f t="shared" si="9"/>
        <v>1170.2443239960878</v>
      </c>
      <c r="N163" s="159">
        <f t="shared" si="7"/>
        <v>6084.908127209449</v>
      </c>
      <c r="O163" s="480">
        <f>(I163/M163)^L163+(J163/N163)^L163</f>
        <v>0.41477866174800804</v>
      </c>
      <c r="P163" s="1038" t="str">
        <f t="shared" si="8"/>
        <v>OK</v>
      </c>
    </row>
    <row r="164" spans="1:16">
      <c r="A164" s="112"/>
      <c r="B164" s="112"/>
      <c r="C164" s="11"/>
      <c r="D164" s="11"/>
      <c r="E164" s="191"/>
      <c r="F164" s="34"/>
      <c r="G164" s="34"/>
      <c r="H164" s="34"/>
      <c r="I164" s="34"/>
      <c r="J164" s="11"/>
      <c r="K164" s="159"/>
      <c r="L164" s="950"/>
      <c r="M164" s="159"/>
      <c r="N164" s="159"/>
      <c r="O164" s="1527"/>
      <c r="P164" s="947"/>
    </row>
    <row r="166" spans="1:16" s="1515" customFormat="1">
      <c r="A166" s="1366" t="s">
        <v>1871</v>
      </c>
      <c r="B166" s="1332"/>
      <c r="C166" s="1332"/>
      <c r="D166" s="1332"/>
      <c r="E166" s="1332"/>
      <c r="F166" s="1367"/>
      <c r="G166" s="1367"/>
      <c r="H166" s="1367"/>
      <c r="I166" s="1367"/>
      <c r="J166" s="1336"/>
      <c r="K166" s="1336"/>
      <c r="L166" s="1332"/>
      <c r="M166" s="1332"/>
      <c r="N166" s="1335"/>
      <c r="O166" s="1327"/>
    </row>
    <row r="167" spans="1:16" s="1515" customFormat="1">
      <c r="A167" s="1338" t="s">
        <v>411</v>
      </c>
      <c r="B167" s="1338"/>
      <c r="C167" s="1338"/>
      <c r="D167" s="1327"/>
      <c r="E167" s="1338" t="s">
        <v>1</v>
      </c>
      <c r="F167" s="1516">
        <f>GEN!H19</f>
        <v>35</v>
      </c>
      <c r="G167" s="1342" t="s">
        <v>293</v>
      </c>
      <c r="H167" s="1367"/>
      <c r="I167" s="1327"/>
      <c r="J167" s="1327"/>
      <c r="K167" s="1327"/>
      <c r="L167" s="1332"/>
      <c r="M167" s="1332"/>
      <c r="N167" s="1335"/>
    </row>
    <row r="168" spans="1:16" s="1515" customFormat="1">
      <c r="A168" s="1338" t="s">
        <v>418</v>
      </c>
      <c r="B168" s="1338"/>
      <c r="C168" s="1338"/>
      <c r="D168" s="1327"/>
      <c r="E168" s="1338" t="s">
        <v>1</v>
      </c>
      <c r="F168" s="1516">
        <f>GEN!H27</f>
        <v>500</v>
      </c>
      <c r="G168" s="1338" t="s">
        <v>293</v>
      </c>
      <c r="H168" s="1367"/>
      <c r="I168" s="1327"/>
      <c r="J168" s="1327"/>
      <c r="K168" s="1327"/>
      <c r="L168" s="1332"/>
      <c r="M168" s="1332"/>
      <c r="N168" s="1335"/>
    </row>
    <row r="169" spans="1:16" s="1515" customFormat="1" ht="18">
      <c r="A169" s="1332" t="s">
        <v>436</v>
      </c>
      <c r="B169" s="1332"/>
      <c r="C169" s="1332"/>
      <c r="D169" s="1332" t="s">
        <v>433</v>
      </c>
      <c r="E169" s="1332" t="s">
        <v>1</v>
      </c>
      <c r="F169" s="1337">
        <f>U117</f>
        <v>152.79737814216605</v>
      </c>
      <c r="G169" s="1332" t="s">
        <v>34</v>
      </c>
      <c r="H169" s="1332"/>
      <c r="I169" s="1327"/>
      <c r="J169" s="1332"/>
      <c r="K169" s="1332"/>
      <c r="L169" s="1332"/>
      <c r="M169" s="1332"/>
      <c r="N169" s="1335"/>
    </row>
    <row r="170" spans="1:16" s="1515" customFormat="1" ht="18">
      <c r="A170" s="1332"/>
      <c r="B170" s="1332"/>
      <c r="C170" s="1332"/>
      <c r="D170" s="1332" t="s">
        <v>1484</v>
      </c>
      <c r="E170" s="1332" t="s">
        <v>1</v>
      </c>
      <c r="F170" s="1337">
        <f>U116</f>
        <v>999.72203780548512</v>
      </c>
      <c r="G170" s="1332" t="s">
        <v>34</v>
      </c>
      <c r="H170" s="1332"/>
      <c r="I170" s="1327"/>
      <c r="J170" s="1335"/>
      <c r="K170" s="1335"/>
      <c r="L170" s="1335"/>
      <c r="M170" s="1335"/>
      <c r="N170" s="1335"/>
    </row>
    <row r="171" spans="1:16" s="1515" customFormat="1">
      <c r="A171" s="1332"/>
      <c r="B171" s="1332"/>
      <c r="C171" s="1332"/>
      <c r="D171" s="1332"/>
      <c r="E171" s="1332"/>
      <c r="F171" s="1337"/>
      <c r="G171" s="1332"/>
      <c r="H171" s="1332"/>
      <c r="I171" s="1327"/>
      <c r="J171" s="1335"/>
      <c r="K171" s="1335"/>
      <c r="L171" s="1335"/>
      <c r="M171" s="1335"/>
      <c r="N171" s="1335"/>
    </row>
    <row r="172" spans="1:16" s="1515" customFormat="1">
      <c r="A172" s="1332" t="s">
        <v>133</v>
      </c>
      <c r="B172" s="1327"/>
      <c r="C172" s="1327"/>
      <c r="D172" s="1327"/>
      <c r="E172" s="1332" t="s">
        <v>1</v>
      </c>
      <c r="F172" s="1353">
        <f>U_3.4_SH_SUM!C20/1000</f>
        <v>1.2</v>
      </c>
      <c r="G172" s="1332" t="s">
        <v>2</v>
      </c>
      <c r="H172" s="1332"/>
      <c r="I172" s="1327"/>
      <c r="J172" s="1335"/>
      <c r="K172" s="1335"/>
      <c r="L172" s="1335"/>
      <c r="M172" s="1335"/>
      <c r="N172" s="1335"/>
    </row>
    <row r="173" spans="1:16" s="1515" customFormat="1">
      <c r="A173" s="1332" t="s">
        <v>25</v>
      </c>
      <c r="B173" s="1327"/>
      <c r="C173" s="1327"/>
      <c r="D173" s="1327"/>
      <c r="E173" s="1332" t="s">
        <v>1</v>
      </c>
      <c r="F173" s="1353">
        <f>U_3.4_SH_SUM!F11/1000</f>
        <v>6.3485281374238571</v>
      </c>
      <c r="G173" s="1332" t="s">
        <v>2</v>
      </c>
      <c r="H173" s="1332"/>
      <c r="I173" s="1327"/>
      <c r="J173" s="1335"/>
      <c r="K173" s="1335"/>
      <c r="L173" s="1335"/>
      <c r="M173" s="1335"/>
      <c r="N173" s="1335"/>
    </row>
    <row r="174" spans="1:16" s="1515" customFormat="1" ht="17.25">
      <c r="A174" s="1332" t="s">
        <v>457</v>
      </c>
      <c r="B174" s="1335"/>
      <c r="C174" s="1327"/>
      <c r="D174" s="1327"/>
      <c r="E174" s="1338" t="s">
        <v>1</v>
      </c>
      <c r="F174" s="1372">
        <f>F172*F173</f>
        <v>7.618233764908628</v>
      </c>
      <c r="G174" s="1338" t="s">
        <v>458</v>
      </c>
      <c r="H174" s="1338"/>
      <c r="I174" s="1327"/>
      <c r="J174" s="1335"/>
      <c r="K174" s="1335"/>
      <c r="L174" s="1335"/>
      <c r="M174" s="1335"/>
      <c r="N174" s="1335"/>
    </row>
    <row r="175" spans="1:16" s="1515" customFormat="1">
      <c r="A175" s="1332"/>
      <c r="B175" s="1332"/>
      <c r="C175" s="1332"/>
      <c r="D175" s="1332"/>
      <c r="E175" s="1332"/>
      <c r="F175" s="1337"/>
      <c r="G175" s="1332"/>
      <c r="H175" s="1332"/>
      <c r="I175" s="1327"/>
      <c r="J175" s="1335"/>
      <c r="K175" s="1335"/>
      <c r="L175" s="1335"/>
      <c r="M175" s="1335"/>
      <c r="N175" s="1335"/>
    </row>
    <row r="176" spans="1:16" s="1515" customFormat="1">
      <c r="A176" s="1369" t="s">
        <v>582</v>
      </c>
      <c r="B176" s="1332"/>
      <c r="C176" s="1332"/>
      <c r="D176" s="1332"/>
      <c r="E176" s="1332"/>
      <c r="F176" s="1332"/>
      <c r="G176" s="1332"/>
      <c r="H176" s="1332"/>
      <c r="I176" s="1332"/>
      <c r="J176" s="1332"/>
      <c r="K176" s="1332"/>
      <c r="L176" s="1332"/>
      <c r="M176" s="1332"/>
      <c r="N176" s="1335"/>
    </row>
    <row r="177" spans="1:15" s="1515" customFormat="1">
      <c r="A177" s="1339" t="s">
        <v>576</v>
      </c>
      <c r="B177" s="1332"/>
      <c r="C177" s="1327"/>
      <c r="D177" s="1327"/>
      <c r="E177" s="1363" t="s">
        <v>1</v>
      </c>
      <c r="F177" s="1363" t="s">
        <v>581</v>
      </c>
      <c r="G177" s="1363"/>
      <c r="H177" s="1363"/>
      <c r="I177" s="1363" t="s">
        <v>591</v>
      </c>
      <c r="J177" s="1363"/>
      <c r="K177" s="1332"/>
      <c r="L177" s="1332"/>
      <c r="M177" s="1332"/>
      <c r="N177" s="1335"/>
    </row>
    <row r="178" spans="1:15" s="1515" customFormat="1">
      <c r="A178" s="1332"/>
      <c r="B178" s="1332"/>
      <c r="C178" s="1327"/>
      <c r="D178" s="1327"/>
      <c r="E178" s="1332" t="s">
        <v>1</v>
      </c>
      <c r="F178" s="1332">
        <f>0.6*(1-F167/310)</f>
        <v>0.532258064516129</v>
      </c>
      <c r="G178" s="1332"/>
      <c r="H178" s="1332"/>
      <c r="I178" s="1332"/>
      <c r="J178" s="1332"/>
      <c r="K178" s="1332"/>
      <c r="L178" s="1332"/>
      <c r="M178" s="1332"/>
      <c r="N178" s="1335"/>
    </row>
    <row r="179" spans="1:15" s="1515" customFormat="1">
      <c r="A179" s="1332"/>
      <c r="B179" s="1332"/>
      <c r="C179" s="1332"/>
      <c r="D179" s="1332"/>
      <c r="E179" s="1332"/>
      <c r="F179" s="1332"/>
      <c r="G179" s="1332"/>
      <c r="H179" s="1332"/>
      <c r="I179" s="1332"/>
      <c r="J179" s="1332"/>
      <c r="K179" s="1332"/>
      <c r="L179" s="1332"/>
      <c r="M179" s="1332"/>
      <c r="N179" s="1335"/>
    </row>
    <row r="180" spans="1:15" s="1515" customFormat="1">
      <c r="A180" s="1332" t="s">
        <v>331</v>
      </c>
      <c r="B180" s="1332"/>
      <c r="C180" s="1327"/>
      <c r="D180" s="1327"/>
      <c r="E180" s="1363" t="s">
        <v>1</v>
      </c>
      <c r="F180" s="1517">
        <v>0.44700000000000001</v>
      </c>
      <c r="G180" s="1363" t="s">
        <v>345</v>
      </c>
      <c r="H180" s="1332" t="s">
        <v>1</v>
      </c>
      <c r="I180" s="1337">
        <f>F180*F167</f>
        <v>15.645</v>
      </c>
      <c r="J180" s="1332" t="s">
        <v>293</v>
      </c>
      <c r="K180" s="1332"/>
      <c r="L180" s="1332"/>
      <c r="M180" s="1332"/>
      <c r="N180" s="1335"/>
      <c r="O180" s="1335"/>
    </row>
    <row r="181" spans="1:15" s="1515" customFormat="1">
      <c r="A181" s="1332"/>
      <c r="B181" s="1332"/>
      <c r="C181" s="1327"/>
      <c r="D181" s="1327"/>
      <c r="E181" s="1332"/>
      <c r="F181" s="1332"/>
      <c r="G181" s="1332"/>
      <c r="H181" s="1332"/>
      <c r="I181" s="1332"/>
      <c r="J181" s="1332"/>
      <c r="K181" s="1332"/>
      <c r="L181" s="1332"/>
      <c r="M181" s="1332"/>
      <c r="N181" s="1335"/>
      <c r="O181" s="1335"/>
    </row>
    <row r="182" spans="1:15" s="1515" customFormat="1" ht="18">
      <c r="A182" s="1332" t="s">
        <v>583</v>
      </c>
      <c r="B182" s="1332"/>
      <c r="C182" s="1327"/>
      <c r="D182" s="1327"/>
      <c r="E182" s="1363" t="s">
        <v>1</v>
      </c>
      <c r="F182" s="1363" t="s">
        <v>580</v>
      </c>
      <c r="G182" s="1363"/>
      <c r="H182" s="1332"/>
      <c r="I182" s="1332"/>
      <c r="J182" s="1332"/>
      <c r="K182" s="1332"/>
      <c r="L182" s="1332"/>
      <c r="M182" s="1332"/>
      <c r="N182" s="1335"/>
      <c r="O182" s="1335"/>
    </row>
    <row r="183" spans="1:15" s="1515" customFormat="1">
      <c r="A183" s="1332"/>
      <c r="B183" s="1332"/>
      <c r="C183" s="1327"/>
      <c r="D183" s="1327"/>
      <c r="E183" s="1332" t="s">
        <v>1</v>
      </c>
      <c r="F183" s="1332">
        <f>0.5*F173*1000*(F172*1000)*F178*I180/10^4</f>
        <v>3171.9192091256864</v>
      </c>
      <c r="G183" s="1332" t="s">
        <v>34</v>
      </c>
      <c r="H183" s="1341" t="str">
        <f>IF(F183&lt;I183,"&lt;","&gt;")</f>
        <v>&gt;</v>
      </c>
      <c r="I183" s="1337">
        <f>F169</f>
        <v>152.79737814216605</v>
      </c>
      <c r="J183" s="1332" t="s">
        <v>34</v>
      </c>
      <c r="K183" s="1365" t="str">
        <f>IF(F183&lt;I183,"REVISE SECTION","OK")</f>
        <v>OK</v>
      </c>
      <c r="L183" s="1365"/>
      <c r="M183" s="1370"/>
      <c r="N183" s="1335"/>
      <c r="O183" s="1335"/>
    </row>
    <row r="184" spans="1:15" s="1515" customFormat="1">
      <c r="A184" s="1332"/>
      <c r="B184" s="1332"/>
      <c r="C184" s="1332"/>
      <c r="D184" s="1332"/>
      <c r="E184" s="1332"/>
      <c r="F184" s="1341"/>
      <c r="G184" s="1337"/>
      <c r="H184" s="1332"/>
      <c r="I184" s="1332"/>
      <c r="J184" s="1332"/>
      <c r="K184" s="1332"/>
      <c r="L184" s="1332"/>
      <c r="M184" s="1332"/>
      <c r="N184" s="1335"/>
      <c r="O184" s="1335"/>
    </row>
    <row r="185" spans="1:15" s="1515" customFormat="1">
      <c r="A185" s="1371" t="s">
        <v>590</v>
      </c>
      <c r="B185" s="1332"/>
      <c r="C185" s="1332"/>
      <c r="D185" s="1332"/>
      <c r="E185" s="1332"/>
      <c r="F185" s="1332"/>
      <c r="G185" s="1332"/>
      <c r="H185" s="1332"/>
      <c r="I185" s="1332"/>
      <c r="J185" s="1332"/>
      <c r="K185" s="1332"/>
      <c r="L185" s="1332"/>
      <c r="M185" s="1332"/>
      <c r="N185" s="1335"/>
      <c r="O185" s="1335"/>
    </row>
    <row r="186" spans="1:15" s="1515" customFormat="1">
      <c r="A186" s="1363" t="s">
        <v>424</v>
      </c>
      <c r="B186" s="1327"/>
      <c r="C186" s="1327"/>
      <c r="D186" s="1327"/>
      <c r="E186" s="1363" t="s">
        <v>1</v>
      </c>
      <c r="F186" s="1363" t="s">
        <v>425</v>
      </c>
      <c r="G186" s="1363" t="s">
        <v>426</v>
      </c>
      <c r="H186" s="1363"/>
      <c r="I186" s="1363" t="s">
        <v>427</v>
      </c>
      <c r="J186" s="1363"/>
      <c r="K186" s="1332"/>
      <c r="L186" s="1332"/>
      <c r="M186" s="1332"/>
      <c r="N186" s="1335"/>
      <c r="O186" s="1335"/>
    </row>
    <row r="187" spans="1:15" s="1515" customFormat="1">
      <c r="A187" s="1363"/>
      <c r="B187" s="1327"/>
      <c r="C187" s="1327"/>
      <c r="D187" s="1327"/>
      <c r="E187" s="1363"/>
      <c r="F187" s="1363"/>
      <c r="G187" s="1363">
        <v>2</v>
      </c>
      <c r="H187" s="1363"/>
      <c r="I187" s="1363"/>
      <c r="J187" s="1363"/>
      <c r="K187" s="1332"/>
      <c r="L187" s="1332"/>
      <c r="M187" s="1332"/>
      <c r="N187" s="1335"/>
      <c r="O187" s="1335"/>
    </row>
    <row r="188" spans="1:15" s="1515" customFormat="1">
      <c r="A188" s="1332" t="s">
        <v>424</v>
      </c>
      <c r="B188" s="1327"/>
      <c r="C188" s="1327"/>
      <c r="D188" s="1327"/>
      <c r="E188" s="1332" t="s">
        <v>1</v>
      </c>
      <c r="F188" s="1353">
        <f>MIN(1+SQRT(200/F172/1000),2)</f>
        <v>1.4082482904638631</v>
      </c>
      <c r="G188" s="1332"/>
      <c r="H188" s="1332"/>
      <c r="I188" s="1332"/>
      <c r="J188" s="1332"/>
      <c r="K188" s="1332"/>
      <c r="L188" s="1332"/>
      <c r="M188" s="1332"/>
      <c r="N188" s="1335"/>
      <c r="O188" s="1335"/>
    </row>
    <row r="189" spans="1:15" s="1515" customFormat="1">
      <c r="A189" s="1332"/>
      <c r="B189" s="1332"/>
      <c r="C189" s="1332"/>
      <c r="D189" s="1332"/>
      <c r="E189" s="1332"/>
      <c r="F189" s="1332"/>
      <c r="G189" s="1332"/>
      <c r="H189" s="1332"/>
      <c r="I189" s="1332"/>
      <c r="J189" s="1332"/>
      <c r="K189" s="1332"/>
      <c r="L189" s="1332"/>
      <c r="M189" s="1332"/>
      <c r="N189" s="1335"/>
      <c r="O189" s="1335"/>
    </row>
    <row r="190" spans="1:15" s="1515" customFormat="1">
      <c r="A190" s="1338" t="s">
        <v>259</v>
      </c>
      <c r="B190" s="1338"/>
      <c r="C190" s="1335"/>
      <c r="D190" s="1327"/>
      <c r="E190" s="1338" t="s">
        <v>1</v>
      </c>
      <c r="F190" s="1338">
        <f>O22</f>
        <v>12264.777719614553</v>
      </c>
      <c r="G190" s="1338" t="s">
        <v>1485</v>
      </c>
      <c r="H190" s="1335" t="s">
        <v>1875</v>
      </c>
      <c r="I190" s="1335"/>
      <c r="J190" s="1335"/>
      <c r="K190" s="1332"/>
      <c r="L190" s="1332"/>
      <c r="M190" s="1332"/>
      <c r="N190" s="1335"/>
      <c r="O190" s="1335"/>
    </row>
    <row r="191" spans="1:15" s="1515" customFormat="1">
      <c r="A191" s="1338"/>
      <c r="B191" s="1338"/>
      <c r="C191" s="1338"/>
      <c r="D191" s="1335"/>
      <c r="E191" s="1335"/>
      <c r="F191" s="1335"/>
      <c r="G191" s="1335"/>
      <c r="H191" s="1335"/>
      <c r="I191" s="1332"/>
      <c r="J191" s="1332"/>
      <c r="K191" s="1332"/>
      <c r="L191" s="1332"/>
      <c r="M191" s="1332"/>
      <c r="N191" s="1335"/>
      <c r="O191" s="1335"/>
    </row>
    <row r="192" spans="1:15" s="1515" customFormat="1">
      <c r="A192" s="1363" t="s">
        <v>428</v>
      </c>
      <c r="B192" s="1327"/>
      <c r="C192" s="1327"/>
      <c r="D192" s="1327"/>
      <c r="E192" s="1363" t="s">
        <v>1</v>
      </c>
      <c r="F192" s="1363" t="s">
        <v>425</v>
      </c>
      <c r="G192" s="1363" t="s">
        <v>429</v>
      </c>
      <c r="H192" s="1363"/>
      <c r="I192" s="1332" t="s">
        <v>1</v>
      </c>
      <c r="J192" s="1373">
        <f>MIN(F190/(F172*1000*F173*1000),0.02)</f>
        <v>1.609924045138782E-3</v>
      </c>
      <c r="K192" s="1332"/>
      <c r="L192" s="1332"/>
      <c r="M192" s="1332"/>
      <c r="N192" s="1335"/>
      <c r="O192" s="1335"/>
    </row>
    <row r="193" spans="1:32" s="1515" customFormat="1">
      <c r="A193" s="1363"/>
      <c r="B193" s="1327"/>
      <c r="C193" s="1327"/>
      <c r="D193" s="1327"/>
      <c r="E193" s="1363"/>
      <c r="F193" s="1363"/>
      <c r="G193" s="1363">
        <v>0.02</v>
      </c>
      <c r="H193" s="1363"/>
      <c r="I193" s="1332"/>
      <c r="J193" s="1332"/>
      <c r="K193" s="1332"/>
      <c r="L193" s="1332"/>
      <c r="M193" s="1332"/>
      <c r="N193" s="1335"/>
      <c r="O193" s="1335"/>
    </row>
    <row r="194" spans="1:32" s="1515" customFormat="1">
      <c r="A194" s="1332"/>
      <c r="B194" s="1332"/>
      <c r="C194" s="1332"/>
      <c r="D194" s="1332"/>
      <c r="E194" s="1335"/>
      <c r="F194" s="1332"/>
      <c r="G194" s="1332"/>
      <c r="H194" s="1332"/>
      <c r="I194" s="1332"/>
      <c r="J194" s="1332"/>
      <c r="K194" s="1332"/>
      <c r="L194" s="1332"/>
      <c r="M194" s="1332"/>
      <c r="N194" s="1335"/>
      <c r="O194" s="1335"/>
    </row>
    <row r="195" spans="1:32" s="1515" customFormat="1" ht="18">
      <c r="A195" s="1332" t="s">
        <v>1835</v>
      </c>
      <c r="B195" s="1335"/>
      <c r="C195" s="1327"/>
      <c r="D195" s="1327"/>
      <c r="E195" s="1374" t="s">
        <v>1</v>
      </c>
      <c r="F195" s="1518">
        <f>F170*10^4/F174/10^6</f>
        <v>1.3122753497148372</v>
      </c>
      <c r="G195" s="1374" t="s">
        <v>293</v>
      </c>
      <c r="H195" s="1332"/>
      <c r="I195" s="1332"/>
      <c r="J195" s="1332"/>
      <c r="K195" s="1332"/>
      <c r="L195" s="1332"/>
      <c r="M195" s="1332"/>
      <c r="N195" s="1335"/>
      <c r="O195" s="1335"/>
    </row>
    <row r="196" spans="1:32" s="1515" customFormat="1">
      <c r="I196" s="1332"/>
      <c r="J196" s="1332"/>
      <c r="K196" s="1332"/>
      <c r="L196" s="1332"/>
      <c r="M196" s="1332"/>
      <c r="N196" s="1335"/>
      <c r="O196" s="1335"/>
    </row>
    <row r="197" spans="1:32" s="1515" customFormat="1" ht="18.75">
      <c r="A197" s="1363" t="s">
        <v>431</v>
      </c>
      <c r="B197" s="1327"/>
      <c r="C197" s="1327"/>
      <c r="D197" s="1327"/>
      <c r="E197" s="1374" t="s">
        <v>1</v>
      </c>
      <c r="F197" s="1374" t="s">
        <v>432</v>
      </c>
      <c r="G197" s="1374"/>
      <c r="H197" s="1338" t="s">
        <v>1</v>
      </c>
      <c r="I197" s="1337">
        <f>0.031*F188^1.5 * F167^0.5</f>
        <v>0.30648876916489909</v>
      </c>
      <c r="J197" s="1332"/>
      <c r="K197" s="1332"/>
      <c r="L197" s="1332"/>
      <c r="M197" s="1332"/>
      <c r="N197" s="1335"/>
      <c r="O197" s="1335"/>
    </row>
    <row r="198" spans="1:32" s="1515" customFormat="1">
      <c r="A198" s="1332"/>
      <c r="B198" s="1338"/>
      <c r="C198" s="1332"/>
      <c r="D198" s="1332"/>
      <c r="E198" s="1332"/>
      <c r="F198" s="1332"/>
      <c r="G198" s="1332"/>
      <c r="H198" s="1332"/>
      <c r="I198" s="1332"/>
      <c r="J198" s="1332"/>
      <c r="K198" s="1332"/>
      <c r="L198" s="1332"/>
      <c r="M198" s="1332"/>
      <c r="N198" s="1335"/>
      <c r="O198" s="1335"/>
    </row>
    <row r="199" spans="1:32" s="1515" customFormat="1" ht="18.75">
      <c r="A199" s="1363" t="s">
        <v>419</v>
      </c>
      <c r="B199" s="1333" t="s">
        <v>422</v>
      </c>
      <c r="C199" s="1327"/>
      <c r="D199" s="1327"/>
      <c r="E199" s="1363" t="s">
        <v>1</v>
      </c>
      <c r="F199" s="1363" t="s">
        <v>420</v>
      </c>
      <c r="G199" s="1363" t="s">
        <v>421</v>
      </c>
      <c r="H199" s="1363"/>
      <c r="I199" s="1363"/>
      <c r="J199" s="1363"/>
      <c r="K199" s="1363"/>
      <c r="L199" s="1332"/>
      <c r="M199" s="1332"/>
      <c r="N199" s="1335"/>
      <c r="O199" s="1335"/>
      <c r="S199" s="1563" t="s">
        <v>728</v>
      </c>
      <c r="T199" s="1344"/>
      <c r="U199" s="1344"/>
      <c r="V199" s="1344"/>
      <c r="W199" s="1344"/>
      <c r="X199" s="1344"/>
      <c r="Y199" s="1344"/>
      <c r="Z199" s="1344"/>
      <c r="AA199" s="1344"/>
      <c r="AB199" s="1344"/>
      <c r="AC199" s="1344"/>
      <c r="AD199" s="1344"/>
      <c r="AE199" s="1344"/>
      <c r="AF199" s="1564"/>
    </row>
    <row r="200" spans="1:32" s="1515" customFormat="1" ht="18">
      <c r="A200" s="1328"/>
      <c r="B200" s="1327"/>
      <c r="C200" s="1327"/>
      <c r="D200" s="1327"/>
      <c r="E200" s="1363"/>
      <c r="F200" s="1363"/>
      <c r="G200" s="1363" t="s">
        <v>423</v>
      </c>
      <c r="H200" s="1363"/>
      <c r="I200" s="1363"/>
      <c r="J200" s="1363"/>
      <c r="K200" s="1363"/>
      <c r="L200" s="1332"/>
      <c r="M200" s="1332"/>
      <c r="N200" s="1335"/>
      <c r="O200" s="1335"/>
      <c r="S200" s="1348" t="s">
        <v>729</v>
      </c>
      <c r="T200" s="1338"/>
      <c r="U200" s="1338" t="s">
        <v>1</v>
      </c>
      <c r="V200" s="1338" t="s">
        <v>614</v>
      </c>
      <c r="W200" s="1338"/>
      <c r="X200" s="1338"/>
      <c r="Y200" s="1338"/>
      <c r="Z200" s="1338"/>
      <c r="AA200" s="1338"/>
      <c r="AB200" s="1338"/>
      <c r="AC200" s="1338"/>
      <c r="AD200" s="1338"/>
      <c r="AE200" s="1338"/>
      <c r="AF200" s="1565"/>
    </row>
    <row r="201" spans="1:32" s="1515" customFormat="1" ht="18">
      <c r="A201" s="1332"/>
      <c r="B201" s="1332"/>
      <c r="C201" s="1332"/>
      <c r="D201" s="1332"/>
      <c r="E201" s="1332" t="s">
        <v>1</v>
      </c>
      <c r="F201" s="1337">
        <f>MAX((0.12*F188*(80*J192*F167)^0.33 +0.15*F195)*(F173*1000)*(F172*1000)/10^4,(I197+0.15*F195)*(F173*1000)*(F172*1000)/10^4)</f>
        <v>383.4486146525548</v>
      </c>
      <c r="G201" s="1332" t="s">
        <v>34</v>
      </c>
      <c r="H201" s="1341" t="str">
        <f>IF(F201&lt;I201,"&lt;","&gt;")</f>
        <v>&gt;</v>
      </c>
      <c r="I201" s="1377">
        <f>F169</f>
        <v>152.79737814216605</v>
      </c>
      <c r="J201" s="1332" t="s">
        <v>34</v>
      </c>
      <c r="K201" s="1327"/>
      <c r="L201" s="1332"/>
      <c r="M201" s="1332"/>
      <c r="N201" s="1335"/>
      <c r="O201" s="1335"/>
      <c r="S201" s="1566" t="s">
        <v>68</v>
      </c>
      <c r="T201" s="1338"/>
      <c r="U201" s="1338" t="s">
        <v>1</v>
      </c>
      <c r="V201" s="1338" t="s">
        <v>721</v>
      </c>
      <c r="W201" s="1338"/>
      <c r="X201" s="1338"/>
      <c r="Y201" s="1338"/>
      <c r="Z201" s="1338"/>
      <c r="AA201" s="1343" t="s">
        <v>722</v>
      </c>
      <c r="AB201" s="1344" t="s">
        <v>1</v>
      </c>
      <c r="AC201" s="1378">
        <v>1</v>
      </c>
      <c r="AD201" s="1379"/>
      <c r="AE201" s="1338"/>
      <c r="AF201" s="1565"/>
    </row>
    <row r="202" spans="1:32" s="1515" customFormat="1">
      <c r="A202" s="1332"/>
      <c r="B202" s="1327"/>
      <c r="C202" s="1327"/>
      <c r="D202" s="1327"/>
      <c r="E202" s="1365" t="str">
        <f>IF(F201&lt;I201,"PROVIDE DESIGN SHEAR REINF.","PROVIDE MINIMUM SHEAR REINFORCEMENT")</f>
        <v>PROVIDE MINIMUM SHEAR REINFORCEMENT</v>
      </c>
      <c r="F202" s="1365"/>
      <c r="G202" s="1370"/>
      <c r="H202" s="1370"/>
      <c r="I202" s="1370"/>
      <c r="J202" s="1370"/>
      <c r="K202" s="1332"/>
      <c r="L202" s="1327"/>
      <c r="M202" s="1327"/>
      <c r="N202" s="1335"/>
      <c r="O202" s="1335"/>
      <c r="S202" s="1348"/>
      <c r="T202" s="1338"/>
      <c r="U202" s="1338" t="s">
        <v>1</v>
      </c>
      <c r="V202" s="1376">
        <f>DEGREES(0.5 *ASIN(2*F169*10^4/(AC201*1000*(AC204*1000)*AC202*I180)))</f>
        <v>8.7719408239861565</v>
      </c>
      <c r="W202" s="1338" t="s">
        <v>168</v>
      </c>
      <c r="X202" s="1338"/>
      <c r="Y202" s="1338"/>
      <c r="Z202" s="1338"/>
      <c r="AA202" s="1348" t="s">
        <v>723</v>
      </c>
      <c r="AB202" s="1338" t="s">
        <v>1</v>
      </c>
      <c r="AC202" s="1380">
        <v>0.6</v>
      </c>
      <c r="AD202" s="1381"/>
      <c r="AE202" s="1338"/>
      <c r="AF202" s="1565"/>
    </row>
    <row r="203" spans="1:32" s="1515" customFormat="1">
      <c r="A203" s="1332"/>
      <c r="B203" s="1332"/>
      <c r="C203" s="1327"/>
      <c r="D203" s="1327"/>
      <c r="E203" s="1327"/>
      <c r="F203" s="1327"/>
      <c r="G203" s="1327"/>
      <c r="H203" s="1327"/>
      <c r="I203" s="1327"/>
      <c r="J203" s="1327"/>
      <c r="K203" s="1327"/>
      <c r="L203" s="1332"/>
      <c r="M203" s="1332"/>
      <c r="N203" s="1335"/>
      <c r="O203" s="1335"/>
      <c r="S203" s="1348"/>
      <c r="T203" s="1338"/>
      <c r="U203" s="1338"/>
      <c r="V203" s="1338"/>
      <c r="W203" s="1338"/>
      <c r="X203" s="1338"/>
      <c r="Y203" s="1338"/>
      <c r="Z203" s="1338"/>
      <c r="AA203" s="1348" t="s">
        <v>219</v>
      </c>
      <c r="AB203" s="1338" t="s">
        <v>1</v>
      </c>
      <c r="AC203" s="1382" t="s">
        <v>724</v>
      </c>
      <c r="AD203" s="1381"/>
      <c r="AE203" s="1338"/>
      <c r="AF203" s="1565"/>
    </row>
    <row r="204" spans="1:32" s="1515" customFormat="1">
      <c r="A204" s="1369" t="s">
        <v>615</v>
      </c>
      <c r="B204" s="1332"/>
      <c r="C204" s="1332"/>
      <c r="D204" s="1332"/>
      <c r="E204" s="1333" t="s">
        <v>732</v>
      </c>
      <c r="F204" s="1332"/>
      <c r="G204" s="1332"/>
      <c r="H204" s="1332"/>
      <c r="I204" s="1332"/>
      <c r="J204" s="1332"/>
      <c r="K204" s="1332"/>
      <c r="L204" s="1332"/>
      <c r="M204" s="1332"/>
      <c r="N204" s="1335"/>
      <c r="O204" s="1335"/>
      <c r="S204" s="1567" t="s">
        <v>725</v>
      </c>
      <c r="T204" s="1338"/>
      <c r="U204" s="1338" t="s">
        <v>1</v>
      </c>
      <c r="V204" s="1380">
        <v>45</v>
      </c>
      <c r="W204" s="1338" t="s">
        <v>168</v>
      </c>
      <c r="X204" s="1338"/>
      <c r="Y204" s="1338"/>
      <c r="Z204" s="1338"/>
      <c r="AA204" s="1354"/>
      <c r="AB204" s="1355" t="s">
        <v>1</v>
      </c>
      <c r="AC204" s="1385">
        <f>0.9*F172</f>
        <v>1.08</v>
      </c>
      <c r="AD204" s="1386" t="s">
        <v>2</v>
      </c>
      <c r="AE204" s="1338"/>
      <c r="AF204" s="1565"/>
    </row>
    <row r="205" spans="1:32" s="1515" customFormat="1" ht="18">
      <c r="A205" s="1332" t="s">
        <v>733</v>
      </c>
      <c r="B205" s="1332"/>
      <c r="C205" s="1327"/>
      <c r="D205" s="1327"/>
      <c r="E205" s="1332" t="s">
        <v>1</v>
      </c>
      <c r="F205" s="1332" t="s">
        <v>734</v>
      </c>
      <c r="G205" s="1332"/>
      <c r="H205" s="1332"/>
      <c r="I205" s="1332"/>
      <c r="J205" s="1332"/>
      <c r="K205" s="1332"/>
      <c r="L205" s="1332"/>
      <c r="M205" s="1332"/>
      <c r="N205" s="1335"/>
      <c r="O205" s="1335"/>
      <c r="S205" s="1348"/>
      <c r="T205" s="1338"/>
      <c r="U205" s="1338"/>
      <c r="V205" s="1338"/>
      <c r="W205" s="1338"/>
      <c r="X205" s="1338"/>
      <c r="Y205" s="1338"/>
      <c r="Z205" s="1338"/>
      <c r="AA205" s="1338"/>
      <c r="AB205" s="1338"/>
      <c r="AC205" s="1338"/>
      <c r="AD205" s="1338"/>
      <c r="AE205" s="1338"/>
      <c r="AF205" s="1565"/>
    </row>
    <row r="206" spans="1:32" s="1515" customFormat="1" ht="18">
      <c r="A206" s="1332" t="s">
        <v>735</v>
      </c>
      <c r="B206" s="1332"/>
      <c r="C206" s="1327"/>
      <c r="D206" s="1327"/>
      <c r="E206" s="1332" t="s">
        <v>1</v>
      </c>
      <c r="F206" s="1332" t="s">
        <v>736</v>
      </c>
      <c r="G206" s="1332"/>
      <c r="H206" s="1332"/>
      <c r="I206" s="1332"/>
      <c r="J206" s="1332"/>
      <c r="K206" s="1332"/>
      <c r="L206" s="1332"/>
      <c r="M206" s="1332"/>
      <c r="N206" s="1335"/>
      <c r="O206" s="1335"/>
      <c r="S206" s="1568" t="s">
        <v>730</v>
      </c>
      <c r="T206" s="1338"/>
      <c r="U206" s="1338"/>
      <c r="V206" s="1338"/>
      <c r="W206" s="1338"/>
      <c r="X206" s="1338"/>
      <c r="Y206" s="1338"/>
      <c r="Z206" s="1338"/>
      <c r="AA206" s="1338"/>
      <c r="AB206" s="1338"/>
      <c r="AC206" s="1338"/>
      <c r="AD206" s="1338"/>
      <c r="AE206" s="1338"/>
      <c r="AF206" s="1565"/>
    </row>
    <row r="207" spans="1:32" s="1515" customFormat="1" ht="18">
      <c r="A207" s="1332"/>
      <c r="B207" s="1332"/>
      <c r="C207" s="1327"/>
      <c r="D207" s="1327"/>
      <c r="E207" s="1332" t="s">
        <v>1</v>
      </c>
      <c r="F207" s="1364">
        <f>0.072*SQRT(F167)/F168</f>
        <v>8.5191548876634474E-4</v>
      </c>
      <c r="G207" s="1332"/>
      <c r="H207" s="1332"/>
      <c r="I207" s="1332"/>
      <c r="J207" s="1332"/>
      <c r="K207" s="1332"/>
      <c r="L207" s="1332"/>
      <c r="M207" s="1332"/>
      <c r="N207" s="1335"/>
      <c r="O207" s="1335"/>
      <c r="S207" s="1348" t="s">
        <v>614</v>
      </c>
      <c r="T207" s="1338"/>
      <c r="U207" s="1338" t="s">
        <v>1</v>
      </c>
      <c r="V207" s="1338" t="s">
        <v>726</v>
      </c>
      <c r="W207" s="1338" t="s">
        <v>1</v>
      </c>
      <c r="X207" s="1338" t="s">
        <v>727</v>
      </c>
      <c r="Y207" s="1338"/>
      <c r="Z207" s="1338"/>
      <c r="AA207" s="1333" t="s">
        <v>731</v>
      </c>
      <c r="AB207" s="1338"/>
      <c r="AC207" s="1338"/>
      <c r="AD207" s="1338"/>
      <c r="AE207" s="1338"/>
      <c r="AF207" s="1565"/>
    </row>
    <row r="208" spans="1:32" s="1515" customFormat="1" ht="18.75">
      <c r="A208" s="1332" t="s">
        <v>733</v>
      </c>
      <c r="B208" s="1332"/>
      <c r="C208" s="1327"/>
      <c r="D208" s="1327"/>
      <c r="E208" s="1332" t="s">
        <v>1</v>
      </c>
      <c r="F208" s="1340">
        <f>F207*G210*F173*1000</f>
        <v>1622.5228353421012</v>
      </c>
      <c r="G208" s="1332" t="s">
        <v>570</v>
      </c>
      <c r="H208" s="1332"/>
      <c r="I208" s="1332"/>
      <c r="J208" s="1332"/>
      <c r="K208" s="1332"/>
      <c r="L208" s="1332"/>
      <c r="M208" s="1332"/>
      <c r="N208" s="1335"/>
      <c r="O208" s="1335"/>
      <c r="S208" s="1348" t="s">
        <v>620</v>
      </c>
      <c r="T208" s="1338"/>
      <c r="U208" s="1338" t="s">
        <v>1</v>
      </c>
      <c r="V208" s="1338" t="s">
        <v>739</v>
      </c>
      <c r="W208" s="1338"/>
      <c r="X208" s="1338"/>
      <c r="Y208" s="1338"/>
      <c r="Z208" s="1338"/>
      <c r="AA208" s="1338"/>
      <c r="AB208" s="1338"/>
      <c r="AC208" s="1338"/>
      <c r="AD208" s="1338"/>
      <c r="AE208" s="1338"/>
      <c r="AF208" s="1565"/>
    </row>
    <row r="209" spans="1:32" s="1515" customFormat="1">
      <c r="A209" s="1332"/>
      <c r="B209" s="1332"/>
      <c r="C209" s="1332"/>
      <c r="D209" s="1332"/>
      <c r="E209" s="1332"/>
      <c r="F209" s="1332"/>
      <c r="G209" s="1332"/>
      <c r="H209" s="1332"/>
      <c r="I209" s="1332"/>
      <c r="J209" s="1332"/>
      <c r="K209" s="1332"/>
      <c r="L209" s="1332"/>
      <c r="M209" s="1332"/>
      <c r="N209" s="1335"/>
      <c r="O209" s="1335"/>
      <c r="S209" s="1348" t="s">
        <v>740</v>
      </c>
      <c r="T209" s="1338"/>
      <c r="U209" s="1338" t="s">
        <v>1</v>
      </c>
      <c r="V209" s="1338" t="s">
        <v>741</v>
      </c>
      <c r="W209" s="1338"/>
      <c r="X209" s="1338"/>
      <c r="Y209" s="1338"/>
      <c r="Z209" s="1338"/>
      <c r="AA209" s="1338"/>
      <c r="AB209" s="1387" t="s">
        <v>302</v>
      </c>
      <c r="AC209" s="1388" t="s">
        <v>1</v>
      </c>
      <c r="AD209" s="1389">
        <v>1.1499999999999999</v>
      </c>
      <c r="AE209" s="1338"/>
      <c r="AF209" s="1565"/>
    </row>
    <row r="210" spans="1:32" s="1515" customFormat="1">
      <c r="A210" s="1332" t="s">
        <v>603</v>
      </c>
      <c r="B210" s="1391">
        <v>10</v>
      </c>
      <c r="C210" s="1341" t="s">
        <v>607</v>
      </c>
      <c r="D210" s="1391">
        <v>30</v>
      </c>
      <c r="E210" s="1332" t="s">
        <v>737</v>
      </c>
      <c r="F210" s="1332"/>
      <c r="G210" s="1391">
        <v>300</v>
      </c>
      <c r="H210" s="1332" t="s">
        <v>256</v>
      </c>
      <c r="I210" s="1332"/>
      <c r="J210" s="1332"/>
      <c r="K210" s="1332"/>
      <c r="L210" s="1332"/>
      <c r="M210" s="1332"/>
      <c r="N210" s="1335"/>
      <c r="O210" s="1335"/>
      <c r="S210" s="1348" t="s">
        <v>740</v>
      </c>
      <c r="T210" s="1338"/>
      <c r="U210" s="1338" t="s">
        <v>1</v>
      </c>
      <c r="V210" s="1569">
        <f>0.8*F168/AD209</f>
        <v>347.82608695652175</v>
      </c>
      <c r="W210" s="1338" t="s">
        <v>293</v>
      </c>
      <c r="X210" s="1338"/>
      <c r="Y210" s="1338"/>
      <c r="Z210" s="1338"/>
      <c r="AA210" s="1338"/>
      <c r="AB210" s="1338"/>
      <c r="AC210" s="1338"/>
      <c r="AD210" s="1338"/>
      <c r="AE210" s="1338"/>
      <c r="AF210" s="1565"/>
    </row>
    <row r="211" spans="1:32" s="1515" customFormat="1" ht="17.25">
      <c r="A211" s="1339" t="s">
        <v>738</v>
      </c>
      <c r="B211" s="1332">
        <f>PI()*B210^2/4*D210</f>
        <v>2356.1944901923448</v>
      </c>
      <c r="C211" s="1332" t="s">
        <v>570</v>
      </c>
      <c r="D211" s="1341" t="s">
        <v>378</v>
      </c>
      <c r="E211" s="1332">
        <f>G210</f>
        <v>300</v>
      </c>
      <c r="F211" s="1332" t="s">
        <v>5</v>
      </c>
      <c r="G211" s="1332" t="s">
        <v>256</v>
      </c>
      <c r="H211" s="1341" t="str">
        <f>IF(B211&gt;I211,"&gt;","&lt;")</f>
        <v>&gt;</v>
      </c>
      <c r="I211" s="1337">
        <f>F208</f>
        <v>1622.5228353421012</v>
      </c>
      <c r="J211" s="1332" t="s">
        <v>570</v>
      </c>
      <c r="K211" s="1365" t="str">
        <f>IF(B211&gt;I211,"OK","REVISE")</f>
        <v>OK</v>
      </c>
      <c r="L211" s="1332"/>
      <c r="M211" s="1332"/>
      <c r="N211" s="1335"/>
      <c r="O211" s="1335"/>
      <c r="S211" s="1354" t="s">
        <v>620</v>
      </c>
      <c r="T211" s="1355"/>
      <c r="U211" s="1355" t="s">
        <v>1</v>
      </c>
      <c r="V211" s="1570">
        <f>F169*10^4*G210/(AC204*1000*V210*(1/TAN(RADIANS(V204))))</f>
        <v>1220.2568393297981</v>
      </c>
      <c r="W211" s="1355" t="s">
        <v>570</v>
      </c>
      <c r="X211" s="1355"/>
      <c r="Y211" s="1355"/>
      <c r="Z211" s="1355"/>
      <c r="AA211" s="1355"/>
      <c r="AB211" s="1355"/>
      <c r="AC211" s="1355"/>
      <c r="AD211" s="1355"/>
      <c r="AE211" s="1355"/>
      <c r="AF211" s="1571"/>
    </row>
    <row r="212" spans="1:32" s="1515" customFormat="1">
      <c r="A212" s="1332"/>
      <c r="B212" s="1332"/>
      <c r="C212" s="1332"/>
      <c r="D212" s="1332"/>
      <c r="E212" s="1332"/>
      <c r="F212" s="1332"/>
      <c r="G212" s="1332"/>
      <c r="H212" s="1332"/>
      <c r="I212" s="1332"/>
      <c r="J212" s="1332"/>
      <c r="K212" s="1332"/>
      <c r="L212" s="1332"/>
      <c r="M212" s="1332"/>
      <c r="N212" s="1335"/>
      <c r="O212" s="1335"/>
    </row>
    <row r="213" spans="1:32" s="1515" customFormat="1">
      <c r="A213" s="1332"/>
      <c r="B213" s="1332"/>
      <c r="C213" s="1332"/>
      <c r="D213" s="1332"/>
      <c r="E213" s="1332"/>
      <c r="F213" s="1332"/>
      <c r="G213" s="1332"/>
      <c r="H213" s="1332"/>
      <c r="I213" s="1332"/>
      <c r="J213" s="1332"/>
      <c r="K213" s="1332"/>
      <c r="L213" s="1332"/>
      <c r="M213" s="1332"/>
      <c r="N213" s="1335"/>
      <c r="O213" s="1335"/>
    </row>
    <row r="214" spans="1:32" customFormat="1">
      <c r="A214" s="9" t="s">
        <v>1876</v>
      </c>
      <c r="B214" s="1"/>
      <c r="C214" s="1"/>
      <c r="D214" s="1"/>
      <c r="E214" s="1"/>
      <c r="F214" s="1"/>
      <c r="G214" s="1"/>
      <c r="H214" s="1"/>
      <c r="I214" s="1"/>
      <c r="J214" s="1"/>
      <c r="K214" s="1"/>
      <c r="L214" s="1"/>
      <c r="M214" s="1"/>
      <c r="N214" s="1"/>
      <c r="O214" s="1"/>
      <c r="P214" s="1"/>
    </row>
    <row r="215" spans="1:32" customFormat="1">
      <c r="A215" s="1" t="s">
        <v>1717</v>
      </c>
      <c r="B215" s="1"/>
      <c r="C215" s="1"/>
      <c r="D215" s="1" t="s">
        <v>435</v>
      </c>
      <c r="E215" s="1" t="s">
        <v>1</v>
      </c>
      <c r="F215" s="798">
        <f>C25</f>
        <v>1200</v>
      </c>
      <c r="G215" s="1" t="s">
        <v>5</v>
      </c>
      <c r="H215" s="1"/>
      <c r="I215" s="1"/>
      <c r="J215" s="1"/>
      <c r="K215" s="1"/>
      <c r="L215" s="1"/>
      <c r="M215" s="1"/>
      <c r="N215" s="1"/>
      <c r="O215" s="1"/>
      <c r="P215" s="1"/>
    </row>
    <row r="216" spans="1:32" customFormat="1">
      <c r="A216" s="1" t="s">
        <v>1718</v>
      </c>
      <c r="B216" s="1"/>
      <c r="C216" s="1"/>
      <c r="D216" s="1" t="s">
        <v>26</v>
      </c>
      <c r="E216" s="1" t="s">
        <v>1</v>
      </c>
      <c r="F216" s="798">
        <f>F11</f>
        <v>6348.5281374238575</v>
      </c>
      <c r="G216" s="1" t="s">
        <v>5</v>
      </c>
      <c r="H216" s="1"/>
      <c r="I216" s="1"/>
      <c r="J216" s="1"/>
      <c r="K216" s="1"/>
      <c r="L216" s="1"/>
      <c r="M216" s="1"/>
      <c r="N216" s="1"/>
      <c r="O216" s="1"/>
      <c r="P216" s="1"/>
    </row>
    <row r="217" spans="1:32" customFormat="1">
      <c r="A217" s="1"/>
      <c r="B217" s="1"/>
      <c r="C217" s="1"/>
      <c r="D217" s="1"/>
      <c r="E217" s="1"/>
      <c r="F217" s="1"/>
      <c r="G217" s="1"/>
      <c r="H217" s="1"/>
      <c r="I217" s="1"/>
      <c r="J217" s="1"/>
      <c r="K217" s="1"/>
      <c r="L217" s="1"/>
      <c r="M217" s="1"/>
      <c r="N217" s="1"/>
      <c r="O217" s="1"/>
      <c r="P217" s="1"/>
    </row>
    <row r="218" spans="1:32" customFormat="1">
      <c r="A218" s="1" t="s">
        <v>606</v>
      </c>
      <c r="B218" s="1"/>
      <c r="D218" s="1" t="s">
        <v>1</v>
      </c>
      <c r="E218" s="4">
        <v>50</v>
      </c>
      <c r="F218" s="1" t="s">
        <v>5</v>
      </c>
      <c r="G218" s="1"/>
      <c r="H218" s="1"/>
      <c r="I218" s="1"/>
      <c r="J218" s="1"/>
      <c r="K218" s="1"/>
      <c r="L218" s="1"/>
      <c r="M218" s="1"/>
      <c r="N218" s="1"/>
      <c r="O218" s="1"/>
      <c r="P218" s="1"/>
    </row>
    <row r="219" spans="1:32" customFormat="1">
      <c r="A219" s="9"/>
      <c r="B219" s="1"/>
      <c r="C219" s="1"/>
      <c r="D219" s="1"/>
      <c r="E219" s="1"/>
      <c r="F219" s="1"/>
      <c r="G219" s="1"/>
      <c r="H219" s="1"/>
      <c r="I219" s="1"/>
      <c r="J219" s="1"/>
      <c r="K219" s="1"/>
      <c r="L219" s="1"/>
      <c r="M219" s="1"/>
      <c r="N219" s="1"/>
      <c r="O219" s="1"/>
      <c r="P219" s="1"/>
    </row>
    <row r="220" spans="1:32" customFormat="1" ht="17.25">
      <c r="A220" s="1" t="s">
        <v>1719</v>
      </c>
      <c r="B220" s="1"/>
      <c r="C220" s="1"/>
      <c r="D220" s="1" t="s">
        <v>1</v>
      </c>
      <c r="E220" s="798">
        <f>(F215-E218-E218)*(F216-2*E218)</f>
        <v>6873380.9511662433</v>
      </c>
      <c r="F220" s="1" t="s">
        <v>570</v>
      </c>
      <c r="G220" s="1"/>
      <c r="H220" s="1"/>
      <c r="I220" s="1"/>
      <c r="J220" s="1"/>
      <c r="K220" s="1"/>
      <c r="L220" s="1"/>
      <c r="M220" s="1"/>
      <c r="N220" s="1"/>
      <c r="O220" s="1"/>
      <c r="P220" s="1"/>
    </row>
    <row r="221" spans="1:32" customFormat="1">
      <c r="A221" s="9"/>
      <c r="B221" s="1"/>
      <c r="C221" s="1"/>
      <c r="D221" s="1"/>
      <c r="E221" s="1"/>
      <c r="F221" s="1"/>
      <c r="G221" s="1"/>
      <c r="H221" s="1"/>
      <c r="I221" s="1"/>
      <c r="J221" s="1"/>
      <c r="K221" s="1"/>
      <c r="L221" s="1"/>
      <c r="M221" s="1"/>
      <c r="N221" s="1"/>
      <c r="O221" s="1"/>
      <c r="P221" s="1"/>
    </row>
    <row r="222" spans="1:32" customFormat="1" ht="18">
      <c r="A222" s="1" t="s">
        <v>1484</v>
      </c>
      <c r="B222" s="1"/>
      <c r="D222" s="1" t="s">
        <v>1</v>
      </c>
      <c r="E222" s="254">
        <f>MAX(F115:F163)</f>
        <v>1240.8216736260858</v>
      </c>
      <c r="F222" s="1" t="s">
        <v>34</v>
      </c>
      <c r="G222" s="1"/>
      <c r="H222" s="1"/>
      <c r="I222" s="1"/>
      <c r="J222" s="1"/>
      <c r="K222" s="1"/>
      <c r="L222" s="1"/>
      <c r="M222" s="1"/>
      <c r="N222" s="1"/>
      <c r="O222" s="1"/>
      <c r="P222" s="1"/>
    </row>
    <row r="223" spans="1:32" customFormat="1" ht="17.25">
      <c r="A223" s="1" t="s">
        <v>457</v>
      </c>
      <c r="B223" s="1"/>
      <c r="D223" s="1" t="s">
        <v>1</v>
      </c>
      <c r="E223" s="1">
        <f>F215*F216</f>
        <v>7618233.7649086295</v>
      </c>
      <c r="F223" s="1" t="s">
        <v>570</v>
      </c>
      <c r="G223" s="1"/>
      <c r="H223" s="1"/>
      <c r="I223" s="1"/>
      <c r="J223" s="1"/>
      <c r="K223" s="1"/>
      <c r="L223" s="1"/>
      <c r="M223" s="1"/>
      <c r="N223" s="1"/>
      <c r="O223" s="1"/>
      <c r="P223" s="1"/>
    </row>
    <row r="224" spans="1:32" customFormat="1">
      <c r="A224" s="1" t="s">
        <v>329</v>
      </c>
      <c r="B224" s="1"/>
      <c r="D224" s="1" t="s">
        <v>1</v>
      </c>
      <c r="E224" s="1">
        <f>GEN!H19</f>
        <v>35</v>
      </c>
      <c r="F224" s="1" t="s">
        <v>293</v>
      </c>
      <c r="G224" s="1"/>
      <c r="H224" s="1"/>
      <c r="I224" s="1"/>
      <c r="J224" s="1"/>
      <c r="K224" s="1"/>
      <c r="L224" s="1"/>
      <c r="M224" s="1"/>
      <c r="N224" s="1"/>
      <c r="O224" s="1"/>
      <c r="P224" s="1"/>
    </row>
    <row r="225" spans="1:16" customFormat="1">
      <c r="A225" s="1" t="s">
        <v>331</v>
      </c>
      <c r="B225" s="1"/>
      <c r="D225" s="1" t="s">
        <v>1</v>
      </c>
      <c r="E225" s="150">
        <f>GEN!H22</f>
        <v>15.633333333333335</v>
      </c>
      <c r="F225" s="1" t="s">
        <v>293</v>
      </c>
      <c r="G225" s="1"/>
      <c r="H225" s="1"/>
      <c r="I225" s="1"/>
      <c r="J225" s="1"/>
      <c r="K225" s="1"/>
      <c r="L225" s="1"/>
      <c r="M225" s="1"/>
      <c r="N225" s="1"/>
      <c r="O225" s="1"/>
      <c r="P225" s="1"/>
    </row>
    <row r="226" spans="1:16" customFormat="1">
      <c r="A226" s="1" t="s">
        <v>304</v>
      </c>
      <c r="B226" s="1"/>
      <c r="D226" s="1" t="s">
        <v>1</v>
      </c>
      <c r="E226" s="150">
        <f>GEN!H29</f>
        <v>434.78260869565224</v>
      </c>
      <c r="F226" s="1" t="s">
        <v>293</v>
      </c>
      <c r="G226" s="1"/>
      <c r="H226" s="1"/>
      <c r="I226" s="1"/>
      <c r="J226" s="1"/>
      <c r="K226" s="1"/>
      <c r="L226" s="1"/>
      <c r="M226" s="1"/>
      <c r="N226" s="1"/>
      <c r="O226" s="1"/>
      <c r="P226" s="1"/>
    </row>
    <row r="227" spans="1:16" customFormat="1">
      <c r="A227" s="1"/>
      <c r="B227" s="1"/>
      <c r="D227" s="1"/>
      <c r="E227" s="1"/>
      <c r="F227" s="1"/>
      <c r="G227" s="1"/>
      <c r="H227" s="1"/>
      <c r="I227" s="1"/>
      <c r="J227" s="1"/>
      <c r="K227" s="1"/>
      <c r="L227" s="1"/>
      <c r="M227" s="1"/>
      <c r="N227" s="1"/>
      <c r="O227" s="1"/>
      <c r="P227" s="1"/>
    </row>
    <row r="228" spans="1:16" customFormat="1">
      <c r="A228" s="1" t="s">
        <v>1487</v>
      </c>
      <c r="B228" s="1"/>
      <c r="D228" s="1"/>
      <c r="E228" s="1"/>
      <c r="F228" s="1"/>
      <c r="G228" s="1"/>
      <c r="H228" s="1"/>
      <c r="I228" s="1"/>
      <c r="J228" s="1"/>
      <c r="K228" s="1"/>
      <c r="L228" s="1"/>
      <c r="M228" s="1"/>
      <c r="N228" s="1"/>
      <c r="O228" s="1"/>
      <c r="P228" s="1"/>
    </row>
    <row r="229" spans="1:16" customFormat="1" ht="18">
      <c r="A229" s="1" t="s">
        <v>1482</v>
      </c>
      <c r="B229" s="1"/>
      <c r="D229" s="1" t="s">
        <v>1</v>
      </c>
      <c r="E229" s="1" t="s">
        <v>420</v>
      </c>
      <c r="F229" s="1" t="s">
        <v>1483</v>
      </c>
      <c r="G229" s="1"/>
      <c r="H229" s="1"/>
      <c r="I229" s="1"/>
      <c r="J229" s="1"/>
      <c r="K229" s="1"/>
      <c r="L229" s="1"/>
      <c r="M229" s="1"/>
      <c r="N229" s="1"/>
      <c r="O229" s="1"/>
      <c r="P229" s="1"/>
    </row>
    <row r="230" spans="1:16" customFormat="1">
      <c r="A230" s="1"/>
      <c r="B230" s="1"/>
      <c r="D230" s="1"/>
      <c r="E230" s="1"/>
      <c r="F230" s="1"/>
      <c r="G230" s="1"/>
      <c r="H230" s="1"/>
      <c r="I230" s="1"/>
      <c r="J230" s="1"/>
      <c r="K230" s="1"/>
      <c r="L230" s="1"/>
      <c r="M230" s="1"/>
      <c r="N230" s="1"/>
      <c r="O230" s="1"/>
      <c r="P230" s="1"/>
    </row>
    <row r="231" spans="1:16" customFormat="1" ht="18">
      <c r="A231" s="1" t="s">
        <v>1482</v>
      </c>
      <c r="B231" s="1"/>
      <c r="D231" s="1" t="s">
        <v>1</v>
      </c>
      <c r="E231" s="14">
        <f>E222*10^4/E223/E224</f>
        <v>4.6535783636869499E-2</v>
      </c>
      <c r="F231" s="1" t="str">
        <f>IF(E231&gt;G231,"&gt;","&lt;")</f>
        <v>&lt;</v>
      </c>
      <c r="G231" s="4">
        <v>0.08</v>
      </c>
      <c r="H231" s="1"/>
      <c r="I231" s="1"/>
      <c r="J231" s="1"/>
      <c r="K231" s="1"/>
      <c r="L231" s="1"/>
      <c r="M231" s="1"/>
      <c r="N231" s="1"/>
      <c r="O231" s="1"/>
      <c r="P231" s="1"/>
    </row>
    <row r="232" spans="1:16" customFormat="1">
      <c r="A232" s="1"/>
      <c r="B232" s="1"/>
      <c r="D232" s="1"/>
      <c r="E232" s="1"/>
      <c r="F232" s="1" t="str">
        <f>IF(E231&gt;G232,"&gt;","&lt;")</f>
        <v>&lt;</v>
      </c>
      <c r="G232" s="4">
        <v>0.3</v>
      </c>
      <c r="H232" s="1"/>
      <c r="I232" s="1"/>
      <c r="J232" s="1"/>
      <c r="K232" s="1"/>
      <c r="L232" s="1"/>
      <c r="M232" s="1"/>
      <c r="N232" s="1"/>
      <c r="O232" s="1"/>
      <c r="P232" s="1"/>
    </row>
    <row r="233" spans="1:16" customFormat="1">
      <c r="A233" s="1"/>
      <c r="B233" s="1"/>
      <c r="D233" s="1"/>
      <c r="E233" s="1"/>
      <c r="F233" s="1"/>
      <c r="G233" s="1"/>
      <c r="H233" s="1"/>
      <c r="I233" s="1"/>
      <c r="J233" s="1"/>
      <c r="K233" s="1"/>
      <c r="L233" s="1"/>
      <c r="M233" s="1"/>
      <c r="N233" s="1"/>
      <c r="O233" s="1"/>
      <c r="P233" s="1"/>
    </row>
    <row r="234" spans="1:16" customFormat="1">
      <c r="A234" s="1" t="s">
        <v>1488</v>
      </c>
      <c r="B234" s="1"/>
      <c r="D234" s="1" t="s">
        <v>1</v>
      </c>
      <c r="E234" s="4" t="s">
        <v>1489</v>
      </c>
      <c r="F234" s="4"/>
      <c r="G234" s="4"/>
      <c r="H234" s="4"/>
      <c r="I234" s="4"/>
      <c r="J234" s="1"/>
      <c r="K234" s="1"/>
      <c r="L234" s="1"/>
      <c r="M234" s="1"/>
      <c r="N234" s="1"/>
      <c r="O234" s="1"/>
      <c r="P234" s="1"/>
    </row>
    <row r="235" spans="1:16" customFormat="1">
      <c r="A235" s="1"/>
      <c r="B235" s="1"/>
      <c r="D235" s="1" t="s">
        <v>1</v>
      </c>
      <c r="E235" s="4">
        <f>F215/1000</f>
        <v>1.2</v>
      </c>
      <c r="F235" s="4" t="s">
        <v>2</v>
      </c>
      <c r="G235" s="4"/>
      <c r="H235" s="4"/>
      <c r="I235" s="4"/>
      <c r="J235" s="1"/>
      <c r="K235" s="1"/>
      <c r="L235" s="1"/>
      <c r="M235" s="1"/>
      <c r="N235" s="1"/>
      <c r="O235" s="1"/>
      <c r="P235" s="1"/>
    </row>
    <row r="236" spans="1:16" customFormat="1">
      <c r="A236" s="1"/>
      <c r="B236" s="1"/>
      <c r="C236" s="1"/>
      <c r="D236" s="1"/>
      <c r="E236" s="1"/>
      <c r="F236" s="1"/>
      <c r="G236" s="1"/>
      <c r="H236" s="1"/>
      <c r="I236" s="1"/>
      <c r="J236" s="1"/>
      <c r="K236" s="1"/>
      <c r="L236" s="1"/>
      <c r="M236" s="1"/>
      <c r="N236" s="1"/>
      <c r="O236" s="1"/>
      <c r="P236" s="1"/>
    </row>
    <row r="237" spans="1:16" customFormat="1">
      <c r="A237" s="1"/>
      <c r="B237" s="1"/>
      <c r="C237" s="1"/>
      <c r="D237" s="1"/>
      <c r="E237" s="1"/>
      <c r="F237" s="1"/>
      <c r="G237" s="1"/>
      <c r="H237" s="1"/>
      <c r="I237" s="1"/>
      <c r="J237" s="1"/>
      <c r="K237" s="1"/>
      <c r="L237" s="1"/>
      <c r="M237" s="1"/>
      <c r="N237" s="1"/>
      <c r="O237" s="1"/>
      <c r="P237" s="1"/>
    </row>
    <row r="238" spans="1:16" customFormat="1">
      <c r="A238" s="1" t="s">
        <v>1515</v>
      </c>
      <c r="B238" s="1"/>
      <c r="C238" s="1"/>
      <c r="D238" s="1"/>
      <c r="E238" s="1"/>
      <c r="F238" s="1"/>
      <c r="G238" s="1"/>
      <c r="H238" s="1"/>
      <c r="I238" s="1"/>
      <c r="J238" s="1"/>
      <c r="K238" s="1"/>
      <c r="L238" s="1"/>
      <c r="M238" s="1"/>
      <c r="N238" s="1"/>
      <c r="O238" s="1"/>
      <c r="P238" s="1"/>
    </row>
    <row r="239" spans="1:16" customFormat="1" ht="14.25" customHeight="1">
      <c r="A239" s="1" t="s">
        <v>1499</v>
      </c>
      <c r="B239" s="1"/>
      <c r="C239" s="1"/>
      <c r="D239" s="1"/>
      <c r="E239" s="1" t="s">
        <v>1</v>
      </c>
      <c r="F239" s="1" t="s">
        <v>1500</v>
      </c>
      <c r="G239" s="1"/>
      <c r="H239" s="1"/>
      <c r="I239" s="1"/>
      <c r="J239" s="1"/>
      <c r="K239" s="1"/>
      <c r="L239" s="1"/>
      <c r="M239" s="1"/>
      <c r="N239" s="1"/>
      <c r="O239" s="1"/>
      <c r="P239" s="1"/>
    </row>
    <row r="240" spans="1:16" customFormat="1">
      <c r="A240" s="1" t="s">
        <v>457</v>
      </c>
      <c r="B240" s="1"/>
      <c r="C240" s="1"/>
      <c r="D240" s="1"/>
      <c r="E240" s="1" t="s">
        <v>1</v>
      </c>
      <c r="F240" s="1" t="s">
        <v>1501</v>
      </c>
      <c r="G240" s="1"/>
      <c r="H240" s="1"/>
      <c r="I240" s="1"/>
      <c r="J240" s="1"/>
      <c r="K240" s="1"/>
      <c r="L240" s="1"/>
      <c r="M240" s="1"/>
      <c r="N240" s="1"/>
      <c r="O240" s="1"/>
      <c r="P240" s="1"/>
    </row>
    <row r="241" spans="1:16" customFormat="1" ht="15" customHeight="1">
      <c r="A241" s="1"/>
      <c r="B241" s="1"/>
      <c r="C241" s="1"/>
      <c r="D241" s="1"/>
      <c r="E241" s="1" t="s">
        <v>1</v>
      </c>
      <c r="F241" s="150">
        <f>E223/10^6</f>
        <v>7.6182337649086298</v>
      </c>
      <c r="G241" s="1" t="s">
        <v>458</v>
      </c>
      <c r="H241" s="1"/>
      <c r="I241" s="1"/>
      <c r="J241" s="1"/>
      <c r="K241" s="1"/>
      <c r="L241" s="1"/>
      <c r="M241" s="1"/>
      <c r="N241" s="1"/>
      <c r="O241" s="1"/>
      <c r="P241" s="1"/>
    </row>
    <row r="242" spans="1:16" customFormat="1">
      <c r="A242" s="1"/>
      <c r="B242" s="1"/>
      <c r="C242" s="1"/>
      <c r="D242" s="1"/>
      <c r="E242" s="1"/>
      <c r="F242" s="1"/>
      <c r="G242" s="1"/>
      <c r="H242" s="1"/>
      <c r="I242" s="1"/>
      <c r="J242" s="1"/>
      <c r="K242" s="1"/>
      <c r="L242" s="1"/>
      <c r="M242" s="1"/>
      <c r="N242" s="1"/>
      <c r="O242" s="1"/>
      <c r="P242" s="1"/>
    </row>
    <row r="243" spans="1:16" customFormat="1">
      <c r="A243" s="1" t="s">
        <v>1502</v>
      </c>
      <c r="B243" s="1"/>
      <c r="C243" s="1"/>
      <c r="D243" s="1"/>
      <c r="E243" s="1" t="s">
        <v>1</v>
      </c>
      <c r="F243" s="1672" t="s">
        <v>1522</v>
      </c>
      <c r="G243" s="1672"/>
      <c r="H243" s="1672"/>
      <c r="I243" s="1672"/>
      <c r="J243" s="1672"/>
      <c r="K243" s="1"/>
      <c r="L243" s="1"/>
      <c r="M243" s="1"/>
      <c r="N243" s="1"/>
      <c r="O243" s="1"/>
      <c r="P243" s="1"/>
    </row>
    <row r="244" spans="1:16" customFormat="1">
      <c r="A244" s="1"/>
      <c r="B244" s="1"/>
      <c r="C244" s="1"/>
      <c r="D244" s="1"/>
      <c r="E244" s="1"/>
      <c r="F244" s="1672"/>
      <c r="G244" s="1672"/>
      <c r="H244" s="1672"/>
      <c r="I244" s="1672"/>
      <c r="J244" s="1672"/>
      <c r="K244" s="1"/>
      <c r="L244" s="1"/>
      <c r="M244" s="1"/>
      <c r="N244" s="1"/>
      <c r="O244" s="1"/>
      <c r="P244" s="1"/>
    </row>
    <row r="245" spans="1:16" customFormat="1" ht="17.25">
      <c r="A245" s="1"/>
      <c r="B245" s="1"/>
      <c r="C245" s="1"/>
      <c r="D245" s="1"/>
      <c r="E245" s="1" t="s">
        <v>1</v>
      </c>
      <c r="F245" s="150">
        <f>E220/10^6</f>
        <v>6.8733809511662436</v>
      </c>
      <c r="G245" s="1" t="s">
        <v>458</v>
      </c>
      <c r="H245" s="1"/>
      <c r="I245" s="1"/>
      <c r="J245" s="1"/>
      <c r="K245" s="1"/>
      <c r="L245" s="1"/>
      <c r="M245" s="1"/>
      <c r="N245" s="1"/>
      <c r="O245" s="1"/>
      <c r="P245" s="1"/>
    </row>
    <row r="246" spans="1:16" customFormat="1">
      <c r="A246" s="1"/>
      <c r="B246" s="1"/>
      <c r="C246" s="1"/>
      <c r="D246" s="1"/>
      <c r="E246" s="1"/>
      <c r="F246" s="1"/>
      <c r="G246" s="1"/>
      <c r="H246" s="1"/>
      <c r="I246" s="1"/>
      <c r="J246" s="1"/>
      <c r="K246" s="1"/>
      <c r="L246" s="1"/>
      <c r="M246" s="1"/>
      <c r="N246" s="1"/>
      <c r="O246" s="1"/>
      <c r="P246" s="1"/>
    </row>
    <row r="247" spans="1:16" customFormat="1" ht="18">
      <c r="A247" s="1" t="s">
        <v>1504</v>
      </c>
      <c r="B247" s="1"/>
      <c r="C247" s="1"/>
      <c r="D247" s="1"/>
      <c r="E247" s="1" t="s">
        <v>1</v>
      </c>
      <c r="F247" s="1" t="s">
        <v>1505</v>
      </c>
      <c r="G247" s="1"/>
      <c r="H247" s="1"/>
      <c r="I247" s="1"/>
      <c r="J247" s="1"/>
      <c r="K247" s="1"/>
      <c r="L247" s="1"/>
      <c r="M247" s="1"/>
      <c r="N247" s="1"/>
      <c r="O247" s="1"/>
      <c r="P247" s="1"/>
    </row>
    <row r="248" spans="1:16" customFormat="1">
      <c r="A248" s="1"/>
      <c r="B248" s="1"/>
      <c r="C248" s="1"/>
      <c r="D248" s="1"/>
      <c r="E248" s="1" t="s">
        <v>1</v>
      </c>
      <c r="F248" s="1" t="s">
        <v>1506</v>
      </c>
      <c r="G248" s="1"/>
      <c r="H248" s="1"/>
      <c r="I248" s="1"/>
      <c r="J248" s="1"/>
      <c r="K248" s="1"/>
      <c r="L248" s="1"/>
      <c r="M248" s="1"/>
      <c r="N248" s="1"/>
      <c r="O248" s="1"/>
      <c r="P248" s="1"/>
    </row>
    <row r="249" spans="1:16" customFormat="1">
      <c r="A249" s="1"/>
      <c r="B249" s="1"/>
      <c r="C249" s="1"/>
      <c r="D249" s="1"/>
      <c r="E249" s="1"/>
      <c r="F249" s="1"/>
      <c r="G249" s="1"/>
      <c r="H249" s="1"/>
      <c r="I249" s="1"/>
      <c r="J249" s="1"/>
      <c r="K249" s="1"/>
      <c r="L249" s="1"/>
      <c r="M249" s="1"/>
      <c r="N249" s="1"/>
      <c r="O249" s="1"/>
      <c r="P249" s="1"/>
    </row>
    <row r="250" spans="1:16" customFormat="1" ht="17.25">
      <c r="A250" s="1" t="s">
        <v>777</v>
      </c>
      <c r="B250" s="1"/>
      <c r="C250" s="1"/>
      <c r="D250" s="1" t="s">
        <v>1179</v>
      </c>
      <c r="E250" s="1" t="s">
        <v>1</v>
      </c>
      <c r="F250" s="254">
        <f>O26</f>
        <v>28148.670176164549</v>
      </c>
      <c r="G250" s="1" t="s">
        <v>570</v>
      </c>
      <c r="H250" s="1"/>
      <c r="I250" s="1"/>
      <c r="J250" s="1"/>
      <c r="K250" s="1"/>
      <c r="L250" s="1"/>
      <c r="M250" s="1"/>
      <c r="N250" s="1"/>
      <c r="O250" s="1"/>
      <c r="P250" s="1"/>
    </row>
    <row r="251" spans="1:16" customFormat="1" ht="18">
      <c r="A251" s="1" t="s">
        <v>1504</v>
      </c>
      <c r="B251" s="1"/>
      <c r="C251" s="1"/>
      <c r="D251" s="1"/>
      <c r="E251" s="1" t="s">
        <v>1</v>
      </c>
      <c r="F251" s="1">
        <f>F250/(F245*10^6)</f>
        <v>4.0953164645105861E-3</v>
      </c>
      <c r="G251" s="1"/>
      <c r="H251" s="1"/>
      <c r="I251" s="1"/>
      <c r="J251" s="1"/>
      <c r="K251" s="1"/>
      <c r="L251" s="1"/>
      <c r="M251" s="1"/>
      <c r="N251" s="1"/>
      <c r="O251" s="1"/>
      <c r="P251" s="1"/>
    </row>
    <row r="252" spans="1:16" customFormat="1">
      <c r="A252" s="1"/>
      <c r="B252" s="1"/>
      <c r="C252" s="1"/>
      <c r="D252" s="1"/>
      <c r="E252" s="1"/>
      <c r="F252" s="1"/>
      <c r="G252" s="1"/>
      <c r="H252" s="1"/>
      <c r="I252" s="1"/>
      <c r="J252" s="1"/>
      <c r="K252" s="1"/>
      <c r="L252" s="1"/>
      <c r="M252" s="1"/>
      <c r="N252" s="1"/>
      <c r="O252" s="1"/>
      <c r="P252" s="1"/>
    </row>
    <row r="253" spans="1:16" customFormat="1" ht="18">
      <c r="A253" s="1" t="s">
        <v>1499</v>
      </c>
      <c r="B253" s="1"/>
      <c r="C253" s="1"/>
      <c r="D253" s="1"/>
      <c r="E253" s="1" t="s">
        <v>1</v>
      </c>
      <c r="F253" s="1">
        <f>0.37*F241/F245*E231+MAX(0,0.13*E226/E225*(F251-0.01))</f>
        <v>1.9084141830365081E-2</v>
      </c>
      <c r="G253" s="1"/>
      <c r="H253" s="1"/>
      <c r="I253" s="1"/>
      <c r="J253" s="1"/>
      <c r="K253" s="1"/>
      <c r="L253" s="1"/>
      <c r="M253" s="1"/>
      <c r="N253" s="1"/>
      <c r="O253" s="1"/>
      <c r="P253" s="1"/>
    </row>
    <row r="254" spans="1:16" customFormat="1">
      <c r="A254" s="1"/>
      <c r="B254" s="1"/>
      <c r="C254" s="1"/>
      <c r="D254" s="1"/>
      <c r="E254" s="1"/>
      <c r="F254" s="1"/>
      <c r="G254" s="1"/>
      <c r="H254" s="1"/>
      <c r="I254" s="1"/>
      <c r="J254" s="1"/>
      <c r="K254" s="1"/>
      <c r="L254" s="1"/>
      <c r="M254" s="1"/>
      <c r="N254" s="1"/>
      <c r="O254" s="1"/>
      <c r="P254" s="1"/>
    </row>
    <row r="255" spans="1:16" customFormat="1">
      <c r="A255" s="1" t="s">
        <v>1507</v>
      </c>
      <c r="B255" s="1"/>
      <c r="C255" s="1"/>
      <c r="D255" s="1"/>
      <c r="E255" s="1"/>
      <c r="F255" s="1"/>
      <c r="G255" s="1"/>
      <c r="H255" s="1"/>
      <c r="I255" s="1"/>
      <c r="J255" s="1"/>
      <c r="K255" s="1"/>
      <c r="L255" s="1"/>
      <c r="M255" s="1"/>
      <c r="N255" s="1"/>
      <c r="O255" s="1"/>
      <c r="P255" s="1"/>
    </row>
    <row r="256" spans="1:16" customFormat="1" ht="18">
      <c r="A256" s="1" t="s">
        <v>1508</v>
      </c>
      <c r="B256" s="1"/>
      <c r="C256" s="1"/>
      <c r="D256" s="1"/>
      <c r="E256" s="1" t="s">
        <v>1</v>
      </c>
      <c r="F256" s="1" t="s">
        <v>1720</v>
      </c>
      <c r="G256" s="1"/>
      <c r="H256" s="1"/>
      <c r="I256" s="1"/>
      <c r="J256" s="1"/>
      <c r="K256" s="1"/>
      <c r="L256" s="1"/>
      <c r="M256" s="1"/>
      <c r="N256" s="1"/>
      <c r="O256" s="1"/>
      <c r="P256" s="1"/>
    </row>
    <row r="257" spans="1:16" customFormat="1">
      <c r="A257" s="1"/>
      <c r="B257" s="1"/>
      <c r="C257" s="1"/>
      <c r="D257" s="1"/>
      <c r="E257" s="1" t="s">
        <v>1</v>
      </c>
      <c r="F257" s="1">
        <f>MAX(1.4*F253,0.12)</f>
        <v>0.12</v>
      </c>
      <c r="G257" s="1"/>
      <c r="H257" s="1"/>
      <c r="I257" s="1"/>
      <c r="J257" s="1"/>
      <c r="K257" s="1"/>
      <c r="L257" s="1"/>
      <c r="M257" s="1"/>
      <c r="N257" s="1"/>
      <c r="O257" s="1"/>
      <c r="P257" s="1"/>
    </row>
    <row r="258" spans="1:16" customFormat="1">
      <c r="A258" s="1"/>
      <c r="B258" s="1"/>
      <c r="C258" s="1"/>
      <c r="D258" s="1"/>
      <c r="E258" s="1"/>
      <c r="F258" s="1"/>
      <c r="G258" s="1"/>
      <c r="H258" s="1"/>
      <c r="I258" s="1"/>
      <c r="J258" s="1"/>
      <c r="K258" s="1"/>
      <c r="L258" s="1"/>
      <c r="M258" s="1"/>
      <c r="N258" s="1"/>
      <c r="O258" s="1"/>
      <c r="P258" s="1"/>
    </row>
    <row r="259" spans="1:16" customFormat="1">
      <c r="A259" s="1" t="s">
        <v>1491</v>
      </c>
      <c r="B259" s="1"/>
      <c r="C259" s="1"/>
      <c r="D259" s="1"/>
      <c r="E259" s="1"/>
      <c r="F259" s="1"/>
      <c r="G259" s="1"/>
      <c r="H259" s="1"/>
      <c r="I259" s="1"/>
      <c r="J259" s="1"/>
      <c r="K259" s="1"/>
      <c r="L259" s="1"/>
      <c r="M259" s="1"/>
      <c r="N259" s="1"/>
      <c r="O259" s="1"/>
      <c r="P259" s="1"/>
    </row>
    <row r="260" spans="1:16" customFormat="1" ht="18">
      <c r="A260" s="1" t="s">
        <v>1486</v>
      </c>
      <c r="B260" s="1"/>
      <c r="C260" s="1"/>
      <c r="D260" s="1"/>
      <c r="E260" s="1" t="s">
        <v>1</v>
      </c>
      <c r="F260" s="1" t="s">
        <v>1510</v>
      </c>
      <c r="G260" s="1"/>
      <c r="H260" s="1"/>
      <c r="I260" s="1"/>
      <c r="J260" s="1"/>
      <c r="K260" s="1"/>
      <c r="L260" s="1"/>
      <c r="M260" s="1"/>
      <c r="N260" s="1"/>
      <c r="O260" s="1"/>
      <c r="P260" s="1"/>
    </row>
    <row r="261" spans="1:16" customFormat="1">
      <c r="A261" s="1"/>
      <c r="B261" s="1"/>
      <c r="C261" s="1"/>
      <c r="D261" s="1"/>
      <c r="E261" s="1" t="s">
        <v>1</v>
      </c>
      <c r="F261" s="1">
        <f>F257*E225/E226</f>
        <v>4.3147999999999997E-3</v>
      </c>
      <c r="G261" s="1"/>
      <c r="H261" s="1"/>
      <c r="I261" s="1"/>
      <c r="J261" s="1"/>
      <c r="K261" s="1"/>
      <c r="L261" s="1"/>
      <c r="M261" s="1"/>
      <c r="N261" s="1"/>
      <c r="O261" s="1"/>
      <c r="P261" s="1"/>
    </row>
    <row r="262" spans="1:16" customFormat="1">
      <c r="A262" s="1"/>
      <c r="B262" s="1"/>
      <c r="C262" s="1"/>
      <c r="D262" s="1"/>
      <c r="E262" s="1"/>
      <c r="F262" s="1"/>
      <c r="G262" s="1"/>
      <c r="H262" s="1"/>
      <c r="I262" s="1"/>
      <c r="J262" s="1"/>
      <c r="K262" s="1"/>
      <c r="L262" s="1"/>
      <c r="M262" s="1"/>
      <c r="N262" s="1"/>
      <c r="O262" s="1"/>
      <c r="P262" s="1"/>
    </row>
    <row r="263" spans="1:16" customFormat="1">
      <c r="A263" s="1" t="s">
        <v>1491</v>
      </c>
      <c r="B263" s="1"/>
      <c r="C263" s="1"/>
      <c r="D263" s="1"/>
      <c r="E263" s="1"/>
      <c r="F263" s="1"/>
      <c r="G263" s="1"/>
      <c r="H263" s="1"/>
      <c r="I263" s="1"/>
      <c r="J263" s="1"/>
      <c r="K263" s="1"/>
      <c r="L263" s="1"/>
      <c r="M263" s="1"/>
      <c r="N263" s="1"/>
      <c r="O263" s="1"/>
      <c r="P263" s="1"/>
    </row>
    <row r="264" spans="1:16" customFormat="1" ht="18">
      <c r="A264" s="1" t="s">
        <v>1486</v>
      </c>
      <c r="B264" s="1"/>
      <c r="C264" s="1"/>
      <c r="D264" s="1"/>
      <c r="E264" s="1" t="s">
        <v>1</v>
      </c>
      <c r="F264" s="1" t="s">
        <v>1721</v>
      </c>
      <c r="G264" s="1"/>
      <c r="H264" s="1"/>
      <c r="I264" s="1"/>
      <c r="J264" s="1"/>
      <c r="K264" s="1"/>
      <c r="L264" s="1"/>
      <c r="M264" s="1"/>
      <c r="N264" s="1"/>
      <c r="O264" s="1"/>
      <c r="P264" s="1"/>
    </row>
    <row r="265" spans="1:16" customFormat="1">
      <c r="A265" s="1" t="s">
        <v>1494</v>
      </c>
      <c r="B265" s="1"/>
      <c r="C265" s="1"/>
      <c r="D265" s="1"/>
      <c r="E265" s="1"/>
      <c r="F265" s="1"/>
      <c r="G265" s="1"/>
      <c r="H265" s="1"/>
      <c r="I265" s="1"/>
      <c r="J265" s="1"/>
      <c r="K265" s="1"/>
      <c r="L265" s="1"/>
      <c r="M265" s="1"/>
      <c r="N265" s="1"/>
      <c r="O265" s="1"/>
      <c r="P265" s="1"/>
    </row>
    <row r="266" spans="1:16" customFormat="1" ht="18">
      <c r="A266" s="1" t="s">
        <v>1722</v>
      </c>
      <c r="B266" s="1"/>
      <c r="C266" s="1"/>
      <c r="D266" s="1"/>
      <c r="E266" s="1" t="s">
        <v>1</v>
      </c>
      <c r="F266" s="1" t="s">
        <v>1723</v>
      </c>
      <c r="G266" s="1"/>
      <c r="H266" s="1"/>
      <c r="I266" s="1"/>
      <c r="J266" s="1"/>
      <c r="K266" s="1"/>
      <c r="L266" s="1"/>
      <c r="M266" s="1"/>
      <c r="N266" s="1"/>
      <c r="O266" s="1"/>
      <c r="P266" s="1"/>
    </row>
    <row r="267" spans="1:16" customFormat="1">
      <c r="A267" s="1"/>
      <c r="B267" s="1"/>
      <c r="C267" s="1"/>
      <c r="D267" s="1"/>
      <c r="E267" s="1"/>
      <c r="F267" s="1"/>
      <c r="G267" s="1"/>
      <c r="H267" s="1"/>
      <c r="I267" s="1"/>
      <c r="J267" s="1"/>
      <c r="K267" s="1"/>
      <c r="L267" s="1"/>
      <c r="M267" s="1"/>
      <c r="N267" s="1"/>
      <c r="O267" s="1"/>
      <c r="P267" s="1"/>
    </row>
    <row r="268" spans="1:16" customFormat="1">
      <c r="A268" s="1" t="s">
        <v>435</v>
      </c>
      <c r="B268" s="1"/>
      <c r="C268" s="1"/>
      <c r="D268" s="1"/>
      <c r="E268" s="1" t="s">
        <v>1</v>
      </c>
      <c r="F268" s="1" t="s">
        <v>1724</v>
      </c>
      <c r="G268" s="1"/>
      <c r="H268" s="1"/>
      <c r="I268" s="1"/>
      <c r="J268" s="1"/>
      <c r="K268" s="1"/>
      <c r="L268" s="1"/>
      <c r="M268" s="1"/>
      <c r="N268" s="1"/>
      <c r="O268" s="1"/>
      <c r="P268" s="1"/>
    </row>
    <row r="269" spans="1:16" customFormat="1">
      <c r="A269" s="1"/>
      <c r="B269" s="1"/>
      <c r="C269" s="1"/>
      <c r="D269" s="1"/>
      <c r="E269" s="1" t="s">
        <v>1</v>
      </c>
      <c r="F269" s="1">
        <f>F215-E218-E218</f>
        <v>1100</v>
      </c>
      <c r="G269" s="1" t="s">
        <v>5</v>
      </c>
      <c r="H269" s="1"/>
      <c r="I269" s="1"/>
      <c r="J269" s="1"/>
      <c r="K269" s="1"/>
      <c r="L269" s="1"/>
      <c r="M269" s="1"/>
      <c r="N269" s="1"/>
      <c r="O269" s="1"/>
      <c r="P269" s="1"/>
    </row>
    <row r="270" spans="1:16" customFormat="1">
      <c r="A270" s="1"/>
      <c r="B270" s="1"/>
      <c r="C270" s="1"/>
      <c r="D270" s="1"/>
      <c r="E270" s="1"/>
      <c r="F270" s="1"/>
      <c r="G270" s="1"/>
      <c r="H270" s="1"/>
      <c r="I270" s="1"/>
      <c r="J270" s="1"/>
      <c r="K270" s="1"/>
      <c r="L270" s="1"/>
      <c r="M270" s="1"/>
      <c r="N270" s="1"/>
      <c r="O270" s="1"/>
      <c r="P270" s="1"/>
    </row>
    <row r="271" spans="1:16" customFormat="1" ht="18">
      <c r="A271" s="1" t="s">
        <v>1497</v>
      </c>
      <c r="B271" s="1"/>
      <c r="C271" s="1"/>
      <c r="D271" s="1"/>
      <c r="E271" s="1" t="s">
        <v>1</v>
      </c>
      <c r="F271" s="1" t="s">
        <v>1725</v>
      </c>
      <c r="G271" s="1"/>
      <c r="H271" s="1"/>
      <c r="I271" s="1"/>
      <c r="J271" s="1"/>
      <c r="K271" s="1"/>
      <c r="L271" s="1"/>
      <c r="M271" s="1"/>
      <c r="N271" s="1"/>
      <c r="O271" s="1"/>
      <c r="P271" s="1"/>
    </row>
    <row r="272" spans="1:16" customFormat="1">
      <c r="A272" s="1"/>
      <c r="B272" s="1"/>
      <c r="C272" s="1"/>
      <c r="D272" s="1"/>
      <c r="E272" s="4" t="s">
        <v>1726</v>
      </c>
      <c r="F272" s="4" t="s">
        <v>1727</v>
      </c>
      <c r="G272" s="4"/>
      <c r="H272" s="4"/>
      <c r="I272" s="4"/>
      <c r="J272" s="1237"/>
      <c r="K272" s="1237"/>
    </row>
    <row r="273" spans="1:16" customFormat="1">
      <c r="A273" s="1"/>
      <c r="B273" s="1"/>
      <c r="C273" s="1"/>
      <c r="D273" s="1"/>
      <c r="E273" s="4" t="s">
        <v>1</v>
      </c>
      <c r="F273" s="6">
        <v>0.2</v>
      </c>
      <c r="G273" s="6" t="s">
        <v>30</v>
      </c>
      <c r="H273" s="6">
        <f>F215-E218-E218</f>
        <v>1100</v>
      </c>
      <c r="I273" s="4" t="s">
        <v>1</v>
      </c>
      <c r="J273" s="6">
        <f>F273*H273</f>
        <v>220</v>
      </c>
      <c r="K273" s="4" t="s">
        <v>5</v>
      </c>
      <c r="L273" s="1"/>
      <c r="M273" s="1"/>
      <c r="N273" s="1"/>
      <c r="O273" s="1"/>
      <c r="P273" s="1"/>
    </row>
    <row r="274" spans="1:16" customFormat="1">
      <c r="A274" s="1"/>
      <c r="B274" s="1"/>
      <c r="C274" s="1"/>
      <c r="D274" s="1"/>
      <c r="E274" s="1"/>
      <c r="F274" s="1"/>
      <c r="G274" s="1"/>
      <c r="H274" s="1"/>
      <c r="I274" s="1"/>
      <c r="J274" s="1"/>
      <c r="K274" s="1"/>
      <c r="L274" s="1"/>
      <c r="M274" s="1"/>
      <c r="N274" s="1"/>
      <c r="O274" s="1"/>
      <c r="P274" s="1"/>
    </row>
    <row r="275" spans="1:16" customFormat="1">
      <c r="A275" s="1"/>
      <c r="B275" s="1"/>
      <c r="C275" s="1"/>
      <c r="D275" s="1"/>
      <c r="E275" s="1" t="s">
        <v>1</v>
      </c>
      <c r="F275" s="4">
        <f>CEILING(MIN(J273:J273),10)-10</f>
        <v>210</v>
      </c>
      <c r="G275" s="1" t="s">
        <v>5</v>
      </c>
      <c r="H275" s="1"/>
      <c r="I275" s="1"/>
      <c r="J275" s="1"/>
      <c r="K275" s="1"/>
      <c r="L275" s="1"/>
      <c r="M275" s="1"/>
      <c r="N275" s="1"/>
      <c r="O275" s="1"/>
      <c r="P275" s="1"/>
    </row>
    <row r="276" spans="1:16" customFormat="1">
      <c r="A276" s="1"/>
      <c r="B276" s="1"/>
      <c r="C276" s="1"/>
      <c r="D276" s="1"/>
      <c r="E276" s="1"/>
      <c r="F276" s="1"/>
      <c r="G276" s="1"/>
      <c r="H276" s="1"/>
      <c r="I276" s="1"/>
      <c r="J276" s="1"/>
      <c r="K276" s="1"/>
      <c r="L276" s="1"/>
      <c r="M276" s="1"/>
      <c r="N276" s="1"/>
      <c r="O276" s="1"/>
      <c r="P276" s="1"/>
    </row>
    <row r="277" spans="1:16" customFormat="1">
      <c r="A277" s="1" t="s">
        <v>620</v>
      </c>
      <c r="B277" s="1"/>
      <c r="C277" s="1"/>
      <c r="D277" s="1"/>
      <c r="E277" s="1" t="s">
        <v>1</v>
      </c>
      <c r="F277" s="150">
        <f>F261*F269*F275</f>
        <v>996.71879999999987</v>
      </c>
      <c r="G277" s="1" t="s">
        <v>1485</v>
      </c>
      <c r="H277" s="1"/>
      <c r="I277" s="1"/>
      <c r="J277" s="1"/>
      <c r="K277" s="1"/>
      <c r="L277" s="1"/>
      <c r="M277" s="1"/>
      <c r="N277" s="1"/>
      <c r="O277" s="1"/>
      <c r="P277" s="1"/>
    </row>
    <row r="278" spans="1:16" customFormat="1">
      <c r="A278" s="1"/>
      <c r="B278" s="1"/>
      <c r="C278" s="1"/>
      <c r="D278" s="1"/>
      <c r="E278" s="1"/>
      <c r="F278" s="1"/>
      <c r="G278" s="1"/>
      <c r="H278" s="1"/>
      <c r="I278" s="1"/>
      <c r="J278" s="1"/>
      <c r="K278" s="1"/>
      <c r="L278" s="1"/>
      <c r="M278" s="1"/>
      <c r="N278" s="1"/>
      <c r="O278" s="1"/>
      <c r="P278" s="1"/>
    </row>
    <row r="279" spans="1:16" customFormat="1">
      <c r="A279" s="1" t="s">
        <v>603</v>
      </c>
      <c r="B279" s="4">
        <v>12</v>
      </c>
      <c r="C279" s="528" t="s">
        <v>1728</v>
      </c>
      <c r="D279" s="6">
        <f>ROUNDDOWN(O20/2,0)</f>
        <v>30</v>
      </c>
      <c r="E279" s="1" t="s">
        <v>1729</v>
      </c>
      <c r="F279" s="4">
        <f>F275</f>
        <v>210</v>
      </c>
      <c r="G279" s="1" t="s">
        <v>1514</v>
      </c>
      <c r="H279" s="1"/>
      <c r="K279" s="1"/>
      <c r="L279" s="1"/>
      <c r="M279" s="1"/>
      <c r="N279" s="1"/>
      <c r="O279" s="1"/>
      <c r="P279" s="1"/>
    </row>
    <row r="281" spans="1:16" ht="17.25">
      <c r="A281" s="1" t="s">
        <v>1730</v>
      </c>
      <c r="F281" s="1" t="s">
        <v>1</v>
      </c>
      <c r="G281" s="1">
        <f>PI()*B279^2/4*D279</f>
        <v>3392.9200658769764</v>
      </c>
      <c r="H281" s="1" t="s">
        <v>570</v>
      </c>
      <c r="I281" s="334" t="str">
        <f>IF(G281&gt;F277,"OK","REVISE")</f>
        <v>OK</v>
      </c>
    </row>
    <row r="283" spans="1:16">
      <c r="A283" s="214" t="s">
        <v>1731</v>
      </c>
    </row>
    <row r="285" spans="1:16" ht="18">
      <c r="A285" s="1" t="s">
        <v>1732</v>
      </c>
      <c r="C285" s="1" t="s">
        <v>1</v>
      </c>
      <c r="D285" s="1" t="s">
        <v>425</v>
      </c>
      <c r="E285" s="1" t="s">
        <v>1733</v>
      </c>
    </row>
    <row r="286" spans="1:16">
      <c r="E286" s="1">
        <v>200</v>
      </c>
      <c r="F286" s="1" t="s">
        <v>5</v>
      </c>
    </row>
    <row r="288" spans="1:16">
      <c r="C288" s="1" t="s">
        <v>1</v>
      </c>
      <c r="D288" s="1" t="s">
        <v>425</v>
      </c>
      <c r="E288" s="302">
        <f>1/3</f>
        <v>0.33333333333333331</v>
      </c>
      <c r="F288" s="528" t="s">
        <v>30</v>
      </c>
      <c r="G288" s="6">
        <f>H273</f>
        <v>1100</v>
      </c>
      <c r="H288" s="1" t="s">
        <v>1</v>
      </c>
      <c r="I288" s="79">
        <f>E288*G288</f>
        <v>366.66666666666663</v>
      </c>
      <c r="J288" s="1" t="s">
        <v>5</v>
      </c>
    </row>
    <row r="289" spans="3:6">
      <c r="E289" s="1">
        <v>200</v>
      </c>
      <c r="F289" s="1" t="s">
        <v>5</v>
      </c>
    </row>
    <row r="291" spans="3:6">
      <c r="C291" s="1" t="s">
        <v>1</v>
      </c>
      <c r="D291" s="1">
        <f>MIN(I288,E289)</f>
        <v>200</v>
      </c>
      <c r="E291" s="1" t="s">
        <v>5</v>
      </c>
    </row>
  </sheetData>
  <mergeCells count="24">
    <mergeCell ref="A51:A52"/>
    <mergeCell ref="J6:K6"/>
    <mergeCell ref="H9:H10"/>
    <mergeCell ref="O9:O10"/>
    <mergeCell ref="P9:P10"/>
    <mergeCell ref="A34:A35"/>
    <mergeCell ref="F106:F107"/>
    <mergeCell ref="G106:G107"/>
    <mergeCell ref="H106:H107"/>
    <mergeCell ref="I106:I107"/>
    <mergeCell ref="J106:J107"/>
    <mergeCell ref="F82:G82"/>
    <mergeCell ref="F83:G83"/>
    <mergeCell ref="I83:J83"/>
    <mergeCell ref="F84:G84"/>
    <mergeCell ref="D96:E96"/>
    <mergeCell ref="F243:J244"/>
    <mergeCell ref="K111:P111"/>
    <mergeCell ref="F112:J112"/>
    <mergeCell ref="K112:K113"/>
    <mergeCell ref="L112:L113"/>
    <mergeCell ref="M112:M113"/>
    <mergeCell ref="N112:N113"/>
    <mergeCell ref="O112:P113"/>
  </mergeCells>
  <pageMargins left="0.70866141732283505" right="0.20866141699999999" top="0.74803149606299202" bottom="0.24803149599999999" header="0.31496062992126" footer="0.31496062992126"/>
  <pageSetup paperSize="9" scale="92" orientation="landscape" blackAndWhite="1" r:id="rId1"/>
  <rowBreaks count="5" manualBreakCount="5">
    <brk id="32" max="16" man="1"/>
    <brk id="66" max="16" man="1"/>
    <brk id="165" max="16" man="1"/>
    <brk id="202" max="16" man="1"/>
    <brk id="236" max="16" man="1"/>
  </rowBreaks>
  <colBreaks count="1" manualBreakCount="1">
    <brk id="21" max="1048575" man="1"/>
  </colBreaks>
  <drawing r:id="rId2"/>
</worksheet>
</file>

<file path=xl/worksheets/sheet44.xml><?xml version="1.0" encoding="utf-8"?>
<worksheet xmlns="http://schemas.openxmlformats.org/spreadsheetml/2006/main" xmlns:r="http://schemas.openxmlformats.org/officeDocument/2006/relationships">
  <sheetPr codeName="Sheet56">
    <tabColor theme="6" tint="-0.249977111117893"/>
  </sheetPr>
  <dimension ref="A1:U104"/>
  <sheetViews>
    <sheetView view="pageBreakPreview" zoomScaleSheetLayoutView="100" workbookViewId="0">
      <selection activeCell="M33" sqref="M33"/>
    </sheetView>
  </sheetViews>
  <sheetFormatPr defaultColWidth="7.7109375" defaultRowHeight="15"/>
  <cols>
    <col min="1" max="2" width="7.7109375" style="1"/>
    <col min="3" max="3" width="7.7109375" style="1" customWidth="1"/>
    <col min="4" max="4" width="9.5703125" style="1" bestFit="1" customWidth="1"/>
    <col min="5" max="6" width="7.7109375" style="1"/>
    <col min="7" max="7" width="7.85546875" style="1" bestFit="1" customWidth="1"/>
    <col min="8" max="8" width="7.85546875" style="1" customWidth="1"/>
    <col min="9" max="9" width="7.7109375" style="1" customWidth="1"/>
    <col min="10" max="10" width="7.7109375" style="1"/>
    <col min="11" max="11" width="7.7109375" style="116"/>
    <col min="12" max="12" width="7.7109375" style="270"/>
    <col min="13" max="19" width="7.7109375" style="87"/>
    <col min="20" max="16384" width="7.7109375" style="1"/>
  </cols>
  <sheetData>
    <row r="1" spans="1:19">
      <c r="A1" s="9" t="s">
        <v>213</v>
      </c>
    </row>
    <row r="2" spans="1:19">
      <c r="A2" s="9" t="s">
        <v>1538</v>
      </c>
      <c r="L2" s="116"/>
      <c r="M2" s="380"/>
      <c r="N2" s="380"/>
      <c r="O2" s="380"/>
      <c r="P2" s="380"/>
      <c r="Q2" s="380"/>
      <c r="R2" s="380"/>
      <c r="S2" s="380"/>
    </row>
    <row r="3" spans="1:19">
      <c r="A3" s="9" t="s">
        <v>218</v>
      </c>
    </row>
    <row r="4" spans="1:19">
      <c r="A4" s="84"/>
      <c r="C4" s="84"/>
      <c r="E4" s="84"/>
      <c r="G4" s="84"/>
      <c r="I4" s="84"/>
    </row>
    <row r="5" spans="1:19">
      <c r="A5" s="811" t="s">
        <v>232</v>
      </c>
      <c r="B5" s="31"/>
      <c r="C5" s="215">
        <f>ROW(A10)</f>
        <v>10</v>
      </c>
    </row>
    <row r="6" spans="1:19">
      <c r="A6" s="225" t="s">
        <v>231</v>
      </c>
      <c r="B6" s="15"/>
      <c r="C6" s="216">
        <f>ROW(A95)</f>
        <v>95</v>
      </c>
      <c r="K6" s="1"/>
      <c r="L6" s="293"/>
      <c r="M6" s="149"/>
      <c r="N6" s="149"/>
      <c r="O6" s="149"/>
      <c r="P6" s="149"/>
      <c r="Q6" s="149"/>
      <c r="R6" s="149"/>
      <c r="S6" s="149"/>
    </row>
    <row r="7" spans="1:19">
      <c r="A7" s="225" t="s">
        <v>220</v>
      </c>
      <c r="B7" s="1048" t="s">
        <v>1</v>
      </c>
      <c r="C7" s="216">
        <f>COUNTA(M10:S10)+COUNTBLANK(M10:S10)</f>
        <v>7</v>
      </c>
    </row>
    <row r="8" spans="1:19">
      <c r="A8" s="225" t="s">
        <v>592</v>
      </c>
      <c r="B8" s="1048"/>
      <c r="C8" s="216">
        <f>ROW(S_3.3_SH_SUM!A24)+1</f>
        <v>25</v>
      </c>
      <c r="M8" s="381"/>
    </row>
    <row r="9" spans="1:19">
      <c r="A9" s="84"/>
      <c r="M9" s="91" t="s">
        <v>443</v>
      </c>
      <c r="N9" s="92"/>
      <c r="O9" s="350"/>
      <c r="P9" s="91" t="s">
        <v>444</v>
      </c>
      <c r="Q9" s="292"/>
      <c r="R9" s="91"/>
      <c r="S9" s="292"/>
    </row>
    <row r="10" spans="1:19">
      <c r="A10" s="225" t="str">
        <f>M10</f>
        <v>LC-1</v>
      </c>
      <c r="B10" s="24" t="str">
        <f>VLOOKUP(A10,LC_DEF_2!A95:B100,2,FALSE)</f>
        <v>LWL QP, NS LWL DL, SIDL</v>
      </c>
      <c r="C10" s="24"/>
      <c r="D10" s="24"/>
      <c r="E10" s="21"/>
      <c r="F10" s="1599" t="s">
        <v>742</v>
      </c>
      <c r="G10" s="1635"/>
      <c r="H10" s="1635"/>
      <c r="I10" s="1635"/>
      <c r="J10" s="1600"/>
      <c r="K10" s="73"/>
      <c r="L10" s="272"/>
      <c r="M10" s="93" t="s">
        <v>122</v>
      </c>
      <c r="N10" s="93" t="s">
        <v>123</v>
      </c>
      <c r="O10" s="93"/>
      <c r="P10" s="292" t="s">
        <v>126</v>
      </c>
      <c r="Q10" s="292" t="s">
        <v>214</v>
      </c>
      <c r="R10" s="292" t="s">
        <v>215</v>
      </c>
      <c r="S10" s="292" t="s">
        <v>216</v>
      </c>
    </row>
    <row r="11" spans="1:19" ht="18">
      <c r="A11" s="25" t="s">
        <v>73</v>
      </c>
      <c r="B11" s="26" t="s">
        <v>74</v>
      </c>
      <c r="C11" s="26"/>
      <c r="D11" s="26"/>
      <c r="E11" s="27"/>
      <c r="F11" s="33" t="s">
        <v>23</v>
      </c>
      <c r="G11" s="33" t="s">
        <v>87</v>
      </c>
      <c r="H11" s="33" t="s">
        <v>212</v>
      </c>
      <c r="I11" s="33" t="s">
        <v>80</v>
      </c>
      <c r="J11" s="33" t="s">
        <v>81</v>
      </c>
      <c r="K11" s="273"/>
      <c r="L11" s="274"/>
      <c r="M11" s="376"/>
      <c r="N11" s="376"/>
      <c r="O11" s="385"/>
      <c r="P11" s="385"/>
      <c r="Q11" s="385"/>
      <c r="R11" s="385"/>
      <c r="S11" s="385"/>
    </row>
    <row r="12" spans="1:19">
      <c r="A12" s="25"/>
      <c r="B12" s="26"/>
      <c r="C12" s="26"/>
      <c r="D12" s="26"/>
      <c r="E12" s="27"/>
      <c r="F12" s="36" t="s">
        <v>34</v>
      </c>
      <c r="G12" s="36" t="s">
        <v>34</v>
      </c>
      <c r="H12" s="36" t="s">
        <v>34</v>
      </c>
      <c r="I12" s="36" t="s">
        <v>77</v>
      </c>
      <c r="J12" s="36" t="s">
        <v>77</v>
      </c>
      <c r="K12" s="74"/>
      <c r="L12" s="277"/>
      <c r="M12" s="376"/>
      <c r="N12" s="376"/>
      <c r="O12" s="385"/>
      <c r="P12" s="385"/>
      <c r="Q12" s="385"/>
      <c r="R12" s="385"/>
      <c r="S12" s="385"/>
    </row>
    <row r="13" spans="1:19">
      <c r="A13" s="261"/>
      <c r="B13" s="262"/>
      <c r="C13" s="262"/>
      <c r="D13" s="262"/>
      <c r="E13" s="263"/>
      <c r="F13" s="264"/>
      <c r="G13" s="263"/>
      <c r="H13" s="264"/>
      <c r="I13" s="264"/>
      <c r="J13" s="264"/>
      <c r="K13" s="273"/>
      <c r="L13" s="274"/>
      <c r="M13" s="377"/>
      <c r="N13" s="377"/>
      <c r="O13" s="503"/>
      <c r="P13" s="377"/>
      <c r="Q13" s="377"/>
      <c r="R13" s="377"/>
      <c r="S13" s="377"/>
    </row>
    <row r="14" spans="1:19">
      <c r="A14" s="25" t="s">
        <v>88</v>
      </c>
      <c r="B14" s="26" t="s">
        <v>75</v>
      </c>
      <c r="C14" s="26"/>
      <c r="D14" s="26"/>
      <c r="E14" s="27"/>
      <c r="F14" s="195">
        <f>SHF!F14</f>
        <v>165.42303866482536</v>
      </c>
      <c r="G14" s="210"/>
      <c r="H14" s="34"/>
      <c r="I14" s="195">
        <f>SHF!I14</f>
        <v>0</v>
      </c>
      <c r="J14" s="195">
        <f>SHF!J14</f>
        <v>0</v>
      </c>
      <c r="K14" s="273"/>
      <c r="L14" s="274"/>
      <c r="M14" s="268">
        <v>1</v>
      </c>
      <c r="N14" s="268">
        <v>1</v>
      </c>
      <c r="O14" s="504"/>
      <c r="P14" s="268">
        <v>1</v>
      </c>
      <c r="Q14" s="268">
        <v>1</v>
      </c>
      <c r="R14" s="268">
        <v>1</v>
      </c>
      <c r="S14" s="268">
        <v>1</v>
      </c>
    </row>
    <row r="15" spans="1:19">
      <c r="A15" s="25"/>
      <c r="B15" s="26"/>
      <c r="C15" s="26"/>
      <c r="D15" s="26"/>
      <c r="E15" s="27"/>
      <c r="F15" s="196"/>
      <c r="G15" s="210"/>
      <c r="H15" s="34"/>
      <c r="I15" s="196"/>
      <c r="J15" s="34"/>
      <c r="K15" s="273"/>
      <c r="L15" s="274"/>
      <c r="M15" s="268"/>
      <c r="N15" s="268"/>
      <c r="O15" s="504"/>
      <c r="P15" s="268"/>
      <c r="Q15" s="268"/>
      <c r="R15" s="268"/>
      <c r="S15" s="268"/>
    </row>
    <row r="16" spans="1:19">
      <c r="A16" s="25" t="s">
        <v>966</v>
      </c>
      <c r="B16" s="26"/>
      <c r="C16" s="26"/>
      <c r="D16" s="26"/>
      <c r="E16" s="27"/>
      <c r="F16" s="34"/>
      <c r="G16" s="27"/>
      <c r="H16" s="34"/>
      <c r="I16" s="34"/>
      <c r="J16" s="34"/>
      <c r="K16" s="273"/>
      <c r="L16" s="274"/>
      <c r="M16" s="376"/>
      <c r="N16" s="376"/>
      <c r="O16" s="385"/>
      <c r="P16" s="376"/>
      <c r="Q16" s="376"/>
      <c r="R16" s="376"/>
      <c r="S16" s="376"/>
    </row>
    <row r="17" spans="1:21">
      <c r="A17" s="25" t="s">
        <v>250</v>
      </c>
      <c r="B17" s="26" t="s">
        <v>967</v>
      </c>
      <c r="C17" s="26"/>
      <c r="D17" s="26"/>
      <c r="E17" s="27"/>
      <c r="F17" s="195">
        <f>SHF!F17</f>
        <v>230</v>
      </c>
      <c r="G17" s="210"/>
      <c r="H17" s="34"/>
      <c r="I17" s="195">
        <f>SHF!I17</f>
        <v>-115</v>
      </c>
      <c r="J17" s="195">
        <f>SHF!J17</f>
        <v>0</v>
      </c>
      <c r="K17" s="273"/>
      <c r="L17" s="274"/>
      <c r="M17" s="376">
        <v>1</v>
      </c>
      <c r="N17" s="376">
        <v>1</v>
      </c>
      <c r="O17" s="385"/>
      <c r="P17" s="376">
        <v>1</v>
      </c>
      <c r="Q17" s="376">
        <v>1</v>
      </c>
      <c r="R17" s="376">
        <v>1</v>
      </c>
      <c r="S17" s="376">
        <v>1</v>
      </c>
    </row>
    <row r="18" spans="1:21">
      <c r="A18" s="25" t="s">
        <v>251</v>
      </c>
      <c r="B18" s="26" t="s">
        <v>968</v>
      </c>
      <c r="C18" s="26"/>
      <c r="D18" s="26"/>
      <c r="E18" s="27"/>
      <c r="F18" s="195">
        <f>SHF!F18</f>
        <v>20.660000000000004</v>
      </c>
      <c r="G18" s="210"/>
      <c r="H18" s="34"/>
      <c r="I18" s="195">
        <f>SHF!I18</f>
        <v>-10.330000000000002</v>
      </c>
      <c r="J18" s="195">
        <f>SHF!J18</f>
        <v>0</v>
      </c>
      <c r="K18" s="273"/>
      <c r="L18" s="274"/>
      <c r="M18" s="376">
        <v>1</v>
      </c>
      <c r="N18" s="376">
        <v>1</v>
      </c>
      <c r="O18" s="385"/>
      <c r="P18" s="376">
        <v>1</v>
      </c>
      <c r="Q18" s="376">
        <v>1</v>
      </c>
      <c r="R18" s="376">
        <v>1</v>
      </c>
      <c r="S18" s="376">
        <v>1</v>
      </c>
    </row>
    <row r="19" spans="1:21">
      <c r="A19" s="25" t="s">
        <v>97</v>
      </c>
      <c r="B19" s="26" t="s">
        <v>969</v>
      </c>
      <c r="C19" s="26"/>
      <c r="D19" s="26"/>
      <c r="E19" s="27"/>
      <c r="F19" s="195">
        <f>SHF!F19</f>
        <v>42</v>
      </c>
      <c r="G19" s="210"/>
      <c r="H19" s="34"/>
      <c r="I19" s="195">
        <f>SHF!I19</f>
        <v>-14.858499999999999</v>
      </c>
      <c r="J19" s="195">
        <f>SHF!J19</f>
        <v>0</v>
      </c>
      <c r="K19" s="273"/>
      <c r="L19" s="274"/>
      <c r="M19" s="376">
        <v>1</v>
      </c>
      <c r="N19" s="376">
        <v>1</v>
      </c>
      <c r="O19" s="385"/>
      <c r="P19" s="376">
        <v>1</v>
      </c>
      <c r="Q19" s="376">
        <v>1</v>
      </c>
      <c r="R19" s="376">
        <v>1</v>
      </c>
      <c r="S19" s="376">
        <v>1</v>
      </c>
    </row>
    <row r="20" spans="1:21">
      <c r="A20" s="25" t="s">
        <v>973</v>
      </c>
      <c r="B20" s="26"/>
      <c r="C20" s="26"/>
      <c r="D20" s="26"/>
      <c r="E20" s="27"/>
      <c r="F20" s="34"/>
      <c r="G20" s="27"/>
      <c r="H20" s="34"/>
      <c r="I20" s="34"/>
      <c r="J20" s="34"/>
      <c r="K20" s="273"/>
      <c r="L20" s="274"/>
      <c r="M20" s="376"/>
      <c r="N20" s="376"/>
      <c r="O20" s="385"/>
      <c r="P20" s="376"/>
      <c r="Q20" s="376"/>
      <c r="R20" s="376"/>
      <c r="S20" s="376"/>
    </row>
    <row r="21" spans="1:21">
      <c r="A21" s="25" t="s">
        <v>250</v>
      </c>
      <c r="B21" s="26" t="s">
        <v>970</v>
      </c>
      <c r="C21" s="26"/>
      <c r="D21" s="26"/>
      <c r="E21" s="27"/>
      <c r="F21" s="195">
        <f>SHF!F21</f>
        <v>230</v>
      </c>
      <c r="G21" s="210"/>
      <c r="H21" s="34"/>
      <c r="I21" s="195">
        <f>SHF!I21</f>
        <v>115</v>
      </c>
      <c r="J21" s="195">
        <f>SHF!J21</f>
        <v>0</v>
      </c>
      <c r="K21" s="273"/>
      <c r="L21" s="274"/>
      <c r="M21" s="376">
        <v>1</v>
      </c>
      <c r="N21" s="376">
        <v>1</v>
      </c>
      <c r="O21" s="385"/>
      <c r="P21" s="376">
        <v>1</v>
      </c>
      <c r="Q21" s="376">
        <v>1</v>
      </c>
      <c r="R21" s="376">
        <v>1</v>
      </c>
      <c r="S21" s="376">
        <v>1</v>
      </c>
    </row>
    <row r="22" spans="1:21">
      <c r="A22" s="25" t="s">
        <v>251</v>
      </c>
      <c r="B22" s="26" t="s">
        <v>971</v>
      </c>
      <c r="C22" s="26"/>
      <c r="D22" s="26"/>
      <c r="E22" s="27"/>
      <c r="F22" s="195">
        <f>SHF!F22</f>
        <v>20.660000000000004</v>
      </c>
      <c r="G22" s="210"/>
      <c r="H22" s="34"/>
      <c r="I22" s="195">
        <f>SHF!I22</f>
        <v>10.330000000000002</v>
      </c>
      <c r="J22" s="195">
        <f>SHF!J22</f>
        <v>0</v>
      </c>
      <c r="K22" s="273"/>
      <c r="L22" s="274"/>
      <c r="M22" s="268">
        <v>1</v>
      </c>
      <c r="N22" s="268">
        <v>1</v>
      </c>
      <c r="O22" s="504"/>
      <c r="P22" s="268">
        <v>1</v>
      </c>
      <c r="Q22" s="268">
        <v>1</v>
      </c>
      <c r="R22" s="268">
        <v>1</v>
      </c>
      <c r="S22" s="268">
        <v>1</v>
      </c>
    </row>
    <row r="23" spans="1:21">
      <c r="A23" s="25" t="s">
        <v>97</v>
      </c>
      <c r="B23" s="26" t="s">
        <v>972</v>
      </c>
      <c r="C23" s="26"/>
      <c r="D23" s="26"/>
      <c r="E23" s="27"/>
      <c r="F23" s="195">
        <f>SHF!F23</f>
        <v>42</v>
      </c>
      <c r="G23" s="210"/>
      <c r="H23" s="34"/>
      <c r="I23" s="195">
        <f>SHF!I23</f>
        <v>14.858499999999999</v>
      </c>
      <c r="J23" s="195">
        <f>SHF!J23</f>
        <v>0</v>
      </c>
      <c r="K23" s="273"/>
      <c r="L23" s="274"/>
      <c r="M23" s="376">
        <v>1</v>
      </c>
      <c r="N23" s="376">
        <v>1</v>
      </c>
      <c r="O23" s="385"/>
      <c r="P23" s="376">
        <v>1</v>
      </c>
      <c r="Q23" s="376">
        <v>1</v>
      </c>
      <c r="R23" s="376">
        <v>1</v>
      </c>
      <c r="S23" s="376">
        <v>1</v>
      </c>
    </row>
    <row r="24" spans="1:21">
      <c r="A24" s="25"/>
      <c r="B24" s="26"/>
      <c r="C24" s="26"/>
      <c r="D24" s="26"/>
      <c r="E24" s="27"/>
      <c r="F24" s="34"/>
      <c r="G24" s="27"/>
      <c r="H24" s="34"/>
      <c r="I24" s="34"/>
      <c r="J24" s="34"/>
      <c r="K24" s="273"/>
      <c r="L24" s="274"/>
      <c r="M24" s="268"/>
      <c r="N24" s="268"/>
      <c r="O24" s="504"/>
      <c r="P24" s="268"/>
      <c r="Q24" s="268"/>
      <c r="R24" s="268"/>
      <c r="S24" s="268"/>
      <c r="T24" s="7"/>
      <c r="U24" s="7"/>
    </row>
    <row r="25" spans="1:21">
      <c r="A25" s="25" t="s">
        <v>974</v>
      </c>
      <c r="B25" s="26"/>
      <c r="C25" s="26"/>
      <c r="D25" s="26"/>
      <c r="E25" s="27"/>
      <c r="F25" s="34"/>
      <c r="G25" s="27"/>
      <c r="H25" s="34"/>
      <c r="I25" s="34"/>
      <c r="J25" s="34"/>
      <c r="K25" s="273"/>
      <c r="L25" s="274"/>
      <c r="M25" s="268"/>
      <c r="N25" s="268"/>
      <c r="O25" s="504"/>
      <c r="P25" s="268"/>
      <c r="Q25" s="268"/>
      <c r="R25" s="268"/>
      <c r="S25" s="268"/>
      <c r="T25" s="7"/>
      <c r="U25" s="7"/>
    </row>
    <row r="26" spans="1:21">
      <c r="A26" s="25" t="s">
        <v>975</v>
      </c>
      <c r="B26" s="26"/>
      <c r="C26" s="26"/>
      <c r="D26" s="26"/>
      <c r="E26" s="27"/>
      <c r="F26" s="34"/>
      <c r="G26" s="27"/>
      <c r="H26" s="34"/>
      <c r="I26" s="34"/>
      <c r="J26" s="34"/>
      <c r="K26" s="273"/>
      <c r="L26" s="274"/>
      <c r="M26" s="268"/>
      <c r="N26" s="268"/>
      <c r="O26" s="504"/>
      <c r="P26" s="268"/>
      <c r="Q26" s="268"/>
      <c r="R26" s="268"/>
      <c r="S26" s="268"/>
      <c r="T26" s="7"/>
      <c r="U26" s="7"/>
    </row>
    <row r="27" spans="1:21">
      <c r="A27" s="25" t="s">
        <v>976</v>
      </c>
      <c r="B27" s="26" t="s">
        <v>978</v>
      </c>
      <c r="C27" s="26"/>
      <c r="D27" s="26"/>
      <c r="E27" s="27"/>
      <c r="F27" s="195">
        <f>SHF!F27</f>
        <v>65.160399999999996</v>
      </c>
      <c r="G27" s="210"/>
      <c r="H27" s="34"/>
      <c r="I27" s="195">
        <f>SHF!I27</f>
        <v>-32.580199999999998</v>
      </c>
      <c r="J27" s="195">
        <f>SHF!J27</f>
        <v>-10.105732306306301</v>
      </c>
      <c r="K27" s="273"/>
      <c r="L27" s="274"/>
      <c r="M27" s="823">
        <v>0</v>
      </c>
      <c r="N27" s="823">
        <v>0</v>
      </c>
      <c r="O27" s="746"/>
      <c r="P27" s="823">
        <v>1</v>
      </c>
      <c r="Q27" s="823">
        <v>0</v>
      </c>
      <c r="R27" s="823">
        <v>1</v>
      </c>
      <c r="S27" s="823">
        <v>0</v>
      </c>
    </row>
    <row r="28" spans="1:21">
      <c r="A28" s="25" t="s">
        <v>977</v>
      </c>
      <c r="B28" s="26" t="s">
        <v>979</v>
      </c>
      <c r="C28" s="26"/>
      <c r="D28" s="26"/>
      <c r="E28" s="27"/>
      <c r="F28" s="195">
        <f>SHF!F28</f>
        <v>75.185314285714313</v>
      </c>
      <c r="G28" s="210"/>
      <c r="H28" s="34"/>
      <c r="I28" s="195">
        <f>SHF!I28</f>
        <v>37.592657142857156</v>
      </c>
      <c r="J28" s="195">
        <f>SHF!J28</f>
        <v>-11.660497166023164</v>
      </c>
      <c r="K28" s="273"/>
      <c r="L28" s="274"/>
      <c r="M28" s="823">
        <v>0</v>
      </c>
      <c r="N28" s="823">
        <v>0</v>
      </c>
      <c r="O28" s="746"/>
      <c r="P28" s="823">
        <v>1</v>
      </c>
      <c r="Q28" s="823">
        <v>0</v>
      </c>
      <c r="R28" s="823">
        <v>1</v>
      </c>
      <c r="S28" s="823">
        <v>0</v>
      </c>
    </row>
    <row r="29" spans="1:21">
      <c r="A29" s="25"/>
      <c r="B29" s="26"/>
      <c r="C29" s="26"/>
      <c r="D29" s="26"/>
      <c r="E29" s="27"/>
      <c r="F29" s="34"/>
      <c r="G29" s="27"/>
      <c r="H29" s="34"/>
      <c r="I29" s="34"/>
      <c r="J29" s="34"/>
      <c r="K29" s="273"/>
      <c r="L29" s="274"/>
      <c r="M29" s="823"/>
      <c r="N29" s="823"/>
      <c r="O29" s="746"/>
      <c r="P29" s="823"/>
      <c r="Q29" s="823"/>
      <c r="R29" s="823"/>
      <c r="S29" s="823"/>
      <c r="T29" s="7"/>
      <c r="U29" s="7"/>
    </row>
    <row r="30" spans="1:21">
      <c r="A30" s="25" t="s">
        <v>980</v>
      </c>
      <c r="B30" s="26"/>
      <c r="C30" s="26"/>
      <c r="D30" s="26"/>
      <c r="E30" s="27"/>
      <c r="F30" s="34"/>
      <c r="G30" s="27"/>
      <c r="H30" s="34"/>
      <c r="I30" s="34"/>
      <c r="J30" s="34"/>
      <c r="K30" s="273"/>
      <c r="L30" s="274"/>
      <c r="M30" s="823"/>
      <c r="N30" s="823"/>
      <c r="O30" s="746"/>
      <c r="P30" s="823"/>
      <c r="Q30" s="823"/>
      <c r="R30" s="823"/>
      <c r="S30" s="823"/>
      <c r="T30" s="7"/>
      <c r="U30" s="7"/>
    </row>
    <row r="31" spans="1:21">
      <c r="A31" s="25" t="s">
        <v>976</v>
      </c>
      <c r="B31" s="26" t="s">
        <v>981</v>
      </c>
      <c r="C31" s="26"/>
      <c r="D31" s="26"/>
      <c r="E31" s="27"/>
      <c r="F31" s="195">
        <f>SHF!F31</f>
        <v>0</v>
      </c>
      <c r="G31" s="210"/>
      <c r="H31" s="34"/>
      <c r="I31" s="195">
        <f>SHF!I31</f>
        <v>0</v>
      </c>
      <c r="J31" s="195">
        <f>SHF!J31</f>
        <v>0</v>
      </c>
      <c r="K31" s="273"/>
      <c r="L31" s="274"/>
      <c r="M31" s="823">
        <v>0</v>
      </c>
      <c r="N31" s="823">
        <v>0</v>
      </c>
      <c r="O31" s="746"/>
      <c r="P31" s="823">
        <v>0</v>
      </c>
      <c r="Q31" s="823">
        <v>1</v>
      </c>
      <c r="R31" s="823">
        <v>0</v>
      </c>
      <c r="S31" s="823">
        <v>1</v>
      </c>
    </row>
    <row r="32" spans="1:21">
      <c r="A32" s="25" t="s">
        <v>977</v>
      </c>
      <c r="B32" s="26" t="s">
        <v>982</v>
      </c>
      <c r="C32" s="26"/>
      <c r="D32" s="26"/>
      <c r="E32" s="27"/>
      <c r="F32" s="195">
        <f>SHF!F32</f>
        <v>127.89948571428575</v>
      </c>
      <c r="G32" s="210"/>
      <c r="H32" s="34"/>
      <c r="I32" s="195">
        <f>SHF!I32</f>
        <v>63.949742857142873</v>
      </c>
      <c r="J32" s="195">
        <f>SHF!J32</f>
        <v>-19.835942761904757</v>
      </c>
      <c r="K32" s="273"/>
      <c r="L32" s="274"/>
      <c r="M32" s="268">
        <v>0</v>
      </c>
      <c r="N32" s="268">
        <v>0</v>
      </c>
      <c r="O32" s="504"/>
      <c r="P32" s="268">
        <v>0</v>
      </c>
      <c r="Q32" s="268">
        <v>1</v>
      </c>
      <c r="R32" s="268">
        <v>0</v>
      </c>
      <c r="S32" s="268">
        <v>1</v>
      </c>
    </row>
    <row r="33" spans="1:19">
      <c r="A33" s="25"/>
      <c r="B33" s="26"/>
      <c r="C33" s="26"/>
      <c r="D33" s="26"/>
      <c r="E33" s="27"/>
      <c r="F33" s="34"/>
      <c r="G33" s="27"/>
      <c r="H33" s="34"/>
      <c r="I33" s="34"/>
      <c r="J33" s="34"/>
      <c r="K33" s="273"/>
      <c r="L33" s="274"/>
      <c r="M33" s="376"/>
      <c r="N33" s="376"/>
      <c r="O33" s="385"/>
      <c r="P33" s="376"/>
      <c r="Q33" s="376"/>
      <c r="R33" s="376"/>
      <c r="S33" s="376"/>
    </row>
    <row r="34" spans="1:19">
      <c r="A34" s="25" t="s">
        <v>983</v>
      </c>
      <c r="B34" s="26"/>
      <c r="C34" s="26"/>
      <c r="D34" s="26"/>
      <c r="E34" s="27"/>
      <c r="F34" s="34"/>
      <c r="G34" s="27"/>
      <c r="H34" s="34"/>
      <c r="I34" s="34"/>
      <c r="J34" s="34"/>
      <c r="K34" s="273"/>
      <c r="L34" s="274"/>
      <c r="M34" s="376"/>
      <c r="N34" s="376"/>
      <c r="O34" s="385"/>
      <c r="P34" s="376"/>
      <c r="Q34" s="376"/>
      <c r="R34" s="376"/>
      <c r="S34" s="376"/>
    </row>
    <row r="35" spans="1:19">
      <c r="A35" s="25" t="s">
        <v>984</v>
      </c>
      <c r="B35" s="163" t="s">
        <v>951</v>
      </c>
      <c r="C35" s="26"/>
      <c r="D35" s="26"/>
      <c r="E35" s="27"/>
      <c r="F35" s="34"/>
      <c r="G35" s="195">
        <f>SHF!G35</f>
        <v>32.051277714285717</v>
      </c>
      <c r="H35" s="34"/>
      <c r="I35" s="195">
        <f>SHF!I35</f>
        <v>207.69227958857149</v>
      </c>
      <c r="J35" s="34"/>
      <c r="K35" s="273"/>
      <c r="L35" s="274"/>
      <c r="M35" s="376">
        <v>0</v>
      </c>
      <c r="N35" s="376">
        <v>0</v>
      </c>
      <c r="O35" s="385"/>
      <c r="P35" s="376">
        <v>1</v>
      </c>
      <c r="Q35" s="376">
        <v>0</v>
      </c>
      <c r="R35" s="376">
        <v>1</v>
      </c>
      <c r="S35" s="376">
        <v>0</v>
      </c>
    </row>
    <row r="36" spans="1:19">
      <c r="A36" s="25" t="s">
        <v>985</v>
      </c>
      <c r="B36" s="163" t="s">
        <v>953</v>
      </c>
      <c r="C36" s="26"/>
      <c r="D36" s="26"/>
      <c r="E36" s="27"/>
      <c r="F36" s="34"/>
      <c r="G36" s="195">
        <f>SHF!G36</f>
        <v>29.998225714285713</v>
      </c>
      <c r="H36" s="34"/>
      <c r="I36" s="195">
        <f>SHF!I36</f>
        <v>194.38850262857147</v>
      </c>
      <c r="J36" s="34"/>
      <c r="K36" s="273"/>
      <c r="L36" s="274"/>
      <c r="M36" s="376">
        <v>0</v>
      </c>
      <c r="N36" s="376">
        <v>0</v>
      </c>
      <c r="O36" s="385"/>
      <c r="P36" s="376">
        <v>0</v>
      </c>
      <c r="Q36" s="376">
        <v>1</v>
      </c>
      <c r="R36" s="376">
        <v>0</v>
      </c>
      <c r="S36" s="376">
        <v>1</v>
      </c>
    </row>
    <row r="37" spans="1:19">
      <c r="A37" s="25" t="s">
        <v>986</v>
      </c>
      <c r="B37" s="163" t="s">
        <v>955</v>
      </c>
      <c r="C37" s="26"/>
      <c r="D37" s="26"/>
      <c r="E37" s="27"/>
      <c r="F37" s="34"/>
      <c r="G37" s="195">
        <f>SHF!G37</f>
        <v>5.8532000000000011</v>
      </c>
      <c r="H37" s="34"/>
      <c r="I37" s="195">
        <f>SHF!I37</f>
        <v>37.928736000000015</v>
      </c>
      <c r="J37" s="34"/>
      <c r="K37" s="273"/>
      <c r="L37" s="274"/>
      <c r="M37" s="376">
        <v>1</v>
      </c>
      <c r="N37" s="376">
        <v>1</v>
      </c>
      <c r="O37" s="385"/>
      <c r="P37" s="376">
        <v>0</v>
      </c>
      <c r="Q37" s="376">
        <v>0</v>
      </c>
      <c r="R37" s="376">
        <v>0</v>
      </c>
      <c r="S37" s="376">
        <v>0</v>
      </c>
    </row>
    <row r="38" spans="1:19">
      <c r="A38" s="25" t="s">
        <v>987</v>
      </c>
      <c r="B38" s="163" t="s">
        <v>957</v>
      </c>
      <c r="C38" s="26"/>
      <c r="D38" s="26"/>
      <c r="E38" s="27"/>
      <c r="F38" s="34"/>
      <c r="G38" s="195">
        <f>SHF!G38</f>
        <v>14.632999999999999</v>
      </c>
      <c r="H38" s="34"/>
      <c r="I38" s="195">
        <f>SHF!I38</f>
        <v>94.821840000000009</v>
      </c>
      <c r="J38" s="34"/>
      <c r="K38" s="273"/>
      <c r="L38" s="274"/>
      <c r="M38" s="376">
        <v>0</v>
      </c>
      <c r="N38" s="376">
        <v>0</v>
      </c>
      <c r="O38" s="385"/>
      <c r="P38" s="376">
        <v>0</v>
      </c>
      <c r="Q38" s="376">
        <v>0</v>
      </c>
      <c r="R38" s="376">
        <v>0</v>
      </c>
      <c r="S38" s="376">
        <v>0</v>
      </c>
    </row>
    <row r="39" spans="1:19">
      <c r="A39" s="25"/>
      <c r="B39" s="163"/>
      <c r="C39" s="26"/>
      <c r="D39" s="26"/>
      <c r="E39" s="27"/>
      <c r="F39" s="34"/>
      <c r="G39" s="27"/>
      <c r="H39" s="34"/>
      <c r="I39" s="34"/>
      <c r="J39" s="34"/>
      <c r="K39" s="273"/>
      <c r="L39" s="274"/>
      <c r="M39" s="376"/>
      <c r="N39" s="376"/>
      <c r="O39" s="385"/>
      <c r="P39" s="376"/>
      <c r="Q39" s="376"/>
      <c r="R39" s="376"/>
      <c r="S39" s="376"/>
    </row>
    <row r="40" spans="1:19">
      <c r="A40" s="686" t="s">
        <v>1128</v>
      </c>
      <c r="B40" s="687"/>
      <c r="C40" s="688"/>
      <c r="D40" s="688"/>
      <c r="E40" s="689"/>
      <c r="F40" s="195">
        <f>SHF!F40</f>
        <v>-23.695433333970961</v>
      </c>
      <c r="G40" s="689"/>
      <c r="H40" s="690"/>
      <c r="I40" s="195">
        <f>SHF!I40</f>
        <v>0</v>
      </c>
      <c r="J40" s="195">
        <f>SHF!J40</f>
        <v>0</v>
      </c>
      <c r="K40" s="273"/>
      <c r="L40" s="274"/>
      <c r="M40" s="376">
        <v>0</v>
      </c>
      <c r="N40" s="376">
        <v>0.15</v>
      </c>
      <c r="O40" s="385"/>
      <c r="P40" s="376">
        <v>0</v>
      </c>
      <c r="Q40" s="376">
        <v>0</v>
      </c>
      <c r="R40" s="376">
        <v>0.15</v>
      </c>
      <c r="S40" s="376">
        <v>0.15</v>
      </c>
    </row>
    <row r="41" spans="1:19">
      <c r="A41" s="686"/>
      <c r="B41" s="687"/>
      <c r="C41" s="688"/>
      <c r="D41" s="688"/>
      <c r="E41" s="689"/>
      <c r="F41" s="690"/>
      <c r="G41" s="689"/>
      <c r="H41" s="690"/>
      <c r="I41" s="690"/>
      <c r="J41" s="690"/>
      <c r="K41" s="273"/>
      <c r="L41" s="274"/>
      <c r="M41" s="376"/>
      <c r="N41" s="376"/>
      <c r="O41" s="385"/>
      <c r="P41" s="376"/>
      <c r="Q41" s="376"/>
      <c r="R41" s="376"/>
      <c r="S41" s="376"/>
    </row>
    <row r="42" spans="1:19">
      <c r="A42" s="686" t="s">
        <v>1129</v>
      </c>
      <c r="B42" s="687"/>
      <c r="C42" s="688"/>
      <c r="D42" s="688"/>
      <c r="E42" s="689"/>
      <c r="F42" s="690"/>
      <c r="G42" s="689"/>
      <c r="H42" s="690"/>
      <c r="I42" s="690"/>
      <c r="J42" s="690"/>
      <c r="K42" s="273"/>
      <c r="L42" s="274"/>
      <c r="M42" s="376"/>
      <c r="N42" s="376"/>
      <c r="O42" s="385"/>
      <c r="P42" s="376"/>
      <c r="Q42" s="376"/>
      <c r="R42" s="376"/>
      <c r="S42" s="376"/>
    </row>
    <row r="43" spans="1:19">
      <c r="A43" s="686" t="s">
        <v>1130</v>
      </c>
      <c r="B43" s="687"/>
      <c r="C43" s="688"/>
      <c r="D43" s="688"/>
      <c r="E43" s="689"/>
      <c r="F43" s="690"/>
      <c r="G43" s="691"/>
      <c r="H43" s="195">
        <f>SHF!H43</f>
        <v>0.82029499296999342</v>
      </c>
      <c r="I43" s="692"/>
      <c r="J43" s="195">
        <f>SHF!J43</f>
        <v>1.3539237343510058</v>
      </c>
      <c r="K43" s="273"/>
      <c r="L43" s="274"/>
      <c r="M43" s="376">
        <v>0</v>
      </c>
      <c r="N43" s="376">
        <v>0</v>
      </c>
      <c r="O43" s="385"/>
      <c r="P43" s="376">
        <v>0</v>
      </c>
      <c r="Q43" s="376">
        <v>0</v>
      </c>
      <c r="R43" s="376">
        <v>0</v>
      </c>
      <c r="S43" s="376">
        <v>0</v>
      </c>
    </row>
    <row r="44" spans="1:19">
      <c r="A44" s="686" t="s">
        <v>1131</v>
      </c>
      <c r="B44" s="687"/>
      <c r="C44" s="688"/>
      <c r="D44" s="688"/>
      <c r="E44" s="689"/>
      <c r="F44" s="690"/>
      <c r="G44" s="195">
        <f>SHF!G44</f>
        <v>1.566445545112501</v>
      </c>
      <c r="H44" s="195">
        <f>SHF!H44</f>
        <v>0.77082515176153144</v>
      </c>
      <c r="I44" s="195">
        <f>SHF!I44</f>
        <v>2.5854696423507204</v>
      </c>
      <c r="J44" s="195">
        <f>SHF!J44</f>
        <v>1.2722721422765415</v>
      </c>
      <c r="K44" s="273"/>
      <c r="L44" s="274"/>
      <c r="M44" s="376">
        <v>0</v>
      </c>
      <c r="N44" s="376">
        <v>0</v>
      </c>
      <c r="O44" s="385"/>
      <c r="P44" s="1093">
        <v>0</v>
      </c>
      <c r="Q44" s="376">
        <v>0</v>
      </c>
      <c r="R44" s="376">
        <v>1</v>
      </c>
      <c r="S44" s="376">
        <v>1</v>
      </c>
    </row>
    <row r="45" spans="1:19">
      <c r="A45" s="112"/>
      <c r="B45" s="11"/>
      <c r="C45" s="11"/>
      <c r="D45" s="11"/>
      <c r="E45" s="191"/>
      <c r="F45" s="599"/>
      <c r="G45" s="652"/>
      <c r="H45" s="599"/>
      <c r="I45" s="599"/>
      <c r="J45" s="599"/>
      <c r="K45" s="74"/>
      <c r="L45" s="277"/>
      <c r="M45" s="378"/>
      <c r="N45" s="378"/>
      <c r="O45" s="507"/>
      <c r="P45" s="378"/>
      <c r="Q45" s="378"/>
      <c r="R45" s="378"/>
      <c r="S45" s="378"/>
    </row>
    <row r="46" spans="1:19">
      <c r="A46" s="278" t="s">
        <v>1132</v>
      </c>
      <c r="B46" s="262"/>
      <c r="C46" s="262"/>
      <c r="D46" s="262"/>
      <c r="E46" s="263"/>
      <c r="F46" s="1052"/>
      <c r="G46" s="1053"/>
      <c r="H46" s="267"/>
      <c r="I46" s="1052"/>
      <c r="J46" s="267"/>
      <c r="K46" s="289"/>
      <c r="L46" s="274"/>
      <c r="M46" s="377"/>
      <c r="N46" s="377"/>
      <c r="O46" s="503"/>
      <c r="P46" s="377"/>
      <c r="Q46" s="377"/>
      <c r="R46" s="377"/>
      <c r="S46" s="377"/>
    </row>
    <row r="47" spans="1:19">
      <c r="A47" s="25" t="s">
        <v>992</v>
      </c>
      <c r="B47" s="26"/>
      <c r="C47" s="26"/>
      <c r="D47" s="26"/>
      <c r="E47" s="27"/>
      <c r="F47" s="197"/>
      <c r="G47" s="211"/>
      <c r="H47" s="34"/>
      <c r="I47" s="211"/>
      <c r="J47" s="89"/>
      <c r="K47" s="289"/>
      <c r="L47" s="274"/>
      <c r="M47" s="268"/>
      <c r="N47" s="268"/>
      <c r="O47" s="504"/>
      <c r="P47" s="268"/>
      <c r="Q47" s="268"/>
      <c r="R47" s="268"/>
      <c r="S47" s="268"/>
    </row>
    <row r="48" spans="1:19">
      <c r="A48" s="25" t="s">
        <v>990</v>
      </c>
      <c r="B48" s="26" t="s">
        <v>988</v>
      </c>
      <c r="C48" s="26"/>
      <c r="D48" s="26"/>
      <c r="E48" s="27"/>
      <c r="F48" s="197"/>
      <c r="G48" s="195">
        <f>SHF!G48</f>
        <v>0</v>
      </c>
      <c r="H48" s="34"/>
      <c r="I48" s="195">
        <f>SHF!I48</f>
        <v>0</v>
      </c>
      <c r="J48" s="89"/>
      <c r="K48" s="289"/>
      <c r="L48" s="274"/>
      <c r="M48" s="268"/>
      <c r="N48" s="268"/>
      <c r="O48" s="504"/>
      <c r="P48" s="268"/>
      <c r="Q48" s="268"/>
      <c r="R48" s="268"/>
      <c r="S48" s="268"/>
    </row>
    <row r="49" spans="1:19">
      <c r="A49" s="25" t="s">
        <v>991</v>
      </c>
      <c r="B49" s="26" t="s">
        <v>989</v>
      </c>
      <c r="C49" s="26"/>
      <c r="D49" s="26"/>
      <c r="E49" s="27"/>
      <c r="F49" s="197"/>
      <c r="G49" s="195">
        <f>SHF!G49</f>
        <v>70.238399999999984</v>
      </c>
      <c r="H49" s="34"/>
      <c r="I49" s="195">
        <f>SHF!I49</f>
        <v>455.14483200000001</v>
      </c>
      <c r="J49" s="89"/>
      <c r="K49" s="289"/>
      <c r="L49" s="274"/>
      <c r="M49" s="268"/>
      <c r="N49" s="268"/>
      <c r="O49" s="504"/>
      <c r="P49" s="268"/>
      <c r="Q49" s="268"/>
      <c r="R49" s="268"/>
      <c r="S49" s="268"/>
    </row>
    <row r="50" spans="1:19">
      <c r="A50" s="25"/>
      <c r="B50" s="26"/>
      <c r="C50" s="26"/>
      <c r="D50" s="26"/>
      <c r="E50" s="27"/>
      <c r="F50" s="197"/>
      <c r="G50" s="211"/>
      <c r="H50" s="34"/>
      <c r="I50" s="211"/>
      <c r="J50" s="89"/>
      <c r="K50" s="289"/>
      <c r="L50" s="274"/>
      <c r="M50" s="268"/>
      <c r="N50" s="268"/>
      <c r="O50" s="504"/>
      <c r="P50" s="268"/>
      <c r="Q50" s="268"/>
      <c r="R50" s="268"/>
      <c r="S50" s="268"/>
    </row>
    <row r="51" spans="1:19">
      <c r="A51" s="25" t="s">
        <v>1012</v>
      </c>
      <c r="B51" s="26"/>
      <c r="C51" s="26"/>
      <c r="D51" s="26"/>
      <c r="E51" s="27"/>
      <c r="F51" s="197"/>
      <c r="G51" s="211"/>
      <c r="H51" s="34"/>
      <c r="I51" s="211"/>
      <c r="J51" s="89"/>
      <c r="K51" s="289"/>
      <c r="L51" s="274"/>
      <c r="M51" s="268"/>
      <c r="N51" s="268"/>
      <c r="O51" s="504"/>
      <c r="P51" s="268"/>
      <c r="Q51" s="268"/>
      <c r="R51" s="268"/>
      <c r="S51" s="268"/>
    </row>
    <row r="52" spans="1:19">
      <c r="A52" s="25" t="s">
        <v>993</v>
      </c>
      <c r="B52" s="26" t="s">
        <v>995</v>
      </c>
      <c r="C52" s="26"/>
      <c r="D52" s="26"/>
      <c r="E52" s="27"/>
      <c r="F52" s="197"/>
      <c r="G52" s="195">
        <f>SHF!G52</f>
        <v>0</v>
      </c>
      <c r="H52" s="34"/>
      <c r="I52" s="195">
        <f>SHF!I52</f>
        <v>0</v>
      </c>
      <c r="J52" s="89"/>
      <c r="K52" s="289"/>
      <c r="L52" s="274"/>
      <c r="M52" s="268"/>
      <c r="N52" s="268"/>
      <c r="O52" s="504"/>
      <c r="P52" s="268"/>
      <c r="Q52" s="268"/>
      <c r="R52" s="268"/>
      <c r="S52" s="268"/>
    </row>
    <row r="53" spans="1:19">
      <c r="A53" s="25" t="s">
        <v>994</v>
      </c>
      <c r="B53" s="26" t="s">
        <v>996</v>
      </c>
      <c r="C53" s="26"/>
      <c r="D53" s="26"/>
      <c r="E53" s="27"/>
      <c r="F53" s="197"/>
      <c r="G53" s="195">
        <f>SHF!G53</f>
        <v>4.5540000000000003</v>
      </c>
      <c r="H53" s="34"/>
      <c r="I53" s="195">
        <f>SHF!I53</f>
        <v>29.509920000000008</v>
      </c>
      <c r="J53" s="89"/>
      <c r="K53" s="289"/>
      <c r="L53" s="274"/>
      <c r="M53" s="268"/>
      <c r="N53" s="268"/>
      <c r="O53" s="504"/>
      <c r="P53" s="268"/>
      <c r="Q53" s="268"/>
      <c r="R53" s="268"/>
      <c r="S53" s="268"/>
    </row>
    <row r="54" spans="1:19">
      <c r="A54" s="25"/>
      <c r="B54" s="26"/>
      <c r="C54" s="26"/>
      <c r="D54" s="26"/>
      <c r="E54" s="27"/>
      <c r="F54" s="197"/>
      <c r="G54" s="211"/>
      <c r="H54" s="34"/>
      <c r="I54" s="211"/>
      <c r="J54" s="89"/>
      <c r="K54" s="289"/>
      <c r="L54" s="274"/>
      <c r="M54" s="268"/>
      <c r="N54" s="268"/>
      <c r="O54" s="504"/>
      <c r="P54" s="268"/>
      <c r="Q54" s="268"/>
      <c r="R54" s="268"/>
      <c r="S54" s="268"/>
    </row>
    <row r="55" spans="1:19">
      <c r="A55" s="25" t="s">
        <v>217</v>
      </c>
      <c r="B55" s="26" t="s">
        <v>211</v>
      </c>
      <c r="C55" s="26"/>
      <c r="D55" s="26"/>
      <c r="E55" s="27"/>
      <c r="F55" s="197"/>
      <c r="G55" s="195">
        <f>SHF!G55</f>
        <v>19.850764639779044</v>
      </c>
      <c r="H55" s="34"/>
      <c r="I55" s="195">
        <f>SHF!I55</f>
        <v>73.367744311147007</v>
      </c>
      <c r="J55" s="89"/>
      <c r="K55" s="289"/>
      <c r="L55" s="274"/>
      <c r="M55" s="268"/>
      <c r="N55" s="268"/>
      <c r="O55" s="504"/>
      <c r="P55" s="268"/>
      <c r="Q55" s="268"/>
      <c r="R55" s="268"/>
      <c r="S55" s="268"/>
    </row>
    <row r="56" spans="1:19">
      <c r="A56" s="69"/>
      <c r="B56" s="26"/>
      <c r="C56" s="26"/>
      <c r="D56" s="26"/>
      <c r="E56" s="27"/>
      <c r="F56" s="197"/>
      <c r="G56" s="211"/>
      <c r="H56" s="34"/>
      <c r="I56" s="197"/>
      <c r="J56" s="89"/>
      <c r="K56" s="289"/>
      <c r="L56" s="274"/>
      <c r="M56" s="268"/>
      <c r="N56" s="268"/>
      <c r="O56" s="504"/>
      <c r="P56" s="268"/>
      <c r="Q56" s="268"/>
      <c r="R56" s="268"/>
      <c r="S56" s="268"/>
    </row>
    <row r="57" spans="1:19">
      <c r="A57" s="693" t="s">
        <v>1133</v>
      </c>
      <c r="B57" s="688"/>
      <c r="C57" s="688"/>
      <c r="D57" s="688"/>
      <c r="E57" s="689"/>
      <c r="F57" s="620"/>
      <c r="G57" s="621"/>
      <c r="H57" s="34"/>
      <c r="I57" s="620"/>
      <c r="J57" s="89"/>
      <c r="K57" s="289"/>
      <c r="L57" s="274"/>
      <c r="M57" s="268"/>
      <c r="N57" s="268"/>
      <c r="O57" s="504"/>
      <c r="P57" s="268"/>
      <c r="Q57" s="268"/>
      <c r="R57" s="268"/>
      <c r="S57" s="268"/>
    </row>
    <row r="58" spans="1:19">
      <c r="A58" s="686" t="s">
        <v>1139</v>
      </c>
      <c r="B58" s="688" t="s">
        <v>1140</v>
      </c>
      <c r="C58" s="688"/>
      <c r="D58" s="688"/>
      <c r="E58" s="689"/>
      <c r="F58" s="620"/>
      <c r="G58" s="195">
        <f>SHF!G58</f>
        <v>7.3173856373850432</v>
      </c>
      <c r="H58" s="690"/>
      <c r="I58" s="195">
        <f>SHF!I58</f>
        <v>8.4456204005780648</v>
      </c>
      <c r="J58" s="269"/>
      <c r="K58" s="289"/>
      <c r="L58" s="274"/>
      <c r="M58" s="268"/>
      <c r="N58" s="268"/>
      <c r="O58" s="504"/>
      <c r="P58" s="268"/>
      <c r="Q58" s="268"/>
      <c r="R58" s="268"/>
      <c r="S58" s="268"/>
    </row>
    <row r="59" spans="1:19">
      <c r="A59" s="113"/>
      <c r="B59" s="651"/>
      <c r="C59" s="651"/>
      <c r="D59" s="651"/>
      <c r="E59" s="652"/>
      <c r="F59" s="212"/>
      <c r="G59" s="653"/>
      <c r="H59" s="599"/>
      <c r="I59" s="212"/>
      <c r="J59" s="599"/>
      <c r="K59" s="654"/>
      <c r="L59" s="277"/>
      <c r="M59" s="378"/>
      <c r="N59" s="378"/>
      <c r="O59" s="507"/>
      <c r="P59" s="378"/>
      <c r="Q59" s="378"/>
      <c r="R59" s="378"/>
      <c r="S59" s="378"/>
    </row>
    <row r="60" spans="1:19">
      <c r="A60" s="278" t="s">
        <v>1135</v>
      </c>
      <c r="B60" s="262"/>
      <c r="C60" s="262"/>
      <c r="D60" s="262"/>
      <c r="E60" s="263"/>
      <c r="F60" s="279"/>
      <c r="G60" s="280"/>
      <c r="H60" s="264"/>
      <c r="I60" s="279"/>
      <c r="J60" s="264"/>
      <c r="K60" s="289"/>
      <c r="L60" s="274"/>
      <c r="M60" s="377"/>
      <c r="N60" s="377"/>
      <c r="O60" s="503"/>
      <c r="P60" s="377"/>
      <c r="Q60" s="377"/>
      <c r="R60" s="377"/>
      <c r="S60" s="377"/>
    </row>
    <row r="61" spans="1:19">
      <c r="A61" s="25" t="s">
        <v>992</v>
      </c>
      <c r="B61" s="26"/>
      <c r="C61" s="26"/>
      <c r="D61" s="26"/>
      <c r="E61" s="27"/>
      <c r="F61" s="197"/>
      <c r="G61" s="211"/>
      <c r="H61" s="34"/>
      <c r="I61" s="197"/>
      <c r="J61" s="89"/>
      <c r="K61" s="289"/>
      <c r="L61" s="274"/>
      <c r="M61" s="268"/>
      <c r="N61" s="268"/>
      <c r="O61" s="504"/>
      <c r="P61" s="268"/>
      <c r="Q61" s="268"/>
      <c r="R61" s="268"/>
      <c r="S61" s="268"/>
    </row>
    <row r="62" spans="1:19">
      <c r="A62" s="25" t="s">
        <v>997</v>
      </c>
      <c r="B62" s="26" t="s">
        <v>988</v>
      </c>
      <c r="C62" s="26"/>
      <c r="D62" s="26"/>
      <c r="E62" s="27"/>
      <c r="F62" s="197"/>
      <c r="G62" s="211"/>
      <c r="H62" s="195">
        <f>SHF!H62</f>
        <v>35.119199999999992</v>
      </c>
      <c r="I62" s="197"/>
      <c r="J62" s="195">
        <f>SHF!J62</f>
        <v>257.60072117968605</v>
      </c>
      <c r="K62" s="289"/>
      <c r="L62" s="274"/>
      <c r="M62" s="268"/>
      <c r="N62" s="268"/>
      <c r="O62" s="504"/>
      <c r="P62" s="268"/>
      <c r="Q62" s="268"/>
      <c r="R62" s="268"/>
      <c r="S62" s="268"/>
    </row>
    <row r="63" spans="1:19">
      <c r="A63" s="25" t="s">
        <v>998</v>
      </c>
      <c r="B63" s="26" t="s">
        <v>989</v>
      </c>
      <c r="C63" s="26"/>
      <c r="D63" s="26"/>
      <c r="E63" s="27"/>
      <c r="F63" s="197"/>
      <c r="G63" s="211"/>
      <c r="H63" s="195">
        <f>SHF!H63</f>
        <v>35.119199999999992</v>
      </c>
      <c r="I63" s="197"/>
      <c r="J63" s="195">
        <f>SHF!J63</f>
        <v>257.60072117968605</v>
      </c>
      <c r="K63" s="289"/>
      <c r="L63" s="274"/>
      <c r="M63" s="268"/>
      <c r="N63" s="268"/>
      <c r="O63" s="504"/>
      <c r="P63" s="268"/>
      <c r="Q63" s="268"/>
      <c r="R63" s="268"/>
      <c r="S63" s="268"/>
    </row>
    <row r="64" spans="1:19">
      <c r="A64" s="69"/>
      <c r="B64" s="26"/>
      <c r="C64" s="26"/>
      <c r="D64" s="26"/>
      <c r="E64" s="27"/>
      <c r="F64" s="197"/>
      <c r="G64" s="211"/>
      <c r="H64" s="34"/>
      <c r="I64" s="197"/>
      <c r="J64" s="89"/>
      <c r="K64" s="289"/>
      <c r="L64" s="274"/>
      <c r="M64" s="268"/>
      <c r="N64" s="268"/>
      <c r="O64" s="504"/>
      <c r="P64" s="268"/>
      <c r="Q64" s="268"/>
      <c r="R64" s="268"/>
      <c r="S64" s="268"/>
    </row>
    <row r="65" spans="1:19">
      <c r="A65" s="25" t="s">
        <v>999</v>
      </c>
      <c r="B65" s="26"/>
      <c r="C65" s="26"/>
      <c r="D65" s="26"/>
      <c r="E65" s="27"/>
      <c r="F65" s="197"/>
      <c r="G65" s="211"/>
      <c r="H65" s="34"/>
      <c r="I65" s="197"/>
      <c r="J65" s="89"/>
      <c r="K65" s="289"/>
      <c r="L65" s="274"/>
      <c r="M65" s="268"/>
      <c r="N65" s="268"/>
      <c r="O65" s="504"/>
      <c r="P65" s="268"/>
      <c r="Q65" s="268"/>
      <c r="R65" s="268"/>
      <c r="S65" s="268"/>
    </row>
    <row r="66" spans="1:19">
      <c r="A66" s="25" t="s">
        <v>1002</v>
      </c>
      <c r="B66" s="26"/>
      <c r="C66" s="26"/>
      <c r="D66" s="26"/>
      <c r="E66" s="27"/>
      <c r="F66" s="197"/>
      <c r="G66" s="211"/>
      <c r="H66" s="34"/>
      <c r="I66" s="197"/>
      <c r="J66" s="89"/>
      <c r="K66" s="289"/>
      <c r="L66" s="274"/>
      <c r="M66" s="268"/>
      <c r="N66" s="268"/>
      <c r="O66" s="504"/>
      <c r="P66" s="268"/>
      <c r="Q66" s="268"/>
      <c r="R66" s="268"/>
      <c r="S66" s="268"/>
    </row>
    <row r="67" spans="1:19">
      <c r="A67" s="25" t="s">
        <v>1004</v>
      </c>
      <c r="B67" s="26" t="s">
        <v>1000</v>
      </c>
      <c r="C67" s="26"/>
      <c r="D67" s="26"/>
      <c r="E67" s="27"/>
      <c r="F67" s="197"/>
      <c r="G67" s="211"/>
      <c r="H67" s="195">
        <f>SHF!H67</f>
        <v>7.8192479999999991</v>
      </c>
      <c r="I67" s="197"/>
      <c r="J67" s="195">
        <f>SHF!J67</f>
        <v>71.663407919999983</v>
      </c>
      <c r="K67" s="289"/>
      <c r="L67" s="274"/>
      <c r="M67" s="268"/>
      <c r="N67" s="268"/>
      <c r="O67" s="504"/>
      <c r="P67" s="268"/>
      <c r="Q67" s="268"/>
      <c r="R67" s="268"/>
      <c r="S67" s="268"/>
    </row>
    <row r="68" spans="1:19">
      <c r="A68" s="25" t="s">
        <v>1005</v>
      </c>
      <c r="B68" s="26" t="s">
        <v>1001</v>
      </c>
      <c r="C68" s="26"/>
      <c r="D68" s="26"/>
      <c r="E68" s="27"/>
      <c r="F68" s="197"/>
      <c r="G68" s="211"/>
      <c r="H68" s="195">
        <f>SHF!H68</f>
        <v>9.0222377142857191</v>
      </c>
      <c r="I68" s="197"/>
      <c r="J68" s="195">
        <f>SHF!J68</f>
        <v>82.688808651428602</v>
      </c>
      <c r="K68" s="289"/>
      <c r="L68" s="274"/>
      <c r="M68" s="268"/>
      <c r="N68" s="268"/>
      <c r="O68" s="504"/>
      <c r="P68" s="268"/>
      <c r="Q68" s="268"/>
      <c r="R68" s="268"/>
      <c r="S68" s="268"/>
    </row>
    <row r="69" spans="1:19">
      <c r="A69" s="25" t="s">
        <v>1003</v>
      </c>
      <c r="B69" s="26"/>
      <c r="C69" s="26"/>
      <c r="D69" s="26"/>
      <c r="E69" s="27"/>
      <c r="F69" s="197"/>
      <c r="G69" s="211"/>
      <c r="H69" s="34"/>
      <c r="I69" s="197"/>
      <c r="J69" s="89"/>
      <c r="K69" s="289"/>
      <c r="L69" s="274"/>
      <c r="M69" s="268"/>
      <c r="N69" s="268"/>
      <c r="O69" s="504"/>
      <c r="P69" s="268"/>
      <c r="Q69" s="268"/>
      <c r="R69" s="268"/>
      <c r="S69" s="268"/>
    </row>
    <row r="70" spans="1:19">
      <c r="A70" s="25" t="s">
        <v>1004</v>
      </c>
      <c r="B70" s="26" t="s">
        <v>1000</v>
      </c>
      <c r="C70" s="26"/>
      <c r="D70" s="26"/>
      <c r="E70" s="27"/>
      <c r="F70" s="197"/>
      <c r="G70" s="211"/>
      <c r="H70" s="195">
        <f>SHF!H70</f>
        <v>0</v>
      </c>
      <c r="I70" s="197"/>
      <c r="J70" s="195">
        <f>SHF!J70</f>
        <v>0</v>
      </c>
      <c r="K70" s="289"/>
      <c r="L70" s="274"/>
      <c r="M70" s="268"/>
      <c r="N70" s="268"/>
      <c r="O70" s="504"/>
      <c r="P70" s="268"/>
      <c r="Q70" s="268"/>
      <c r="R70" s="268"/>
      <c r="S70" s="268"/>
    </row>
    <row r="71" spans="1:19">
      <c r="A71" s="25" t="s">
        <v>1005</v>
      </c>
      <c r="B71" s="26" t="s">
        <v>1001</v>
      </c>
      <c r="C71" s="26"/>
      <c r="D71" s="26"/>
      <c r="E71" s="27"/>
      <c r="F71" s="197"/>
      <c r="G71" s="211"/>
      <c r="H71" s="195">
        <f>SHF!H71</f>
        <v>15.347938285714291</v>
      </c>
      <c r="I71" s="197"/>
      <c r="J71" s="195">
        <f>SHF!J71</f>
        <v>140.66385438857145</v>
      </c>
      <c r="K71" s="289"/>
      <c r="L71" s="274"/>
      <c r="M71" s="268"/>
      <c r="N71" s="268"/>
      <c r="O71" s="504"/>
      <c r="P71" s="268"/>
      <c r="Q71" s="268"/>
      <c r="R71" s="268"/>
      <c r="S71" s="268"/>
    </row>
    <row r="72" spans="1:19">
      <c r="A72" s="69"/>
      <c r="B72" s="26"/>
      <c r="C72" s="26"/>
      <c r="D72" s="26"/>
      <c r="E72" s="27"/>
      <c r="F72" s="197"/>
      <c r="G72" s="211"/>
      <c r="H72" s="34"/>
      <c r="I72" s="197"/>
      <c r="J72" s="89"/>
      <c r="K72" s="289"/>
      <c r="L72" s="274"/>
      <c r="M72" s="268"/>
      <c r="N72" s="268"/>
      <c r="O72" s="504"/>
      <c r="P72" s="268"/>
      <c r="Q72" s="268"/>
      <c r="R72" s="268"/>
      <c r="S72" s="268"/>
    </row>
    <row r="73" spans="1:19">
      <c r="A73" s="25" t="s">
        <v>1006</v>
      </c>
      <c r="B73" s="26" t="s">
        <v>211</v>
      </c>
      <c r="C73" s="26"/>
      <c r="D73" s="26"/>
      <c r="E73" s="27"/>
      <c r="F73" s="197"/>
      <c r="G73" s="211"/>
      <c r="H73" s="195">
        <f>SHF!H73</f>
        <v>19.850764639779044</v>
      </c>
      <c r="I73" s="197"/>
      <c r="J73" s="195">
        <f>SHF!J73</f>
        <v>73.367744311147007</v>
      </c>
      <c r="K73" s="289"/>
      <c r="L73" s="274"/>
      <c r="M73" s="268"/>
      <c r="N73" s="268"/>
      <c r="O73" s="504"/>
      <c r="P73" s="268"/>
      <c r="Q73" s="268"/>
      <c r="R73" s="268"/>
      <c r="S73" s="268"/>
    </row>
    <row r="74" spans="1:19">
      <c r="A74" s="112"/>
      <c r="B74" s="11"/>
      <c r="C74" s="11"/>
      <c r="D74" s="26"/>
      <c r="E74" s="27"/>
      <c r="F74" s="197"/>
      <c r="G74" s="211"/>
      <c r="H74" s="34"/>
      <c r="I74" s="197"/>
      <c r="J74" s="89"/>
      <c r="K74" s="289"/>
      <c r="L74" s="274"/>
      <c r="M74" s="268"/>
      <c r="N74" s="268"/>
      <c r="O74" s="504"/>
      <c r="P74" s="268"/>
      <c r="Q74" s="268"/>
      <c r="R74" s="268"/>
      <c r="S74" s="268"/>
    </row>
    <row r="75" spans="1:19">
      <c r="A75" s="693" t="s">
        <v>1134</v>
      </c>
      <c r="B75" s="688"/>
      <c r="C75" s="26"/>
      <c r="D75" s="26"/>
      <c r="E75" s="27"/>
      <c r="F75" s="197"/>
      <c r="G75" s="211"/>
      <c r="H75" s="34"/>
      <c r="I75" s="197"/>
      <c r="J75" s="89"/>
      <c r="K75" s="289"/>
      <c r="L75" s="274"/>
      <c r="M75" s="268"/>
      <c r="N75" s="268"/>
      <c r="O75" s="504"/>
      <c r="P75" s="268"/>
      <c r="Q75" s="268"/>
      <c r="R75" s="268"/>
      <c r="S75" s="268"/>
    </row>
    <row r="76" spans="1:19">
      <c r="A76" s="686" t="s">
        <v>1138</v>
      </c>
      <c r="B76" s="688" t="s">
        <v>1141</v>
      </c>
      <c r="C76" s="26"/>
      <c r="D76" s="26"/>
      <c r="E76" s="27"/>
      <c r="F76" s="34"/>
      <c r="G76" s="27"/>
      <c r="H76" s="195">
        <f>SHF!H76</f>
        <v>7.3173856373850432</v>
      </c>
      <c r="I76" s="620"/>
      <c r="J76" s="195">
        <f>SHF!J76</f>
        <v>8.4456204005780648</v>
      </c>
      <c r="K76" s="289"/>
      <c r="L76" s="274"/>
      <c r="M76" s="376"/>
      <c r="N76" s="376"/>
      <c r="O76" s="385"/>
      <c r="P76" s="376"/>
      <c r="Q76" s="376"/>
      <c r="R76" s="376"/>
      <c r="S76" s="376"/>
    </row>
    <row r="77" spans="1:19">
      <c r="A77" s="283"/>
      <c r="B77" s="284"/>
      <c r="C77" s="284"/>
      <c r="D77" s="284"/>
      <c r="E77" s="285"/>
      <c r="F77" s="286"/>
      <c r="G77" s="285"/>
      <c r="H77" s="286"/>
      <c r="I77" s="286"/>
      <c r="J77" s="286"/>
      <c r="K77" s="287"/>
      <c r="L77" s="288"/>
      <c r="M77" s="378"/>
      <c r="N77" s="378"/>
      <c r="O77" s="507"/>
      <c r="P77" s="378"/>
      <c r="Q77" s="378"/>
      <c r="R77" s="378"/>
      <c r="S77" s="378"/>
    </row>
    <row r="78" spans="1:19">
      <c r="A78" s="290" t="s">
        <v>1137</v>
      </c>
      <c r="B78" s="11"/>
      <c r="C78" s="11"/>
      <c r="D78" s="11"/>
      <c r="E78" s="191"/>
      <c r="F78" s="197"/>
      <c r="G78" s="211"/>
      <c r="H78" s="89"/>
      <c r="I78" s="197"/>
      <c r="J78" s="89"/>
      <c r="K78" s="289"/>
      <c r="L78" s="274"/>
      <c r="M78" s="495"/>
      <c r="N78" s="495"/>
      <c r="O78" s="733"/>
      <c r="P78" s="495"/>
      <c r="Q78" s="495"/>
      <c r="R78" s="495"/>
      <c r="S78" s="495"/>
    </row>
    <row r="79" spans="1:19">
      <c r="A79" s="25" t="s">
        <v>992</v>
      </c>
      <c r="B79" s="26"/>
      <c r="C79" s="26"/>
      <c r="D79" s="26"/>
      <c r="E79" s="27"/>
      <c r="F79" s="197"/>
      <c r="G79" s="211"/>
      <c r="H79" s="34"/>
      <c r="I79" s="197"/>
      <c r="J79" s="89"/>
      <c r="K79" s="289"/>
      <c r="L79" s="274"/>
      <c r="M79" s="376"/>
      <c r="N79" s="376"/>
      <c r="O79" s="385"/>
      <c r="P79" s="376"/>
      <c r="Q79" s="376"/>
      <c r="R79" s="376"/>
      <c r="S79" s="376"/>
    </row>
    <row r="80" spans="1:19">
      <c r="A80" s="25" t="s">
        <v>1007</v>
      </c>
      <c r="B80" s="26" t="s">
        <v>988</v>
      </c>
      <c r="C80" s="26"/>
      <c r="D80" s="26"/>
      <c r="E80" s="27"/>
      <c r="F80" s="195">
        <f>SHF!F80</f>
        <v>23.412799999999997</v>
      </c>
      <c r="G80" s="211"/>
      <c r="H80" s="34"/>
      <c r="I80" s="195">
        <f>SHF!I80</f>
        <v>-11.21508</v>
      </c>
      <c r="J80" s="195">
        <f>SHF!J80</f>
        <v>0</v>
      </c>
      <c r="K80" s="289"/>
      <c r="L80" s="274"/>
      <c r="M80" s="376"/>
      <c r="N80" s="376"/>
      <c r="O80" s="385"/>
      <c r="P80" s="376"/>
      <c r="Q80" s="376"/>
      <c r="R80" s="376"/>
      <c r="S80" s="376"/>
    </row>
    <row r="81" spans="1:19">
      <c r="A81" s="25" t="s">
        <v>1008</v>
      </c>
      <c r="B81" s="26" t="s">
        <v>989</v>
      </c>
      <c r="C81" s="26"/>
      <c r="D81" s="26"/>
      <c r="E81" s="27"/>
      <c r="F81" s="195">
        <f>SHF!F81</f>
        <v>23.412799999999997</v>
      </c>
      <c r="G81" s="211"/>
      <c r="H81" s="34"/>
      <c r="I81" s="195">
        <f>SHF!I81</f>
        <v>11.21508</v>
      </c>
      <c r="J81" s="195">
        <f>SHF!J81</f>
        <v>0</v>
      </c>
      <c r="K81" s="289"/>
      <c r="L81" s="274"/>
      <c r="M81" s="376"/>
      <c r="N81" s="376"/>
      <c r="O81" s="385"/>
      <c r="P81" s="376"/>
      <c r="Q81" s="376"/>
      <c r="R81" s="376"/>
      <c r="S81" s="376"/>
    </row>
    <row r="82" spans="1:19">
      <c r="A82" s="69"/>
      <c r="B82" s="26"/>
      <c r="C82" s="26"/>
      <c r="D82" s="26"/>
      <c r="E82" s="27"/>
      <c r="F82" s="197"/>
      <c r="G82" s="211"/>
      <c r="H82" s="34"/>
      <c r="I82" s="197"/>
      <c r="J82" s="89"/>
      <c r="K82" s="289"/>
      <c r="L82" s="274"/>
      <c r="M82" s="376"/>
      <c r="N82" s="376"/>
      <c r="O82" s="385"/>
      <c r="P82" s="376"/>
      <c r="Q82" s="376"/>
      <c r="R82" s="376"/>
      <c r="S82" s="376"/>
    </row>
    <row r="83" spans="1:19">
      <c r="A83" s="25" t="s">
        <v>999</v>
      </c>
      <c r="B83" s="26"/>
      <c r="C83" s="26"/>
      <c r="D83" s="26"/>
      <c r="E83" s="27"/>
      <c r="F83" s="197"/>
      <c r="G83" s="211"/>
      <c r="H83" s="34"/>
      <c r="I83" s="197"/>
      <c r="J83" s="89"/>
      <c r="K83" s="289"/>
      <c r="L83" s="274"/>
      <c r="M83" s="376"/>
      <c r="N83" s="376"/>
      <c r="O83" s="385"/>
      <c r="P83" s="376"/>
      <c r="Q83" s="376"/>
      <c r="R83" s="376"/>
      <c r="S83" s="376"/>
    </row>
    <row r="84" spans="1:19">
      <c r="A84" s="25" t="s">
        <v>1002</v>
      </c>
      <c r="B84" s="26"/>
      <c r="C84" s="26"/>
      <c r="D84" s="26"/>
      <c r="E84" s="27"/>
      <c r="F84" s="197"/>
      <c r="G84" s="211"/>
      <c r="H84" s="34"/>
      <c r="I84" s="197"/>
      <c r="J84" s="89"/>
      <c r="K84" s="289"/>
      <c r="L84" s="274"/>
      <c r="M84" s="376"/>
      <c r="N84" s="376"/>
      <c r="O84" s="385"/>
      <c r="P84" s="376"/>
      <c r="Q84" s="376"/>
      <c r="R84" s="376"/>
      <c r="S84" s="376"/>
    </row>
    <row r="85" spans="1:19">
      <c r="A85" s="25" t="s">
        <v>1009</v>
      </c>
      <c r="B85" s="26" t="s">
        <v>1000</v>
      </c>
      <c r="C85" s="26"/>
      <c r="D85" s="26"/>
      <c r="E85" s="27"/>
      <c r="F85" s="195">
        <f>SHF!F85</f>
        <v>5.2128319999999997</v>
      </c>
      <c r="G85" s="211"/>
      <c r="H85" s="34"/>
      <c r="I85" s="195">
        <f>SHF!I85</f>
        <v>-2.6064159999999998</v>
      </c>
      <c r="J85" s="195">
        <f>SHF!J85</f>
        <v>-0.80845858450450414</v>
      </c>
      <c r="K85" s="289"/>
      <c r="L85" s="274"/>
      <c r="M85" s="376"/>
      <c r="N85" s="376"/>
      <c r="O85" s="385"/>
      <c r="P85" s="376"/>
      <c r="Q85" s="376"/>
      <c r="R85" s="376"/>
      <c r="S85" s="376"/>
    </row>
    <row r="86" spans="1:19">
      <c r="A86" s="25" t="s">
        <v>1010</v>
      </c>
      <c r="B86" s="26" t="s">
        <v>1001</v>
      </c>
      <c r="C86" s="26"/>
      <c r="D86" s="26"/>
      <c r="E86" s="27"/>
      <c r="F86" s="195">
        <f>SHF!F86</f>
        <v>6.0148251428571458</v>
      </c>
      <c r="G86" s="211"/>
      <c r="H86" s="34"/>
      <c r="I86" s="195">
        <f>SHF!I86</f>
        <v>3.0074125714285729</v>
      </c>
      <c r="J86" s="195">
        <f>SHF!J86</f>
        <v>-0.93283977328185319</v>
      </c>
      <c r="K86" s="289"/>
      <c r="L86" s="274"/>
      <c r="M86" s="376"/>
      <c r="N86" s="376"/>
      <c r="O86" s="385"/>
      <c r="P86" s="376"/>
      <c r="Q86" s="376"/>
      <c r="R86" s="376"/>
      <c r="S86" s="376"/>
    </row>
    <row r="87" spans="1:19">
      <c r="A87" s="25" t="s">
        <v>1003</v>
      </c>
      <c r="B87" s="26"/>
      <c r="C87" s="26"/>
      <c r="D87" s="26"/>
      <c r="E87" s="27"/>
      <c r="F87" s="197"/>
      <c r="G87" s="211"/>
      <c r="H87" s="34"/>
      <c r="I87" s="197"/>
      <c r="J87" s="89"/>
      <c r="K87" s="289"/>
      <c r="L87" s="274"/>
      <c r="M87" s="376"/>
      <c r="N87" s="376"/>
      <c r="O87" s="385"/>
      <c r="P87" s="376"/>
      <c r="Q87" s="376"/>
      <c r="R87" s="376"/>
      <c r="S87" s="376"/>
    </row>
    <row r="88" spans="1:19">
      <c r="A88" s="25" t="s">
        <v>1009</v>
      </c>
      <c r="B88" s="26" t="s">
        <v>1000</v>
      </c>
      <c r="C88" s="26"/>
      <c r="D88" s="26"/>
      <c r="E88" s="27"/>
      <c r="F88" s="195">
        <f>SHF!F88</f>
        <v>0</v>
      </c>
      <c r="G88" s="211"/>
      <c r="H88" s="34"/>
      <c r="I88" s="195">
        <f>SHF!I88</f>
        <v>0</v>
      </c>
      <c r="J88" s="195">
        <f>SHF!J88</f>
        <v>0</v>
      </c>
      <c r="K88" s="289"/>
      <c r="L88" s="274"/>
      <c r="M88" s="376"/>
      <c r="N88" s="376"/>
      <c r="O88" s="385"/>
      <c r="P88" s="376"/>
      <c r="Q88" s="376"/>
      <c r="R88" s="376"/>
      <c r="S88" s="376"/>
    </row>
    <row r="89" spans="1:19">
      <c r="A89" s="25" t="s">
        <v>1010</v>
      </c>
      <c r="B89" s="26" t="s">
        <v>1001</v>
      </c>
      <c r="C89" s="26"/>
      <c r="D89" s="26"/>
      <c r="E89" s="27"/>
      <c r="F89" s="195">
        <f>SHF!F89</f>
        <v>10.231958857142859</v>
      </c>
      <c r="G89" s="211"/>
      <c r="H89" s="34"/>
      <c r="I89" s="195">
        <f>SHF!I89</f>
        <v>5.1159794285714293</v>
      </c>
      <c r="J89" s="195">
        <f>SHF!J89</f>
        <v>-1.5868754209523803</v>
      </c>
      <c r="K89" s="289"/>
      <c r="L89" s="274"/>
      <c r="M89" s="376"/>
      <c r="N89" s="376"/>
      <c r="O89" s="385"/>
      <c r="P89" s="376"/>
      <c r="Q89" s="376"/>
      <c r="R89" s="376"/>
      <c r="S89" s="376"/>
    </row>
    <row r="90" spans="1:19">
      <c r="A90" s="69"/>
      <c r="B90" s="26"/>
      <c r="C90" s="26"/>
      <c r="D90" s="26"/>
      <c r="E90" s="27"/>
      <c r="F90" s="197"/>
      <c r="G90" s="211"/>
      <c r="H90" s="34"/>
      <c r="I90" s="197"/>
      <c r="J90" s="89"/>
      <c r="K90" s="289"/>
      <c r="L90" s="274"/>
      <c r="M90" s="376"/>
      <c r="N90" s="376"/>
      <c r="O90" s="385"/>
      <c r="P90" s="376"/>
      <c r="Q90" s="376"/>
      <c r="R90" s="376"/>
      <c r="S90" s="376"/>
    </row>
    <row r="91" spans="1:19">
      <c r="A91" s="25" t="s">
        <v>1011</v>
      </c>
      <c r="B91" s="26" t="s">
        <v>211</v>
      </c>
      <c r="C91" s="26"/>
      <c r="D91" s="26"/>
      <c r="E91" s="27"/>
      <c r="F91" s="195">
        <f>SHF!F91</f>
        <v>13.233843093186028</v>
      </c>
      <c r="G91" s="211"/>
      <c r="H91" s="197"/>
      <c r="I91" s="195">
        <f>SHF!I91</f>
        <v>0</v>
      </c>
      <c r="J91" s="195">
        <f>SHF!J91</f>
        <v>0</v>
      </c>
      <c r="K91" s="289"/>
      <c r="L91" s="274"/>
      <c r="M91" s="376"/>
      <c r="N91" s="376"/>
      <c r="O91" s="385"/>
      <c r="P91" s="376"/>
      <c r="Q91" s="376"/>
      <c r="R91" s="376"/>
      <c r="S91" s="376"/>
    </row>
    <row r="92" spans="1:19">
      <c r="A92" s="25"/>
      <c r="B92" s="26"/>
      <c r="C92" s="26"/>
      <c r="D92" s="26"/>
      <c r="E92" s="27"/>
      <c r="F92" s="195"/>
      <c r="G92" s="211"/>
      <c r="H92" s="197"/>
      <c r="I92" s="195"/>
      <c r="J92" s="195"/>
      <c r="K92" s="289"/>
      <c r="L92" s="274"/>
      <c r="M92" s="376"/>
      <c r="N92" s="376"/>
      <c r="O92" s="385"/>
      <c r="P92" s="376"/>
      <c r="Q92" s="376"/>
      <c r="R92" s="376"/>
      <c r="S92" s="376"/>
    </row>
    <row r="93" spans="1:19">
      <c r="A93" s="686"/>
      <c r="B93" s="688"/>
      <c r="C93" s="688"/>
      <c r="D93" s="688"/>
      <c r="E93" s="689"/>
      <c r="F93" s="195"/>
      <c r="G93" s="621"/>
      <c r="H93" s="620"/>
      <c r="I93" s="195"/>
      <c r="J93" s="195"/>
      <c r="K93" s="289"/>
      <c r="L93" s="274"/>
      <c r="M93" s="376"/>
      <c r="N93" s="376"/>
      <c r="O93" s="385"/>
      <c r="P93" s="376"/>
      <c r="Q93" s="376"/>
      <c r="R93" s="376"/>
      <c r="S93" s="376"/>
    </row>
    <row r="94" spans="1:19">
      <c r="A94" s="686"/>
      <c r="B94" s="688"/>
      <c r="C94" s="688"/>
      <c r="D94" s="688"/>
      <c r="E94" s="689"/>
      <c r="F94" s="695"/>
      <c r="G94" s="621"/>
      <c r="H94" s="620"/>
      <c r="I94" s="695"/>
      <c r="J94" s="695"/>
      <c r="K94" s="289"/>
      <c r="L94" s="274"/>
      <c r="M94" s="385"/>
      <c r="N94" s="376"/>
      <c r="O94" s="385"/>
      <c r="P94" s="376"/>
      <c r="Q94" s="376"/>
      <c r="R94" s="376"/>
      <c r="S94" s="376"/>
    </row>
    <row r="95" spans="1:19">
      <c r="A95" s="253"/>
      <c r="B95" s="15"/>
      <c r="C95" s="15"/>
      <c r="D95" s="15"/>
      <c r="E95" s="22"/>
      <c r="F95" s="212"/>
      <c r="G95" s="213"/>
      <c r="H95" s="198"/>
      <c r="I95" s="198"/>
      <c r="J95" s="58"/>
      <c r="K95" s="74"/>
      <c r="L95" s="277"/>
      <c r="M95" s="379"/>
      <c r="N95" s="379"/>
      <c r="O95" s="379"/>
      <c r="P95" s="379"/>
      <c r="Q95" s="379"/>
      <c r="R95" s="379"/>
      <c r="S95" s="379"/>
    </row>
    <row r="96" spans="1:19">
      <c r="A96" s="46"/>
      <c r="B96" s="46"/>
      <c r="C96" s="46"/>
      <c r="D96" s="46"/>
      <c r="E96" s="46"/>
      <c r="F96" s="46"/>
      <c r="G96" s="46"/>
      <c r="H96" s="46"/>
      <c r="I96" s="46"/>
      <c r="J96" s="46"/>
    </row>
    <row r="97" spans="1:10">
      <c r="A97" s="220" t="s">
        <v>73</v>
      </c>
      <c r="B97" s="220" t="s">
        <v>74</v>
      </c>
      <c r="C97" s="200"/>
      <c r="D97" s="200"/>
      <c r="E97" s="217"/>
      <c r="F97" s="1636" t="s">
        <v>72</v>
      </c>
      <c r="G97" s="1637"/>
      <c r="H97" s="1637"/>
      <c r="I97" s="1637"/>
      <c r="J97" s="1638"/>
    </row>
    <row r="98" spans="1:10" ht="18">
      <c r="A98" s="221"/>
      <c r="B98" s="221"/>
      <c r="C98" s="201"/>
      <c r="D98" s="201"/>
      <c r="E98" s="219"/>
      <c r="F98" s="223" t="s">
        <v>23</v>
      </c>
      <c r="G98" s="223" t="s">
        <v>87</v>
      </c>
      <c r="H98" s="223" t="s">
        <v>212</v>
      </c>
      <c r="I98" s="223" t="s">
        <v>80</v>
      </c>
      <c r="J98" s="223" t="s">
        <v>81</v>
      </c>
    </row>
    <row r="99" spans="1:10">
      <c r="A99" s="222"/>
      <c r="B99" s="222"/>
      <c r="C99" s="203"/>
      <c r="D99" s="203"/>
      <c r="E99" s="218"/>
      <c r="F99" s="204" t="s">
        <v>34</v>
      </c>
      <c r="G99" s="204" t="s">
        <v>34</v>
      </c>
      <c r="H99" s="203" t="s">
        <v>34</v>
      </c>
      <c r="I99" s="204" t="s">
        <v>77</v>
      </c>
      <c r="J99" s="204" t="s">
        <v>77</v>
      </c>
    </row>
    <row r="100" spans="1:10">
      <c r="A100" s="202"/>
      <c r="B100" s="200"/>
      <c r="C100" s="200"/>
      <c r="D100" s="200"/>
      <c r="E100" s="217"/>
      <c r="F100" s="205"/>
      <c r="G100" s="205"/>
      <c r="H100" s="201"/>
      <c r="I100" s="205"/>
      <c r="J100" s="205"/>
    </row>
    <row r="101" spans="1:10">
      <c r="A101" s="205" t="str">
        <f>A10</f>
        <v>LC-1</v>
      </c>
      <c r="B101" s="201" t="str">
        <f>B10</f>
        <v>LWL QP, NS LWL DL, SIDL</v>
      </c>
      <c r="C101" s="201"/>
      <c r="D101" s="201"/>
      <c r="E101" s="219"/>
      <c r="F101" s="1054">
        <f>SUMPRODUCT(F13:F94,$M$13:$M$94)</f>
        <v>750.74303866482535</v>
      </c>
      <c r="G101" s="1055">
        <f>SUMPRODUCT(G13:G94,$M$13:$M$94)</f>
        <v>5.8532000000000011</v>
      </c>
      <c r="H101" s="1055">
        <f>SUMPRODUCT(H13:H94,$M$13:$M$94)</f>
        <v>0</v>
      </c>
      <c r="I101" s="1055">
        <f>SUMPRODUCT(I13:I94,$M$13:$M$94)</f>
        <v>37.928736000000015</v>
      </c>
      <c r="J101" s="1055">
        <f>SUMPRODUCT(J13:J94,$M$13:$M$94)</f>
        <v>0</v>
      </c>
    </row>
    <row r="102" spans="1:10">
      <c r="A102" s="204"/>
      <c r="B102" s="203"/>
      <c r="C102" s="203"/>
      <c r="D102" s="203"/>
      <c r="E102" s="218"/>
      <c r="F102" s="204"/>
      <c r="G102" s="204"/>
      <c r="H102" s="203"/>
      <c r="I102" s="204"/>
      <c r="J102" s="204"/>
    </row>
    <row r="104" spans="1:10">
      <c r="A104" s="112" t="str">
        <f>A101</f>
        <v>LC-1</v>
      </c>
      <c r="B104" s="112" t="str">
        <f>B101</f>
        <v>LWL QP, NS LWL DL, SIDL</v>
      </c>
      <c r="C104" s="11"/>
      <c r="D104" s="11"/>
      <c r="E104" s="191"/>
    </row>
  </sheetData>
  <mergeCells count="2">
    <mergeCell ref="F10:J10"/>
    <mergeCell ref="F97:J97"/>
  </mergeCells>
  <pageMargins left="0.7" right="0.7" top="0.75" bottom="0.75" header="0.3" footer="0.3"/>
  <pageSetup paperSize="9" orientation="portrait" r:id="rId1"/>
  <legacyDrawing r:id="rId2"/>
</worksheet>
</file>

<file path=xl/worksheets/sheet45.xml><?xml version="1.0" encoding="utf-8"?>
<worksheet xmlns="http://schemas.openxmlformats.org/spreadsheetml/2006/main" xmlns:r="http://schemas.openxmlformats.org/officeDocument/2006/relationships">
  <sheetPr codeName="Sheet53">
    <tabColor theme="6" tint="-0.249977111117893"/>
  </sheetPr>
  <dimension ref="A1:M145"/>
  <sheetViews>
    <sheetView view="pageBreakPreview" topLeftCell="A70" zoomScaleSheetLayoutView="100" workbookViewId="0">
      <selection activeCell="M33" sqref="M33"/>
    </sheetView>
  </sheetViews>
  <sheetFormatPr defaultRowHeight="15"/>
  <sheetData>
    <row r="1" spans="1:13">
      <c r="A1" t="s">
        <v>1032</v>
      </c>
    </row>
    <row r="2" spans="1:13">
      <c r="A2" t="s">
        <v>1820</v>
      </c>
    </row>
    <row r="3" spans="1:13">
      <c r="A3" t="s">
        <v>221</v>
      </c>
    </row>
    <row r="5" spans="1:13">
      <c r="A5" s="1"/>
      <c r="B5" s="1"/>
      <c r="C5" s="1"/>
      <c r="D5" s="1"/>
      <c r="E5" s="1"/>
      <c r="F5" s="1"/>
      <c r="G5" s="1"/>
      <c r="H5" s="1"/>
      <c r="I5" s="1"/>
      <c r="J5" s="1"/>
      <c r="K5" s="1"/>
      <c r="L5" s="1"/>
      <c r="M5" s="1"/>
    </row>
    <row r="6" spans="1:13">
      <c r="A6" s="1"/>
      <c r="B6" s="1"/>
      <c r="C6" s="1"/>
      <c r="D6" s="1"/>
      <c r="E6" s="1"/>
      <c r="F6" s="1"/>
      <c r="G6" s="1"/>
      <c r="H6" s="1"/>
      <c r="I6" s="1"/>
      <c r="J6" s="1"/>
      <c r="K6" s="1"/>
      <c r="L6" s="1"/>
      <c r="M6" s="1"/>
    </row>
    <row r="7" spans="1:13">
      <c r="A7" s="225" t="str">
        <f>M7</f>
        <v>LC-1</v>
      </c>
      <c r="B7" s="24" t="str">
        <f>VLOOKUP(A7,LC_DEF_2!A95:B100,2,FALSE)</f>
        <v>LWL QP, NS LWL DL, SIDL</v>
      </c>
      <c r="C7" s="24"/>
      <c r="D7" s="24"/>
      <c r="E7" s="21"/>
      <c r="F7" s="1599" t="s">
        <v>742</v>
      </c>
      <c r="G7" s="1635"/>
      <c r="H7" s="1635"/>
      <c r="I7" s="1635"/>
      <c r="J7" s="1600"/>
      <c r="K7" s="73"/>
      <c r="L7" s="272"/>
      <c r="M7" s="93" t="s">
        <v>122</v>
      </c>
    </row>
    <row r="8" spans="1:13" ht="18">
      <c r="A8" s="25" t="s">
        <v>73</v>
      </c>
      <c r="B8" s="26" t="s">
        <v>74</v>
      </c>
      <c r="C8" s="26"/>
      <c r="D8" s="26"/>
      <c r="E8" s="27"/>
      <c r="F8" s="33" t="s">
        <v>23</v>
      </c>
      <c r="G8" s="33" t="s">
        <v>87</v>
      </c>
      <c r="H8" s="33" t="s">
        <v>212</v>
      </c>
      <c r="I8" s="33" t="s">
        <v>80</v>
      </c>
      <c r="J8" s="33" t="s">
        <v>81</v>
      </c>
      <c r="K8" s="273"/>
      <c r="L8" s="274"/>
      <c r="M8" s="376"/>
    </row>
    <row r="9" spans="1:13">
      <c r="A9" s="25"/>
      <c r="B9" s="26"/>
      <c r="C9" s="26"/>
      <c r="D9" s="26"/>
      <c r="E9" s="27"/>
      <c r="F9" s="36" t="s">
        <v>34</v>
      </c>
      <c r="G9" s="36" t="s">
        <v>34</v>
      </c>
      <c r="H9" s="36" t="s">
        <v>34</v>
      </c>
      <c r="I9" s="36" t="s">
        <v>77</v>
      </c>
      <c r="J9" s="36" t="s">
        <v>77</v>
      </c>
      <c r="K9" s="74"/>
      <c r="L9" s="277"/>
      <c r="M9" s="376"/>
    </row>
    <row r="10" spans="1:13">
      <c r="A10" s="25" t="s">
        <v>88</v>
      </c>
      <c r="B10" s="26" t="s">
        <v>75</v>
      </c>
      <c r="C10" s="26"/>
      <c r="D10" s="26"/>
      <c r="E10" s="27"/>
      <c r="F10" s="195">
        <f>SHF!F14</f>
        <v>165.42303866482536</v>
      </c>
      <c r="G10" s="210"/>
      <c r="H10" s="34"/>
      <c r="I10" s="195">
        <f>SHF!I14</f>
        <v>0</v>
      </c>
      <c r="J10" s="195">
        <f>SHF!J14</f>
        <v>0</v>
      </c>
      <c r="K10" s="273"/>
      <c r="L10" s="274"/>
      <c r="M10" s="268">
        <v>1</v>
      </c>
    </row>
    <row r="11" spans="1:13">
      <c r="A11" s="25" t="s">
        <v>250</v>
      </c>
      <c r="B11" s="26" t="s">
        <v>967</v>
      </c>
      <c r="C11" s="26"/>
      <c r="D11" s="26"/>
      <c r="E11" s="27"/>
      <c r="F11" s="195">
        <f>SHF!F17</f>
        <v>230</v>
      </c>
      <c r="G11" s="210"/>
      <c r="H11" s="34"/>
      <c r="I11" s="195">
        <f>SHF!I17</f>
        <v>-115</v>
      </c>
      <c r="J11" s="195">
        <f>SHF!J17</f>
        <v>0</v>
      </c>
      <c r="K11" s="273"/>
      <c r="L11" s="274"/>
      <c r="M11" s="376">
        <v>1</v>
      </c>
    </row>
    <row r="12" spans="1:13">
      <c r="A12" s="25" t="s">
        <v>251</v>
      </c>
      <c r="B12" s="26" t="s">
        <v>968</v>
      </c>
      <c r="C12" s="26"/>
      <c r="D12" s="26"/>
      <c r="E12" s="27"/>
      <c r="F12" s="195">
        <f>SHF!F18</f>
        <v>20.660000000000004</v>
      </c>
      <c r="G12" s="210"/>
      <c r="H12" s="34"/>
      <c r="I12" s="195">
        <f>SHF!I18</f>
        <v>-10.330000000000002</v>
      </c>
      <c r="J12" s="195">
        <f>SHF!J18</f>
        <v>0</v>
      </c>
      <c r="K12" s="273"/>
      <c r="L12" s="274"/>
      <c r="M12" s="376">
        <v>1</v>
      </c>
    </row>
    <row r="13" spans="1:13">
      <c r="A13" s="25" t="s">
        <v>97</v>
      </c>
      <c r="B13" s="26" t="s">
        <v>969</v>
      </c>
      <c r="C13" s="26"/>
      <c r="D13" s="26"/>
      <c r="E13" s="27"/>
      <c r="F13" s="195">
        <f>SHF!F19</f>
        <v>42</v>
      </c>
      <c r="G13" s="210"/>
      <c r="H13" s="34"/>
      <c r="I13" s="195">
        <f>SHF!I19</f>
        <v>-14.858499999999999</v>
      </c>
      <c r="J13" s="195">
        <f>SHF!J19</f>
        <v>0</v>
      </c>
      <c r="K13" s="273"/>
      <c r="L13" s="274"/>
      <c r="M13" s="376">
        <v>1</v>
      </c>
    </row>
    <row r="14" spans="1:13">
      <c r="A14" s="25" t="s">
        <v>250</v>
      </c>
      <c r="B14" s="26" t="s">
        <v>970</v>
      </c>
      <c r="C14" s="26"/>
      <c r="D14" s="26"/>
      <c r="E14" s="27"/>
      <c r="F14" s="195">
        <f>SHF!F21</f>
        <v>230</v>
      </c>
      <c r="G14" s="210"/>
      <c r="H14" s="34"/>
      <c r="I14" s="195">
        <f>SHF!I21</f>
        <v>115</v>
      </c>
      <c r="J14" s="195">
        <f>SHF!J21</f>
        <v>0</v>
      </c>
      <c r="K14" s="273"/>
      <c r="L14" s="274"/>
      <c r="M14" s="376">
        <v>1</v>
      </c>
    </row>
    <row r="15" spans="1:13">
      <c r="A15" s="25" t="s">
        <v>251</v>
      </c>
      <c r="B15" s="26" t="s">
        <v>971</v>
      </c>
      <c r="C15" s="26"/>
      <c r="D15" s="26"/>
      <c r="E15" s="27"/>
      <c r="F15" s="195">
        <f>SHF!F22</f>
        <v>20.660000000000004</v>
      </c>
      <c r="G15" s="210"/>
      <c r="H15" s="34"/>
      <c r="I15" s="195">
        <f>SHF!I22</f>
        <v>10.330000000000002</v>
      </c>
      <c r="J15" s="195">
        <f>SHF!J22</f>
        <v>0</v>
      </c>
      <c r="K15" s="273"/>
      <c r="L15" s="274"/>
      <c r="M15" s="268">
        <v>1</v>
      </c>
    </row>
    <row r="16" spans="1:13">
      <c r="A16" s="25" t="s">
        <v>97</v>
      </c>
      <c r="B16" s="26" t="s">
        <v>972</v>
      </c>
      <c r="C16" s="26"/>
      <c r="D16" s="26"/>
      <c r="E16" s="27"/>
      <c r="F16" s="195">
        <f>SHF!F23</f>
        <v>42</v>
      </c>
      <c r="G16" s="210"/>
      <c r="H16" s="34"/>
      <c r="I16" s="195">
        <f>SHF!I23</f>
        <v>14.858499999999999</v>
      </c>
      <c r="J16" s="195">
        <f>SHF!J23</f>
        <v>0</v>
      </c>
      <c r="K16" s="273"/>
      <c r="L16" s="274"/>
      <c r="M16" s="376">
        <v>1</v>
      </c>
    </row>
    <row r="17" spans="1:13">
      <c r="A17" s="25" t="s">
        <v>986</v>
      </c>
      <c r="B17" s="163" t="s">
        <v>955</v>
      </c>
      <c r="C17" s="26"/>
      <c r="D17" s="26"/>
      <c r="E17" s="27"/>
      <c r="F17" s="34"/>
      <c r="G17" s="195">
        <f>SHF!G37</f>
        <v>5.8532000000000011</v>
      </c>
      <c r="H17" s="34"/>
      <c r="I17" s="195">
        <f>SHF!I37</f>
        <v>37.928736000000015</v>
      </c>
      <c r="J17" s="34"/>
      <c r="K17" s="273"/>
      <c r="L17" s="274"/>
      <c r="M17" s="376">
        <v>1</v>
      </c>
    </row>
    <row r="18" spans="1:13">
      <c r="A18" s="253"/>
      <c r="B18" s="15"/>
      <c r="C18" s="15"/>
      <c r="D18" s="15"/>
      <c r="E18" s="22"/>
      <c r="F18" s="212"/>
      <c r="G18" s="213"/>
      <c r="H18" s="198"/>
      <c r="I18" s="198"/>
      <c r="J18" s="58"/>
      <c r="K18" s="74"/>
      <c r="L18" s="277"/>
      <c r="M18" s="379"/>
    </row>
    <row r="19" spans="1:13">
      <c r="A19" s="46"/>
      <c r="B19" s="46"/>
      <c r="C19" s="46"/>
      <c r="D19" s="46"/>
      <c r="E19" s="46"/>
      <c r="F19" s="46"/>
      <c r="G19" s="46"/>
      <c r="H19" s="46"/>
      <c r="I19" s="46"/>
      <c r="J19" s="46"/>
      <c r="K19" s="116"/>
      <c r="L19" s="270"/>
      <c r="M19" s="87"/>
    </row>
    <row r="20" spans="1:13">
      <c r="A20" s="220" t="s">
        <v>73</v>
      </c>
      <c r="B20" s="220" t="s">
        <v>74</v>
      </c>
      <c r="C20" s="200"/>
      <c r="D20" s="200"/>
      <c r="E20" s="217"/>
      <c r="F20" s="1636" t="s">
        <v>72</v>
      </c>
      <c r="G20" s="1637"/>
      <c r="H20" s="1637"/>
      <c r="I20" s="1637"/>
      <c r="J20" s="1638"/>
      <c r="K20" s="116"/>
      <c r="L20" s="270"/>
      <c r="M20" s="87"/>
    </row>
    <row r="21" spans="1:13" ht="18">
      <c r="A21" s="221"/>
      <c r="B21" s="221"/>
      <c r="C21" s="201"/>
      <c r="D21" s="201"/>
      <c r="E21" s="219"/>
      <c r="F21" s="223" t="s">
        <v>23</v>
      </c>
      <c r="G21" s="223" t="s">
        <v>87</v>
      </c>
      <c r="H21" s="223" t="s">
        <v>212</v>
      </c>
      <c r="I21" s="223" t="s">
        <v>80</v>
      </c>
      <c r="J21" s="223" t="s">
        <v>81</v>
      </c>
      <c r="K21" s="116"/>
      <c r="L21" s="270"/>
      <c r="M21" s="87"/>
    </row>
    <row r="22" spans="1:13">
      <c r="A22" s="222"/>
      <c r="B22" s="222"/>
      <c r="C22" s="203"/>
      <c r="D22" s="203"/>
      <c r="E22" s="218"/>
      <c r="F22" s="204" t="s">
        <v>34</v>
      </c>
      <c r="G22" s="204" t="s">
        <v>34</v>
      </c>
      <c r="H22" s="203" t="s">
        <v>34</v>
      </c>
      <c r="I22" s="204" t="s">
        <v>77</v>
      </c>
      <c r="J22" s="204" t="s">
        <v>77</v>
      </c>
      <c r="K22" s="116"/>
      <c r="L22" s="270"/>
      <c r="M22" s="87"/>
    </row>
    <row r="23" spans="1:13">
      <c r="A23" s="202"/>
      <c r="B23" s="200"/>
      <c r="C23" s="200"/>
      <c r="D23" s="200"/>
      <c r="E23" s="217"/>
      <c r="F23" s="205"/>
      <c r="G23" s="205"/>
      <c r="H23" s="201"/>
      <c r="I23" s="205"/>
      <c r="J23" s="205"/>
      <c r="K23" s="116"/>
      <c r="L23" s="270"/>
      <c r="M23" s="87"/>
    </row>
    <row r="24" spans="1:13">
      <c r="A24" s="205" t="str">
        <f>A7</f>
        <v>LC-1</v>
      </c>
      <c r="B24" s="201" t="str">
        <f>B7</f>
        <v>LWL QP, NS LWL DL, SIDL</v>
      </c>
      <c r="C24" s="201"/>
      <c r="D24" s="201"/>
      <c r="E24" s="219"/>
      <c r="F24" s="1054">
        <f>SUMPRODUCT(F10:F17,$M$10:$M$17)</f>
        <v>750.74303866482535</v>
      </c>
      <c r="G24" s="1055">
        <f>SUMPRODUCT(G10:G17,$M$10:$M$17)</f>
        <v>5.8532000000000011</v>
      </c>
      <c r="H24" s="1055">
        <f>SUMPRODUCT(H10:H17,$M$10:$M$17)</f>
        <v>0</v>
      </c>
      <c r="I24" s="1055">
        <f>SUMPRODUCT(I10:I17,$M$10:$M$17)</f>
        <v>37.928736000000015</v>
      </c>
      <c r="J24" s="1055">
        <f>SUMPRODUCT(J10:J17,$M$10:$M$17)</f>
        <v>0</v>
      </c>
      <c r="K24" s="116"/>
      <c r="L24" s="270"/>
      <c r="M24" s="87"/>
    </row>
    <row r="25" spans="1:13">
      <c r="A25" s="204"/>
      <c r="B25" s="203"/>
      <c r="C25" s="203"/>
      <c r="D25" s="203"/>
      <c r="E25" s="218"/>
      <c r="F25" s="204"/>
      <c r="G25" s="204"/>
      <c r="H25" s="203"/>
      <c r="I25" s="204"/>
      <c r="J25" s="204"/>
      <c r="K25" s="116"/>
      <c r="L25" s="270"/>
      <c r="M25" s="87"/>
    </row>
    <row r="26" spans="1:13">
      <c r="A26" s="1"/>
      <c r="B26" s="1"/>
      <c r="C26" s="1"/>
      <c r="D26" s="1"/>
      <c r="E26" s="1"/>
      <c r="F26" s="1"/>
      <c r="G26" s="1"/>
      <c r="H26" s="1"/>
      <c r="I26" s="1"/>
      <c r="J26" s="1"/>
      <c r="K26" s="1"/>
      <c r="L26" s="1"/>
      <c r="M26" s="1"/>
    </row>
    <row r="27" spans="1:13">
      <c r="A27" s="1"/>
      <c r="B27" s="1"/>
      <c r="C27" s="1"/>
      <c r="D27" s="1"/>
      <c r="E27" s="1"/>
      <c r="F27" s="1"/>
      <c r="G27" s="1"/>
      <c r="H27" s="1"/>
      <c r="I27" s="1"/>
      <c r="J27" s="1"/>
      <c r="K27" s="1"/>
      <c r="L27" s="1"/>
      <c r="M27" s="1"/>
    </row>
    <row r="28" spans="1:13">
      <c r="A28" s="225" t="str">
        <f>M28</f>
        <v>LC-2</v>
      </c>
      <c r="B28" s="24" t="str">
        <f>VLOOKUP(A28,LC_DEF_2!A95:B100,2,FALSE)</f>
        <v>HFL QP, NS LWL DL, SIDL</v>
      </c>
      <c r="C28" s="24"/>
      <c r="D28" s="24"/>
      <c r="E28" s="21"/>
      <c r="F28" s="1599" t="s">
        <v>742</v>
      </c>
      <c r="G28" s="1635"/>
      <c r="H28" s="1635"/>
      <c r="I28" s="1635"/>
      <c r="J28" s="1600"/>
      <c r="K28" s="73"/>
      <c r="L28" s="272"/>
      <c r="M28" s="93" t="s">
        <v>123</v>
      </c>
    </row>
    <row r="29" spans="1:13" ht="18">
      <c r="A29" s="25" t="s">
        <v>73</v>
      </c>
      <c r="B29" s="26" t="s">
        <v>74</v>
      </c>
      <c r="C29" s="26"/>
      <c r="D29" s="26"/>
      <c r="E29" s="27"/>
      <c r="F29" s="33" t="s">
        <v>23</v>
      </c>
      <c r="G29" s="33" t="s">
        <v>87</v>
      </c>
      <c r="H29" s="33" t="s">
        <v>212</v>
      </c>
      <c r="I29" s="33" t="s">
        <v>80</v>
      </c>
      <c r="J29" s="33" t="s">
        <v>81</v>
      </c>
      <c r="K29" s="273"/>
      <c r="L29" s="274"/>
      <c r="M29" s="376"/>
    </row>
    <row r="30" spans="1:13">
      <c r="A30" s="25"/>
      <c r="B30" s="26"/>
      <c r="C30" s="26"/>
      <c r="D30" s="26"/>
      <c r="E30" s="27"/>
      <c r="F30" s="36" t="s">
        <v>34</v>
      </c>
      <c r="G30" s="36" t="s">
        <v>34</v>
      </c>
      <c r="H30" s="36" t="s">
        <v>34</v>
      </c>
      <c r="I30" s="36" t="s">
        <v>77</v>
      </c>
      <c r="J30" s="36" t="s">
        <v>77</v>
      </c>
      <c r="K30" s="74"/>
      <c r="L30" s="277"/>
      <c r="M30" s="376"/>
    </row>
    <row r="31" spans="1:13">
      <c r="A31" s="25" t="s">
        <v>88</v>
      </c>
      <c r="B31" s="26" t="s">
        <v>75</v>
      </c>
      <c r="C31" s="26"/>
      <c r="D31" s="26"/>
      <c r="E31" s="27"/>
      <c r="F31" s="195">
        <f>SHF!F14</f>
        <v>165.42303866482536</v>
      </c>
      <c r="G31" s="210"/>
      <c r="H31" s="34"/>
      <c r="I31" s="195">
        <f>SHF!I14</f>
        <v>0</v>
      </c>
      <c r="J31" s="195">
        <f>SHF!J14</f>
        <v>0</v>
      </c>
      <c r="K31" s="273"/>
      <c r="L31" s="274"/>
      <c r="M31" s="268">
        <v>1</v>
      </c>
    </row>
    <row r="32" spans="1:13">
      <c r="A32" s="25" t="s">
        <v>250</v>
      </c>
      <c r="B32" s="26" t="s">
        <v>967</v>
      </c>
      <c r="C32" s="26"/>
      <c r="D32" s="26"/>
      <c r="E32" s="27"/>
      <c r="F32" s="195">
        <f>SHF!F17</f>
        <v>230</v>
      </c>
      <c r="G32" s="210"/>
      <c r="H32" s="34"/>
      <c r="I32" s="195">
        <f>SHF!I17</f>
        <v>-115</v>
      </c>
      <c r="J32" s="195">
        <f>SHF!J17</f>
        <v>0</v>
      </c>
      <c r="K32" s="273"/>
      <c r="L32" s="274"/>
      <c r="M32" s="376">
        <v>1</v>
      </c>
    </row>
    <row r="33" spans="1:13">
      <c r="A33" s="25" t="s">
        <v>251</v>
      </c>
      <c r="B33" s="26" t="s">
        <v>968</v>
      </c>
      <c r="C33" s="26"/>
      <c r="D33" s="26"/>
      <c r="E33" s="27"/>
      <c r="F33" s="195">
        <f>SHF!F18</f>
        <v>20.660000000000004</v>
      </c>
      <c r="G33" s="210"/>
      <c r="H33" s="34"/>
      <c r="I33" s="195">
        <f>SHF!I18</f>
        <v>-10.330000000000002</v>
      </c>
      <c r="J33" s="195">
        <f>SHF!J18</f>
        <v>0</v>
      </c>
      <c r="K33" s="273"/>
      <c r="L33" s="274"/>
      <c r="M33" s="376">
        <v>1</v>
      </c>
    </row>
    <row r="34" spans="1:13">
      <c r="A34" s="25" t="s">
        <v>97</v>
      </c>
      <c r="B34" s="26" t="s">
        <v>969</v>
      </c>
      <c r="C34" s="26"/>
      <c r="D34" s="26"/>
      <c r="E34" s="27"/>
      <c r="F34" s="195">
        <f>SHF!F19</f>
        <v>42</v>
      </c>
      <c r="G34" s="210"/>
      <c r="H34" s="34"/>
      <c r="I34" s="195">
        <f>SHF!I19</f>
        <v>-14.858499999999999</v>
      </c>
      <c r="J34" s="195">
        <f>SHF!J19</f>
        <v>0</v>
      </c>
      <c r="K34" s="273"/>
      <c r="L34" s="274"/>
      <c r="M34" s="376">
        <v>1</v>
      </c>
    </row>
    <row r="35" spans="1:13">
      <c r="A35" s="25" t="s">
        <v>250</v>
      </c>
      <c r="B35" s="26" t="s">
        <v>970</v>
      </c>
      <c r="C35" s="26"/>
      <c r="D35" s="26"/>
      <c r="E35" s="27"/>
      <c r="F35" s="195">
        <f>SHF!F21</f>
        <v>230</v>
      </c>
      <c r="G35" s="210"/>
      <c r="H35" s="34"/>
      <c r="I35" s="195">
        <f>SHF!I21</f>
        <v>115</v>
      </c>
      <c r="J35" s="195">
        <f>SHF!J21</f>
        <v>0</v>
      </c>
      <c r="K35" s="273"/>
      <c r="L35" s="274"/>
      <c r="M35" s="376">
        <v>1</v>
      </c>
    </row>
    <row r="36" spans="1:13">
      <c r="A36" s="25" t="s">
        <v>251</v>
      </c>
      <c r="B36" s="26" t="s">
        <v>971</v>
      </c>
      <c r="C36" s="26"/>
      <c r="D36" s="26"/>
      <c r="E36" s="27"/>
      <c r="F36" s="195">
        <f>SHF!F22</f>
        <v>20.660000000000004</v>
      </c>
      <c r="G36" s="210"/>
      <c r="H36" s="34"/>
      <c r="I36" s="195">
        <f>SHF!I22</f>
        <v>10.330000000000002</v>
      </c>
      <c r="J36" s="195">
        <f>SHF!J22</f>
        <v>0</v>
      </c>
      <c r="K36" s="273"/>
      <c r="L36" s="274"/>
      <c r="M36" s="268">
        <v>1</v>
      </c>
    </row>
    <row r="37" spans="1:13">
      <c r="A37" s="25" t="s">
        <v>97</v>
      </c>
      <c r="B37" s="26" t="s">
        <v>972</v>
      </c>
      <c r="C37" s="26"/>
      <c r="D37" s="26"/>
      <c r="E37" s="27"/>
      <c r="F37" s="195">
        <f>SHF!F23</f>
        <v>42</v>
      </c>
      <c r="G37" s="210"/>
      <c r="H37" s="34"/>
      <c r="I37" s="195">
        <f>SHF!I23</f>
        <v>14.858499999999999</v>
      </c>
      <c r="J37" s="195">
        <f>SHF!J23</f>
        <v>0</v>
      </c>
      <c r="K37" s="273"/>
      <c r="L37" s="274"/>
      <c r="M37" s="376">
        <v>1</v>
      </c>
    </row>
    <row r="38" spans="1:13">
      <c r="A38" s="25" t="s">
        <v>986</v>
      </c>
      <c r="B38" s="163" t="s">
        <v>955</v>
      </c>
      <c r="C38" s="26"/>
      <c r="D38" s="26"/>
      <c r="E38" s="27"/>
      <c r="F38" s="34"/>
      <c r="G38" s="195">
        <f>SHF!G37</f>
        <v>5.8532000000000011</v>
      </c>
      <c r="H38" s="34"/>
      <c r="I38" s="195">
        <f>SHF!I37</f>
        <v>37.928736000000015</v>
      </c>
      <c r="J38" s="34"/>
      <c r="K38" s="273"/>
      <c r="L38" s="274"/>
      <c r="M38" s="376">
        <v>1</v>
      </c>
    </row>
    <row r="39" spans="1:13">
      <c r="A39" s="686" t="s">
        <v>1128</v>
      </c>
      <c r="B39" s="687"/>
      <c r="C39" s="688"/>
      <c r="D39" s="688"/>
      <c r="E39" s="689"/>
      <c r="F39" s="195">
        <f>SHF!F40</f>
        <v>-23.695433333970961</v>
      </c>
      <c r="G39" s="689"/>
      <c r="H39" s="690"/>
      <c r="I39" s="195">
        <f>SHF!I40</f>
        <v>0</v>
      </c>
      <c r="J39" s="195">
        <f>SHF!J40</f>
        <v>0</v>
      </c>
      <c r="K39" s="273"/>
      <c r="L39" s="274"/>
      <c r="M39" s="376">
        <v>0.15</v>
      </c>
    </row>
    <row r="40" spans="1:13">
      <c r="A40" s="253"/>
      <c r="B40" s="15"/>
      <c r="C40" s="15"/>
      <c r="D40" s="15"/>
      <c r="E40" s="22"/>
      <c r="F40" s="212"/>
      <c r="G40" s="213"/>
      <c r="H40" s="198"/>
      <c r="I40" s="198"/>
      <c r="J40" s="58"/>
      <c r="K40" s="74"/>
      <c r="L40" s="277"/>
      <c r="M40" s="379"/>
    </row>
    <row r="41" spans="1:13">
      <c r="A41" s="46"/>
      <c r="B41" s="46"/>
      <c r="C41" s="46"/>
      <c r="D41" s="46"/>
      <c r="E41" s="46"/>
      <c r="F41" s="46"/>
      <c r="G41" s="46"/>
      <c r="H41" s="46"/>
      <c r="I41" s="46"/>
      <c r="J41" s="46"/>
      <c r="K41" s="116"/>
      <c r="L41" s="270"/>
      <c r="M41" s="87"/>
    </row>
    <row r="42" spans="1:13">
      <c r="A42" s="220" t="s">
        <v>73</v>
      </c>
      <c r="B42" s="220" t="s">
        <v>74</v>
      </c>
      <c r="C42" s="200"/>
      <c r="D42" s="200"/>
      <c r="E42" s="217"/>
      <c r="F42" s="1636" t="s">
        <v>72</v>
      </c>
      <c r="G42" s="1637"/>
      <c r="H42" s="1637"/>
      <c r="I42" s="1637"/>
      <c r="J42" s="1638"/>
      <c r="K42" s="116"/>
      <c r="L42" s="270"/>
      <c r="M42" s="87"/>
    </row>
    <row r="43" spans="1:13" ht="18">
      <c r="A43" s="221"/>
      <c r="B43" s="221"/>
      <c r="C43" s="201"/>
      <c r="D43" s="201"/>
      <c r="E43" s="219"/>
      <c r="F43" s="223" t="s">
        <v>23</v>
      </c>
      <c r="G43" s="223" t="s">
        <v>87</v>
      </c>
      <c r="H43" s="223" t="s">
        <v>212</v>
      </c>
      <c r="I43" s="223" t="s">
        <v>80</v>
      </c>
      <c r="J43" s="223" t="s">
        <v>81</v>
      </c>
      <c r="K43" s="116"/>
      <c r="L43" s="270"/>
      <c r="M43" s="87"/>
    </row>
    <row r="44" spans="1:13">
      <c r="A44" s="222"/>
      <c r="B44" s="222"/>
      <c r="C44" s="203"/>
      <c r="D44" s="203"/>
      <c r="E44" s="218"/>
      <c r="F44" s="204" t="s">
        <v>34</v>
      </c>
      <c r="G44" s="204" t="s">
        <v>34</v>
      </c>
      <c r="H44" s="203" t="s">
        <v>34</v>
      </c>
      <c r="I44" s="204" t="s">
        <v>77</v>
      </c>
      <c r="J44" s="204" t="s">
        <v>77</v>
      </c>
      <c r="K44" s="116"/>
      <c r="L44" s="270"/>
      <c r="M44" s="87"/>
    </row>
    <row r="45" spans="1:13">
      <c r="A45" s="202"/>
      <c r="B45" s="200"/>
      <c r="C45" s="200"/>
      <c r="D45" s="200"/>
      <c r="E45" s="217"/>
      <c r="F45" s="205"/>
      <c r="G45" s="205"/>
      <c r="H45" s="201"/>
      <c r="I45" s="205"/>
      <c r="J45" s="205"/>
      <c r="K45" s="116"/>
      <c r="L45" s="270"/>
      <c r="M45" s="87"/>
    </row>
    <row r="46" spans="1:13">
      <c r="A46" s="205" t="str">
        <f>A28</f>
        <v>LC-2</v>
      </c>
      <c r="B46" s="201" t="str">
        <f>B28</f>
        <v>HFL QP, NS LWL DL, SIDL</v>
      </c>
      <c r="C46" s="201"/>
      <c r="D46" s="201"/>
      <c r="E46" s="219"/>
      <c r="F46" s="1054">
        <f>SUMPRODUCT(F31:F39,$M$31:$M$39)</f>
        <v>747.18872366472965</v>
      </c>
      <c r="G46" s="1055">
        <f>SUMPRODUCT(G31:G39,$M$31:$M$39)</f>
        <v>5.8532000000000011</v>
      </c>
      <c r="H46" s="1055">
        <f>SUMPRODUCT(H31:H39,$M$31:$M$39)</f>
        <v>0</v>
      </c>
      <c r="I46" s="1055">
        <f>SUMPRODUCT(I31:I39,$M$31:$M$39)</f>
        <v>37.928736000000015</v>
      </c>
      <c r="J46" s="1055">
        <f>SUMPRODUCT(J31:J39,$M$31:$M$39)</f>
        <v>0</v>
      </c>
      <c r="K46" s="116"/>
      <c r="L46" s="270"/>
      <c r="M46" s="87"/>
    </row>
    <row r="47" spans="1:13">
      <c r="A47" s="204"/>
      <c r="B47" s="203"/>
      <c r="C47" s="203"/>
      <c r="D47" s="203"/>
      <c r="E47" s="218"/>
      <c r="F47" s="204"/>
      <c r="G47" s="204"/>
      <c r="H47" s="203"/>
      <c r="I47" s="204"/>
      <c r="J47" s="204"/>
      <c r="K47" s="116"/>
      <c r="L47" s="270"/>
      <c r="M47" s="87"/>
    </row>
    <row r="48" spans="1:13">
      <c r="A48" s="1"/>
      <c r="B48" s="1"/>
      <c r="C48" s="1"/>
      <c r="D48" s="1"/>
      <c r="E48" s="1"/>
      <c r="F48" s="1"/>
      <c r="G48" s="1"/>
      <c r="H48" s="1"/>
      <c r="I48" s="1"/>
      <c r="J48" s="1"/>
      <c r="K48" s="1"/>
      <c r="L48" s="1"/>
      <c r="M48" s="1"/>
    </row>
    <row r="49" spans="1:13">
      <c r="A49" s="1"/>
      <c r="B49" s="1"/>
      <c r="C49" s="1"/>
      <c r="D49" s="1"/>
      <c r="E49" s="1"/>
      <c r="F49" s="1"/>
      <c r="G49" s="1"/>
      <c r="H49" s="1"/>
      <c r="I49" s="1"/>
      <c r="J49" s="1"/>
      <c r="K49" s="1"/>
      <c r="L49" s="1"/>
      <c r="M49" s="1"/>
    </row>
    <row r="50" spans="1:13">
      <c r="A50" s="225" t="str">
        <f>M50</f>
        <v>LC-3</v>
      </c>
      <c r="B50" s="24" t="str">
        <f>VLOOKUP(A50,LC_DEF_2!A95:B100,2,FALSE)</f>
        <v>LWL RARE, NS LWL DL, SIDL, LL Max reaction</v>
      </c>
      <c r="C50" s="24"/>
      <c r="D50" s="24"/>
      <c r="E50" s="21"/>
      <c r="F50" s="1599" t="s">
        <v>742</v>
      </c>
      <c r="G50" s="1635"/>
      <c r="H50" s="1635"/>
      <c r="I50" s="1635"/>
      <c r="J50" s="1600"/>
      <c r="K50" s="73"/>
      <c r="L50" s="272"/>
      <c r="M50" s="93" t="s">
        <v>126</v>
      </c>
    </row>
    <row r="51" spans="1:13" ht="18">
      <c r="A51" s="25" t="s">
        <v>73</v>
      </c>
      <c r="B51" s="26" t="s">
        <v>74</v>
      </c>
      <c r="C51" s="26"/>
      <c r="D51" s="26"/>
      <c r="E51" s="27"/>
      <c r="F51" s="33" t="s">
        <v>23</v>
      </c>
      <c r="G51" s="33" t="s">
        <v>87</v>
      </c>
      <c r="H51" s="33" t="s">
        <v>212</v>
      </c>
      <c r="I51" s="33" t="s">
        <v>80</v>
      </c>
      <c r="J51" s="33" t="s">
        <v>81</v>
      </c>
      <c r="K51" s="273"/>
      <c r="L51" s="274"/>
      <c r="M51" s="376"/>
    </row>
    <row r="52" spans="1:13">
      <c r="A52" s="25"/>
      <c r="B52" s="26"/>
      <c r="C52" s="26"/>
      <c r="D52" s="26"/>
      <c r="E52" s="27"/>
      <c r="F52" s="36" t="s">
        <v>34</v>
      </c>
      <c r="G52" s="36" t="s">
        <v>34</v>
      </c>
      <c r="H52" s="36" t="s">
        <v>34</v>
      </c>
      <c r="I52" s="36" t="s">
        <v>77</v>
      </c>
      <c r="J52" s="36" t="s">
        <v>77</v>
      </c>
      <c r="K52" s="74"/>
      <c r="L52" s="277"/>
      <c r="M52" s="376"/>
    </row>
    <row r="53" spans="1:13">
      <c r="A53" s="25" t="s">
        <v>88</v>
      </c>
      <c r="B53" s="26" t="s">
        <v>75</v>
      </c>
      <c r="C53" s="26"/>
      <c r="D53" s="26"/>
      <c r="E53" s="27"/>
      <c r="F53" s="195">
        <f>SHF!F14</f>
        <v>165.42303866482536</v>
      </c>
      <c r="G53" s="210"/>
      <c r="H53" s="34"/>
      <c r="I53" s="195">
        <f>SHF!I14</f>
        <v>0</v>
      </c>
      <c r="J53" s="195">
        <f>SHF!J14</f>
        <v>0</v>
      </c>
      <c r="K53" s="273"/>
      <c r="L53" s="274"/>
      <c r="M53" s="268">
        <v>1</v>
      </c>
    </row>
    <row r="54" spans="1:13">
      <c r="A54" s="25" t="s">
        <v>250</v>
      </c>
      <c r="B54" s="26" t="s">
        <v>967</v>
      </c>
      <c r="C54" s="26"/>
      <c r="D54" s="26"/>
      <c r="E54" s="27"/>
      <c r="F54" s="195">
        <f>SHF!F17</f>
        <v>230</v>
      </c>
      <c r="G54" s="210"/>
      <c r="H54" s="34"/>
      <c r="I54" s="195">
        <f>SHF!I17</f>
        <v>-115</v>
      </c>
      <c r="J54" s="195">
        <f>SHF!J17</f>
        <v>0</v>
      </c>
      <c r="K54" s="273"/>
      <c r="L54" s="274"/>
      <c r="M54" s="376">
        <v>1</v>
      </c>
    </row>
    <row r="55" spans="1:13">
      <c r="A55" s="25" t="s">
        <v>251</v>
      </c>
      <c r="B55" s="26" t="s">
        <v>968</v>
      </c>
      <c r="C55" s="26"/>
      <c r="D55" s="26"/>
      <c r="E55" s="27"/>
      <c r="F55" s="195">
        <f>SHF!F18</f>
        <v>20.660000000000004</v>
      </c>
      <c r="G55" s="210"/>
      <c r="H55" s="34"/>
      <c r="I55" s="195">
        <f>SHF!I18</f>
        <v>-10.330000000000002</v>
      </c>
      <c r="J55" s="195">
        <f>SHF!J18</f>
        <v>0</v>
      </c>
      <c r="K55" s="273"/>
      <c r="L55" s="274"/>
      <c r="M55" s="376">
        <v>1</v>
      </c>
    </row>
    <row r="56" spans="1:13">
      <c r="A56" s="25" t="s">
        <v>97</v>
      </c>
      <c r="B56" s="26" t="s">
        <v>969</v>
      </c>
      <c r="C56" s="26"/>
      <c r="D56" s="26"/>
      <c r="E56" s="27"/>
      <c r="F56" s="195">
        <f>SHF!F19</f>
        <v>42</v>
      </c>
      <c r="G56" s="210"/>
      <c r="H56" s="34"/>
      <c r="I56" s="195">
        <f>SHF!I19</f>
        <v>-14.858499999999999</v>
      </c>
      <c r="J56" s="195">
        <f>SHF!J19</f>
        <v>0</v>
      </c>
      <c r="K56" s="273"/>
      <c r="L56" s="274"/>
      <c r="M56" s="376">
        <v>1</v>
      </c>
    </row>
    <row r="57" spans="1:13">
      <c r="A57" s="25" t="s">
        <v>250</v>
      </c>
      <c r="B57" s="26" t="s">
        <v>970</v>
      </c>
      <c r="C57" s="26"/>
      <c r="D57" s="26"/>
      <c r="E57" s="27"/>
      <c r="F57" s="195">
        <f>SHF!F21</f>
        <v>230</v>
      </c>
      <c r="G57" s="210"/>
      <c r="H57" s="34"/>
      <c r="I57" s="195">
        <f>SHF!I21</f>
        <v>115</v>
      </c>
      <c r="J57" s="195">
        <f>SHF!J21</f>
        <v>0</v>
      </c>
      <c r="K57" s="273"/>
      <c r="L57" s="274"/>
      <c r="M57" s="376">
        <v>1</v>
      </c>
    </row>
    <row r="58" spans="1:13">
      <c r="A58" s="25" t="s">
        <v>251</v>
      </c>
      <c r="B58" s="26" t="s">
        <v>971</v>
      </c>
      <c r="C58" s="26"/>
      <c r="D58" s="26"/>
      <c r="E58" s="27"/>
      <c r="F58" s="195">
        <f>SHF!F22</f>
        <v>20.660000000000004</v>
      </c>
      <c r="G58" s="210"/>
      <c r="H58" s="34"/>
      <c r="I58" s="195">
        <f>SHF!I22</f>
        <v>10.330000000000002</v>
      </c>
      <c r="J58" s="195">
        <f>SHF!J22</f>
        <v>0</v>
      </c>
      <c r="K58" s="273"/>
      <c r="L58" s="274"/>
      <c r="M58" s="268">
        <v>1</v>
      </c>
    </row>
    <row r="59" spans="1:13">
      <c r="A59" s="25" t="s">
        <v>97</v>
      </c>
      <c r="B59" s="26" t="s">
        <v>972</v>
      </c>
      <c r="C59" s="26"/>
      <c r="D59" s="26"/>
      <c r="E59" s="27"/>
      <c r="F59" s="195">
        <f>SHF!F23</f>
        <v>42</v>
      </c>
      <c r="G59" s="210"/>
      <c r="H59" s="34"/>
      <c r="I59" s="195">
        <f>SHF!I23</f>
        <v>14.858499999999999</v>
      </c>
      <c r="J59" s="195">
        <f>SHF!J23</f>
        <v>0</v>
      </c>
      <c r="K59" s="273"/>
      <c r="L59" s="274"/>
      <c r="M59" s="376">
        <v>1</v>
      </c>
    </row>
    <row r="60" spans="1:13">
      <c r="A60" s="25" t="s">
        <v>976</v>
      </c>
      <c r="B60" s="26" t="s">
        <v>978</v>
      </c>
      <c r="C60" s="26"/>
      <c r="D60" s="26"/>
      <c r="E60" s="27"/>
      <c r="F60" s="195">
        <f>SHF!F27</f>
        <v>65.160399999999996</v>
      </c>
      <c r="G60" s="210"/>
      <c r="H60" s="34"/>
      <c r="I60" s="195">
        <f>SHF!I27</f>
        <v>-32.580199999999998</v>
      </c>
      <c r="J60" s="195">
        <f>SHF!J27</f>
        <v>-10.105732306306301</v>
      </c>
      <c r="K60" s="273"/>
      <c r="L60" s="274"/>
      <c r="M60" s="823">
        <v>1</v>
      </c>
    </row>
    <row r="61" spans="1:13">
      <c r="A61" s="25" t="s">
        <v>977</v>
      </c>
      <c r="B61" s="26" t="s">
        <v>979</v>
      </c>
      <c r="C61" s="26"/>
      <c r="D61" s="26"/>
      <c r="E61" s="27"/>
      <c r="F61" s="195">
        <f>SHF!F28</f>
        <v>75.185314285714313</v>
      </c>
      <c r="G61" s="210"/>
      <c r="H61" s="34"/>
      <c r="I61" s="195">
        <f>SHF!I28</f>
        <v>37.592657142857156</v>
      </c>
      <c r="J61" s="195">
        <f>SHF!J28</f>
        <v>-11.660497166023164</v>
      </c>
      <c r="K61" s="273"/>
      <c r="L61" s="274"/>
      <c r="M61" s="823">
        <v>1</v>
      </c>
    </row>
    <row r="62" spans="1:13">
      <c r="A62" s="25" t="s">
        <v>984</v>
      </c>
      <c r="B62" s="163" t="s">
        <v>951</v>
      </c>
      <c r="C62" s="26"/>
      <c r="D62" s="26"/>
      <c r="E62" s="27"/>
      <c r="F62" s="34"/>
      <c r="G62" s="195">
        <f>SHF!G35</f>
        <v>32.051277714285717</v>
      </c>
      <c r="H62" s="34"/>
      <c r="I62" s="195">
        <f>SHF!I35</f>
        <v>207.69227958857149</v>
      </c>
      <c r="J62" s="34"/>
      <c r="K62" s="273"/>
      <c r="L62" s="274"/>
      <c r="M62" s="376">
        <v>1</v>
      </c>
    </row>
    <row r="63" spans="1:13">
      <c r="A63" s="253"/>
      <c r="B63" s="15"/>
      <c r="C63" s="15"/>
      <c r="D63" s="15"/>
      <c r="E63" s="22"/>
      <c r="F63" s="212"/>
      <c r="G63" s="213"/>
      <c r="H63" s="198"/>
      <c r="I63" s="198"/>
      <c r="J63" s="58"/>
      <c r="K63" s="74"/>
      <c r="L63" s="277"/>
      <c r="M63" s="379"/>
    </row>
    <row r="64" spans="1:13">
      <c r="A64" s="46"/>
      <c r="B64" s="46"/>
      <c r="C64" s="46"/>
      <c r="D64" s="46"/>
      <c r="E64" s="46"/>
      <c r="F64" s="46"/>
      <c r="G64" s="46"/>
      <c r="H64" s="46"/>
      <c r="I64" s="46"/>
      <c r="J64" s="46"/>
      <c r="K64" s="116"/>
      <c r="L64" s="270"/>
      <c r="M64" s="87"/>
    </row>
    <row r="65" spans="1:13">
      <c r="A65" s="220" t="s">
        <v>73</v>
      </c>
      <c r="B65" s="220" t="s">
        <v>74</v>
      </c>
      <c r="C65" s="200"/>
      <c r="D65" s="200"/>
      <c r="E65" s="217"/>
      <c r="F65" s="1636" t="s">
        <v>72</v>
      </c>
      <c r="G65" s="1637"/>
      <c r="H65" s="1637"/>
      <c r="I65" s="1637"/>
      <c r="J65" s="1638"/>
      <c r="K65" s="116"/>
      <c r="L65" s="270"/>
      <c r="M65" s="87"/>
    </row>
    <row r="66" spans="1:13" ht="18">
      <c r="A66" s="221"/>
      <c r="B66" s="221"/>
      <c r="C66" s="201"/>
      <c r="D66" s="201"/>
      <c r="E66" s="219"/>
      <c r="F66" s="223" t="s">
        <v>23</v>
      </c>
      <c r="G66" s="223" t="s">
        <v>87</v>
      </c>
      <c r="H66" s="223" t="s">
        <v>212</v>
      </c>
      <c r="I66" s="223" t="s">
        <v>80</v>
      </c>
      <c r="J66" s="223" t="s">
        <v>81</v>
      </c>
      <c r="K66" s="116"/>
      <c r="L66" s="270"/>
      <c r="M66" s="87"/>
    </row>
    <row r="67" spans="1:13">
      <c r="A67" s="222"/>
      <c r="B67" s="222"/>
      <c r="C67" s="203"/>
      <c r="D67" s="203"/>
      <c r="E67" s="218"/>
      <c r="F67" s="204" t="s">
        <v>34</v>
      </c>
      <c r="G67" s="204" t="s">
        <v>34</v>
      </c>
      <c r="H67" s="203" t="s">
        <v>34</v>
      </c>
      <c r="I67" s="204" t="s">
        <v>77</v>
      </c>
      <c r="J67" s="204" t="s">
        <v>77</v>
      </c>
      <c r="K67" s="116"/>
      <c r="L67" s="270"/>
      <c r="M67" s="87"/>
    </row>
    <row r="68" spans="1:13">
      <c r="A68" s="202"/>
      <c r="B68" s="200"/>
      <c r="C68" s="200"/>
      <c r="D68" s="200"/>
      <c r="E68" s="217"/>
      <c r="F68" s="205"/>
      <c r="G68" s="205"/>
      <c r="H68" s="201"/>
      <c r="I68" s="205"/>
      <c r="J68" s="205"/>
      <c r="K68" s="116"/>
      <c r="L68" s="270"/>
      <c r="M68" s="87"/>
    </row>
    <row r="69" spans="1:13">
      <c r="A69" s="205" t="str">
        <f>A50</f>
        <v>LC-3</v>
      </c>
      <c r="B69" s="201" t="str">
        <f>B50</f>
        <v>LWL RARE, NS LWL DL, SIDL, LL Max reaction</v>
      </c>
      <c r="C69" s="201"/>
      <c r="D69" s="201"/>
      <c r="E69" s="219"/>
      <c r="F69" s="1054">
        <f>SUMPRODUCT(F53:F62,$M$53:$M$62)</f>
        <v>891.08875295053963</v>
      </c>
      <c r="G69" s="1055">
        <f>SUMPRODUCT(G53:G62,$M$53:$M$62)</f>
        <v>32.051277714285717</v>
      </c>
      <c r="H69" s="1055">
        <f>SUMPRODUCT(H53:H62,$M$53:$M$62)</f>
        <v>0</v>
      </c>
      <c r="I69" s="1055">
        <f>SUMPRODUCT(I53:I62,$M$53:$M$62)</f>
        <v>212.70473673142865</v>
      </c>
      <c r="J69" s="1055">
        <f>SUMPRODUCT(J53:J62,$M$53:$M$62)</f>
        <v>-21.766229472329464</v>
      </c>
      <c r="K69" s="116"/>
      <c r="L69" s="270"/>
      <c r="M69" s="87"/>
    </row>
    <row r="70" spans="1:13">
      <c r="A70" s="204"/>
      <c r="B70" s="203"/>
      <c r="C70" s="203"/>
      <c r="D70" s="203"/>
      <c r="E70" s="218"/>
      <c r="F70" s="204"/>
      <c r="G70" s="204"/>
      <c r="H70" s="203"/>
      <c r="I70" s="204"/>
      <c r="J70" s="204"/>
      <c r="K70" s="116"/>
      <c r="L70" s="270"/>
      <c r="M70" s="87"/>
    </row>
    <row r="71" spans="1:13">
      <c r="A71" s="1"/>
      <c r="B71" s="1"/>
      <c r="C71" s="1"/>
      <c r="D71" s="1"/>
      <c r="E71" s="1"/>
      <c r="F71" s="1"/>
      <c r="G71" s="1"/>
      <c r="H71" s="1"/>
      <c r="I71" s="1"/>
      <c r="J71" s="1"/>
      <c r="K71" s="1"/>
      <c r="L71" s="1"/>
      <c r="M71" s="1"/>
    </row>
    <row r="72" spans="1:13">
      <c r="A72" s="1"/>
      <c r="B72" s="1"/>
      <c r="C72" s="1"/>
      <c r="D72" s="1"/>
      <c r="E72" s="1"/>
      <c r="F72" s="1"/>
      <c r="G72" s="1"/>
      <c r="H72" s="1"/>
      <c r="I72" s="1"/>
      <c r="J72" s="1"/>
      <c r="K72" s="1"/>
      <c r="L72" s="1"/>
      <c r="M72" s="1"/>
    </row>
    <row r="73" spans="1:13">
      <c r="A73" s="225" t="str">
        <f>M73</f>
        <v>LC-4</v>
      </c>
      <c r="B73" s="24" t="str">
        <f>VLOOKUP(A73,LC_DEF_2!A95:B100,2,FALSE)</f>
        <v>LWL RARE, NS LWL DL, SIDL, LL Max Long. Moment</v>
      </c>
      <c r="C73" s="24"/>
      <c r="D73" s="24"/>
      <c r="E73" s="21"/>
      <c r="F73" s="1599" t="s">
        <v>742</v>
      </c>
      <c r="G73" s="1635"/>
      <c r="H73" s="1635"/>
      <c r="I73" s="1635"/>
      <c r="J73" s="1600"/>
      <c r="K73" s="73"/>
      <c r="L73" s="272"/>
      <c r="M73" s="93" t="s">
        <v>214</v>
      </c>
    </row>
    <row r="74" spans="1:13" ht="18">
      <c r="A74" s="25" t="s">
        <v>73</v>
      </c>
      <c r="B74" s="26" t="s">
        <v>74</v>
      </c>
      <c r="C74" s="26"/>
      <c r="D74" s="26"/>
      <c r="E74" s="27"/>
      <c r="F74" s="33" t="s">
        <v>23</v>
      </c>
      <c r="G74" s="33" t="s">
        <v>87</v>
      </c>
      <c r="H74" s="33" t="s">
        <v>212</v>
      </c>
      <c r="I74" s="33" t="s">
        <v>80</v>
      </c>
      <c r="J74" s="33" t="s">
        <v>81</v>
      </c>
      <c r="K74" s="273"/>
      <c r="L74" s="274"/>
      <c r="M74" s="376"/>
    </row>
    <row r="75" spans="1:13">
      <c r="A75" s="25"/>
      <c r="B75" s="26"/>
      <c r="C75" s="26"/>
      <c r="D75" s="26"/>
      <c r="E75" s="27"/>
      <c r="F75" s="36" t="s">
        <v>34</v>
      </c>
      <c r="G75" s="36" t="s">
        <v>34</v>
      </c>
      <c r="H75" s="36" t="s">
        <v>34</v>
      </c>
      <c r="I75" s="36" t="s">
        <v>77</v>
      </c>
      <c r="J75" s="36" t="s">
        <v>77</v>
      </c>
      <c r="K75" s="74"/>
      <c r="L75" s="277"/>
      <c r="M75" s="376"/>
    </row>
    <row r="76" spans="1:13">
      <c r="A76" s="25" t="s">
        <v>88</v>
      </c>
      <c r="B76" s="26" t="s">
        <v>75</v>
      </c>
      <c r="C76" s="26"/>
      <c r="D76" s="26"/>
      <c r="E76" s="27"/>
      <c r="F76" s="195">
        <f>SHF!F14</f>
        <v>165.42303866482536</v>
      </c>
      <c r="G76" s="210"/>
      <c r="H76" s="34"/>
      <c r="I76" s="195">
        <f>SHF!I14</f>
        <v>0</v>
      </c>
      <c r="J76" s="195">
        <f>SHF!J14</f>
        <v>0</v>
      </c>
      <c r="K76" s="273"/>
      <c r="L76" s="274"/>
      <c r="M76" s="268">
        <v>1</v>
      </c>
    </row>
    <row r="77" spans="1:13">
      <c r="A77" s="25" t="s">
        <v>250</v>
      </c>
      <c r="B77" s="26" t="s">
        <v>967</v>
      </c>
      <c r="C77" s="26"/>
      <c r="D77" s="26"/>
      <c r="E77" s="27"/>
      <c r="F77" s="195">
        <f>SHF!F17</f>
        <v>230</v>
      </c>
      <c r="G77" s="210"/>
      <c r="H77" s="34"/>
      <c r="I77" s="195">
        <f>SHF!I17</f>
        <v>-115</v>
      </c>
      <c r="J77" s="195">
        <f>SHF!J17</f>
        <v>0</v>
      </c>
      <c r="K77" s="273"/>
      <c r="L77" s="274"/>
      <c r="M77" s="376">
        <v>1</v>
      </c>
    </row>
    <row r="78" spans="1:13">
      <c r="A78" s="25" t="s">
        <v>251</v>
      </c>
      <c r="B78" s="26" t="s">
        <v>968</v>
      </c>
      <c r="C78" s="26"/>
      <c r="D78" s="26"/>
      <c r="E78" s="27"/>
      <c r="F78" s="195">
        <f>SHF!F18</f>
        <v>20.660000000000004</v>
      </c>
      <c r="G78" s="210"/>
      <c r="H78" s="34"/>
      <c r="I78" s="195">
        <f>SHF!I18</f>
        <v>-10.330000000000002</v>
      </c>
      <c r="J78" s="195">
        <f>SHF!J18</f>
        <v>0</v>
      </c>
      <c r="K78" s="273"/>
      <c r="L78" s="274"/>
      <c r="M78" s="376">
        <v>1</v>
      </c>
    </row>
    <row r="79" spans="1:13">
      <c r="A79" s="25" t="s">
        <v>97</v>
      </c>
      <c r="B79" s="26" t="s">
        <v>969</v>
      </c>
      <c r="C79" s="26"/>
      <c r="D79" s="26"/>
      <c r="E79" s="27"/>
      <c r="F79" s="195">
        <f>SHF!F19</f>
        <v>42</v>
      </c>
      <c r="G79" s="210"/>
      <c r="H79" s="34"/>
      <c r="I79" s="195">
        <f>SHF!I19</f>
        <v>-14.858499999999999</v>
      </c>
      <c r="J79" s="195">
        <f>SHF!J19</f>
        <v>0</v>
      </c>
      <c r="K79" s="273"/>
      <c r="L79" s="274"/>
      <c r="M79" s="376">
        <v>1</v>
      </c>
    </row>
    <row r="80" spans="1:13">
      <c r="A80" s="25" t="s">
        <v>250</v>
      </c>
      <c r="B80" s="26" t="s">
        <v>970</v>
      </c>
      <c r="C80" s="26"/>
      <c r="D80" s="26"/>
      <c r="E80" s="27"/>
      <c r="F80" s="195">
        <f>SHF!F21</f>
        <v>230</v>
      </c>
      <c r="G80" s="210"/>
      <c r="H80" s="34"/>
      <c r="I80" s="195">
        <f>SHF!I21</f>
        <v>115</v>
      </c>
      <c r="J80" s="195">
        <f>SHF!J21</f>
        <v>0</v>
      </c>
      <c r="K80" s="273"/>
      <c r="L80" s="274"/>
      <c r="M80" s="376">
        <v>1</v>
      </c>
    </row>
    <row r="81" spans="1:13">
      <c r="A81" s="25" t="s">
        <v>251</v>
      </c>
      <c r="B81" s="26" t="s">
        <v>971</v>
      </c>
      <c r="C81" s="26"/>
      <c r="D81" s="26"/>
      <c r="E81" s="27"/>
      <c r="F81" s="195">
        <f>SHF!F22</f>
        <v>20.660000000000004</v>
      </c>
      <c r="G81" s="210"/>
      <c r="H81" s="34"/>
      <c r="I81" s="195">
        <f>SHF!I22</f>
        <v>10.330000000000002</v>
      </c>
      <c r="J81" s="195">
        <f>SHF!J22</f>
        <v>0</v>
      </c>
      <c r="K81" s="273"/>
      <c r="L81" s="274"/>
      <c r="M81" s="268">
        <v>1</v>
      </c>
    </row>
    <row r="82" spans="1:13">
      <c r="A82" s="25" t="s">
        <v>97</v>
      </c>
      <c r="B82" s="26" t="s">
        <v>972</v>
      </c>
      <c r="C82" s="26"/>
      <c r="D82" s="26"/>
      <c r="E82" s="27"/>
      <c r="F82" s="195">
        <f>SHF!F23</f>
        <v>42</v>
      </c>
      <c r="G82" s="210"/>
      <c r="H82" s="34"/>
      <c r="I82" s="195">
        <f>SHF!I23</f>
        <v>14.858499999999999</v>
      </c>
      <c r="J82" s="195">
        <f>SHF!J23</f>
        <v>0</v>
      </c>
      <c r="K82" s="273"/>
      <c r="L82" s="274"/>
      <c r="M82" s="376">
        <v>1</v>
      </c>
    </row>
    <row r="83" spans="1:13">
      <c r="A83" s="25" t="s">
        <v>976</v>
      </c>
      <c r="B83" s="26" t="s">
        <v>981</v>
      </c>
      <c r="C83" s="26"/>
      <c r="D83" s="26"/>
      <c r="E83" s="27"/>
      <c r="F83" s="195">
        <f>SHF!F31</f>
        <v>0</v>
      </c>
      <c r="G83" s="210"/>
      <c r="H83" s="34"/>
      <c r="I83" s="195">
        <f>SHF!I31</f>
        <v>0</v>
      </c>
      <c r="J83" s="195">
        <f>SHF!J31</f>
        <v>0</v>
      </c>
      <c r="K83" s="273"/>
      <c r="L83" s="274"/>
      <c r="M83" s="823">
        <v>1</v>
      </c>
    </row>
    <row r="84" spans="1:13">
      <c r="A84" s="25" t="s">
        <v>977</v>
      </c>
      <c r="B84" s="26" t="s">
        <v>982</v>
      </c>
      <c r="C84" s="26"/>
      <c r="D84" s="26"/>
      <c r="E84" s="27"/>
      <c r="F84" s="195">
        <f>SHF!F32</f>
        <v>127.89948571428575</v>
      </c>
      <c r="G84" s="210"/>
      <c r="H84" s="34"/>
      <c r="I84" s="195">
        <f>SHF!I32</f>
        <v>63.949742857142873</v>
      </c>
      <c r="J84" s="195">
        <f>SHF!J32</f>
        <v>-19.835942761904757</v>
      </c>
      <c r="K84" s="273"/>
      <c r="L84" s="274"/>
      <c r="M84" s="268">
        <v>1</v>
      </c>
    </row>
    <row r="85" spans="1:13">
      <c r="A85" s="25" t="s">
        <v>985</v>
      </c>
      <c r="B85" s="163" t="s">
        <v>953</v>
      </c>
      <c r="C85" s="26"/>
      <c r="D85" s="26"/>
      <c r="E85" s="27"/>
      <c r="F85" s="34"/>
      <c r="G85" s="195">
        <f>SHF!G36</f>
        <v>29.998225714285713</v>
      </c>
      <c r="H85" s="34"/>
      <c r="I85" s="195">
        <f>SHF!I36</f>
        <v>194.38850262857147</v>
      </c>
      <c r="J85" s="34"/>
      <c r="K85" s="273"/>
      <c r="L85" s="274"/>
      <c r="M85" s="376">
        <v>1</v>
      </c>
    </row>
    <row r="86" spans="1:13">
      <c r="A86" s="253"/>
      <c r="B86" s="15"/>
      <c r="C86" s="15"/>
      <c r="D86" s="15"/>
      <c r="E86" s="22"/>
      <c r="F86" s="212"/>
      <c r="G86" s="213"/>
      <c r="H86" s="198"/>
      <c r="I86" s="198"/>
      <c r="J86" s="58"/>
      <c r="K86" s="74"/>
      <c r="L86" s="277"/>
      <c r="M86" s="379"/>
    </row>
    <row r="87" spans="1:13">
      <c r="A87" s="46"/>
      <c r="B87" s="46"/>
      <c r="C87" s="46"/>
      <c r="D87" s="46"/>
      <c r="E87" s="46"/>
      <c r="F87" s="46"/>
      <c r="G87" s="46"/>
      <c r="H87" s="46"/>
      <c r="I87" s="46"/>
      <c r="J87" s="46"/>
      <c r="K87" s="116"/>
      <c r="L87" s="270"/>
      <c r="M87" s="87"/>
    </row>
    <row r="88" spans="1:13">
      <c r="A88" s="220" t="s">
        <v>73</v>
      </c>
      <c r="B88" s="220" t="s">
        <v>74</v>
      </c>
      <c r="C88" s="200"/>
      <c r="D88" s="200"/>
      <c r="E88" s="217"/>
      <c r="F88" s="1636" t="s">
        <v>72</v>
      </c>
      <c r="G88" s="1637"/>
      <c r="H88" s="1637"/>
      <c r="I88" s="1637"/>
      <c r="J88" s="1638"/>
      <c r="K88" s="116"/>
      <c r="L88" s="270"/>
      <c r="M88" s="87"/>
    </row>
    <row r="89" spans="1:13" ht="18">
      <c r="A89" s="221"/>
      <c r="B89" s="221"/>
      <c r="C89" s="201"/>
      <c r="D89" s="201"/>
      <c r="E89" s="219"/>
      <c r="F89" s="223" t="s">
        <v>23</v>
      </c>
      <c r="G89" s="223" t="s">
        <v>87</v>
      </c>
      <c r="H89" s="223" t="s">
        <v>212</v>
      </c>
      <c r="I89" s="223" t="s">
        <v>80</v>
      </c>
      <c r="J89" s="223" t="s">
        <v>81</v>
      </c>
      <c r="K89" s="116"/>
      <c r="L89" s="270"/>
      <c r="M89" s="87"/>
    </row>
    <row r="90" spans="1:13">
      <c r="A90" s="222"/>
      <c r="B90" s="222"/>
      <c r="C90" s="203"/>
      <c r="D90" s="203"/>
      <c r="E90" s="218"/>
      <c r="F90" s="204" t="s">
        <v>34</v>
      </c>
      <c r="G90" s="204" t="s">
        <v>34</v>
      </c>
      <c r="H90" s="203" t="s">
        <v>34</v>
      </c>
      <c r="I90" s="204" t="s">
        <v>77</v>
      </c>
      <c r="J90" s="204" t="s">
        <v>77</v>
      </c>
      <c r="K90" s="116"/>
      <c r="L90" s="270"/>
      <c r="M90" s="87"/>
    </row>
    <row r="91" spans="1:13">
      <c r="A91" s="202"/>
      <c r="B91" s="200"/>
      <c r="C91" s="200"/>
      <c r="D91" s="200"/>
      <c r="E91" s="217"/>
      <c r="F91" s="205"/>
      <c r="G91" s="205"/>
      <c r="H91" s="201"/>
      <c r="I91" s="205"/>
      <c r="J91" s="205"/>
      <c r="K91" s="116"/>
      <c r="L91" s="270"/>
      <c r="M91" s="87"/>
    </row>
    <row r="92" spans="1:13">
      <c r="A92" s="205" t="str">
        <f>A73</f>
        <v>LC-4</v>
      </c>
      <c r="B92" s="201" t="str">
        <f>B73</f>
        <v>LWL RARE, NS LWL DL, SIDL, LL Max Long. Moment</v>
      </c>
      <c r="C92" s="201"/>
      <c r="D92" s="201"/>
      <c r="E92" s="219"/>
      <c r="F92" s="1054">
        <f>SUMPRODUCT(F76:F85,$M$76:$M$85)</f>
        <v>878.64252437911114</v>
      </c>
      <c r="G92" s="1055">
        <f>SUMPRODUCT(G76:G85,$M$76:$M$85)</f>
        <v>29.998225714285713</v>
      </c>
      <c r="H92" s="1055">
        <f>SUMPRODUCT(H76:H85,$M$76:$M$85)</f>
        <v>0</v>
      </c>
      <c r="I92" s="1055">
        <f>SUMPRODUCT(I76:I85,$M$76:$M$85)</f>
        <v>258.33824548571431</v>
      </c>
      <c r="J92" s="1055">
        <f>SUMPRODUCT(J76:J85,$M$76:$M$85)</f>
        <v>-19.835942761904757</v>
      </c>
      <c r="K92" s="116"/>
      <c r="L92" s="270"/>
      <c r="M92" s="87"/>
    </row>
    <row r="93" spans="1:13">
      <c r="A93" s="204"/>
      <c r="B93" s="203"/>
      <c r="C93" s="203"/>
      <c r="D93" s="203"/>
      <c r="E93" s="218"/>
      <c r="F93" s="204"/>
      <c r="G93" s="204"/>
      <c r="H93" s="203"/>
      <c r="I93" s="204"/>
      <c r="J93" s="204"/>
      <c r="K93" s="116"/>
      <c r="L93" s="270"/>
      <c r="M93" s="87"/>
    </row>
    <row r="94" spans="1:13">
      <c r="A94" s="1"/>
      <c r="B94" s="1"/>
      <c r="C94" s="1"/>
      <c r="D94" s="1"/>
      <c r="E94" s="1"/>
      <c r="F94" s="1"/>
      <c r="G94" s="1"/>
      <c r="H94" s="1"/>
      <c r="I94" s="1"/>
      <c r="J94" s="1"/>
      <c r="K94" s="1"/>
      <c r="L94" s="1"/>
      <c r="M94" s="1"/>
    </row>
    <row r="95" spans="1:13">
      <c r="A95" s="1"/>
      <c r="B95" s="1"/>
      <c r="C95" s="1"/>
      <c r="D95" s="1"/>
      <c r="E95" s="1"/>
      <c r="F95" s="1"/>
      <c r="G95" s="1"/>
      <c r="H95" s="1"/>
      <c r="I95" s="1"/>
      <c r="J95" s="1"/>
      <c r="K95" s="1"/>
      <c r="L95" s="1"/>
      <c r="M95" s="1"/>
    </row>
    <row r="96" spans="1:13">
      <c r="A96" s="225" t="str">
        <f>M96</f>
        <v>LC-5</v>
      </c>
      <c r="B96" s="24" t="str">
        <f>VLOOKUP(A96,LC_DEF_2!A95:B100,2,FALSE)</f>
        <v>HFL RARE, NS LWL DL, SIDL, LL Max reaction</v>
      </c>
      <c r="C96" s="24"/>
      <c r="D96" s="24"/>
      <c r="E96" s="21"/>
      <c r="F96" s="1599" t="s">
        <v>742</v>
      </c>
      <c r="G96" s="1635"/>
      <c r="H96" s="1635"/>
      <c r="I96" s="1635"/>
      <c r="J96" s="1600"/>
      <c r="K96" s="73"/>
      <c r="L96" s="272"/>
      <c r="M96" s="93" t="s">
        <v>215</v>
      </c>
    </row>
    <row r="97" spans="1:13" ht="18">
      <c r="A97" s="25" t="s">
        <v>73</v>
      </c>
      <c r="B97" s="26" t="s">
        <v>74</v>
      </c>
      <c r="C97" s="26"/>
      <c r="D97" s="26"/>
      <c r="E97" s="27"/>
      <c r="F97" s="33" t="s">
        <v>23</v>
      </c>
      <c r="G97" s="33" t="s">
        <v>87</v>
      </c>
      <c r="H97" s="33" t="s">
        <v>212</v>
      </c>
      <c r="I97" s="33" t="s">
        <v>80</v>
      </c>
      <c r="J97" s="33" t="s">
        <v>81</v>
      </c>
      <c r="K97" s="273"/>
      <c r="L97" s="274"/>
      <c r="M97" s="376"/>
    </row>
    <row r="98" spans="1:13">
      <c r="A98" s="25"/>
      <c r="B98" s="26"/>
      <c r="C98" s="26"/>
      <c r="D98" s="26"/>
      <c r="E98" s="27"/>
      <c r="F98" s="36" t="s">
        <v>34</v>
      </c>
      <c r="G98" s="36" t="s">
        <v>34</v>
      </c>
      <c r="H98" s="36" t="s">
        <v>34</v>
      </c>
      <c r="I98" s="36" t="s">
        <v>77</v>
      </c>
      <c r="J98" s="36" t="s">
        <v>77</v>
      </c>
      <c r="K98" s="74"/>
      <c r="L98" s="277"/>
      <c r="M98" s="376"/>
    </row>
    <row r="99" spans="1:13">
      <c r="A99" s="25" t="s">
        <v>88</v>
      </c>
      <c r="B99" s="26" t="s">
        <v>75</v>
      </c>
      <c r="C99" s="26"/>
      <c r="D99" s="26"/>
      <c r="E99" s="27"/>
      <c r="F99" s="195">
        <f>SHF!F14</f>
        <v>165.42303866482536</v>
      </c>
      <c r="G99" s="210"/>
      <c r="H99" s="34"/>
      <c r="I99" s="195">
        <f>SHF!I14</f>
        <v>0</v>
      </c>
      <c r="J99" s="195">
        <f>SHF!J14</f>
        <v>0</v>
      </c>
      <c r="K99" s="273"/>
      <c r="L99" s="274"/>
      <c r="M99" s="268">
        <v>1</v>
      </c>
    </row>
    <row r="100" spans="1:13">
      <c r="A100" s="25" t="s">
        <v>250</v>
      </c>
      <c r="B100" s="26" t="s">
        <v>967</v>
      </c>
      <c r="C100" s="26"/>
      <c r="D100" s="26"/>
      <c r="E100" s="27"/>
      <c r="F100" s="195">
        <f>SHF!F17</f>
        <v>230</v>
      </c>
      <c r="G100" s="210"/>
      <c r="H100" s="34"/>
      <c r="I100" s="195">
        <f>SHF!I17</f>
        <v>-115</v>
      </c>
      <c r="J100" s="195">
        <f>SHF!J17</f>
        <v>0</v>
      </c>
      <c r="K100" s="273"/>
      <c r="L100" s="274"/>
      <c r="M100" s="376">
        <v>1</v>
      </c>
    </row>
    <row r="101" spans="1:13">
      <c r="A101" s="25" t="s">
        <v>251</v>
      </c>
      <c r="B101" s="26" t="s">
        <v>968</v>
      </c>
      <c r="C101" s="26"/>
      <c r="D101" s="26"/>
      <c r="E101" s="27"/>
      <c r="F101" s="195">
        <f>SHF!F18</f>
        <v>20.660000000000004</v>
      </c>
      <c r="G101" s="210"/>
      <c r="H101" s="34"/>
      <c r="I101" s="195">
        <f>SHF!I18</f>
        <v>-10.330000000000002</v>
      </c>
      <c r="J101" s="195">
        <f>SHF!J18</f>
        <v>0</v>
      </c>
      <c r="K101" s="273"/>
      <c r="L101" s="274"/>
      <c r="M101" s="376">
        <v>1</v>
      </c>
    </row>
    <row r="102" spans="1:13">
      <c r="A102" s="25" t="s">
        <v>97</v>
      </c>
      <c r="B102" s="26" t="s">
        <v>969</v>
      </c>
      <c r="C102" s="26"/>
      <c r="D102" s="26"/>
      <c r="E102" s="27"/>
      <c r="F102" s="195">
        <f>SHF!F19</f>
        <v>42</v>
      </c>
      <c r="G102" s="210"/>
      <c r="H102" s="34"/>
      <c r="I102" s="195">
        <f>SHF!I19</f>
        <v>-14.858499999999999</v>
      </c>
      <c r="J102" s="195">
        <f>SHF!J19</f>
        <v>0</v>
      </c>
      <c r="K102" s="273"/>
      <c r="L102" s="274"/>
      <c r="M102" s="376">
        <v>1</v>
      </c>
    </row>
    <row r="103" spans="1:13">
      <c r="A103" s="25" t="s">
        <v>250</v>
      </c>
      <c r="B103" s="26" t="s">
        <v>970</v>
      </c>
      <c r="C103" s="26"/>
      <c r="D103" s="26"/>
      <c r="E103" s="27"/>
      <c r="F103" s="195">
        <f>SHF!F21</f>
        <v>230</v>
      </c>
      <c r="G103" s="210"/>
      <c r="H103" s="34"/>
      <c r="I103" s="195">
        <f>SHF!I21</f>
        <v>115</v>
      </c>
      <c r="J103" s="195">
        <f>SHF!J21</f>
        <v>0</v>
      </c>
      <c r="K103" s="273"/>
      <c r="L103" s="274"/>
      <c r="M103" s="376">
        <v>1</v>
      </c>
    </row>
    <row r="104" spans="1:13">
      <c r="A104" s="25" t="s">
        <v>251</v>
      </c>
      <c r="B104" s="26" t="s">
        <v>971</v>
      </c>
      <c r="C104" s="26"/>
      <c r="D104" s="26"/>
      <c r="E104" s="27"/>
      <c r="F104" s="195">
        <f>SHF!F22</f>
        <v>20.660000000000004</v>
      </c>
      <c r="G104" s="210"/>
      <c r="H104" s="34"/>
      <c r="I104" s="195">
        <f>SHF!I22</f>
        <v>10.330000000000002</v>
      </c>
      <c r="J104" s="195">
        <f>SHF!J22</f>
        <v>0</v>
      </c>
      <c r="K104" s="273"/>
      <c r="L104" s="274"/>
      <c r="M104" s="268">
        <v>1</v>
      </c>
    </row>
    <row r="105" spans="1:13">
      <c r="A105" s="25" t="s">
        <v>97</v>
      </c>
      <c r="B105" s="26" t="s">
        <v>972</v>
      </c>
      <c r="C105" s="26"/>
      <c r="D105" s="26"/>
      <c r="E105" s="27"/>
      <c r="F105" s="195">
        <f>SHF!F23</f>
        <v>42</v>
      </c>
      <c r="G105" s="210"/>
      <c r="H105" s="34"/>
      <c r="I105" s="195">
        <f>SHF!I23</f>
        <v>14.858499999999999</v>
      </c>
      <c r="J105" s="195">
        <f>SHF!J23</f>
        <v>0</v>
      </c>
      <c r="K105" s="273"/>
      <c r="L105" s="274"/>
      <c r="M105" s="376">
        <v>1</v>
      </c>
    </row>
    <row r="106" spans="1:13">
      <c r="A106" s="25" t="s">
        <v>976</v>
      </c>
      <c r="B106" s="26" t="s">
        <v>978</v>
      </c>
      <c r="C106" s="26"/>
      <c r="D106" s="26"/>
      <c r="E106" s="27"/>
      <c r="F106" s="195">
        <f>SHF!F27</f>
        <v>65.160399999999996</v>
      </c>
      <c r="G106" s="210"/>
      <c r="H106" s="34"/>
      <c r="I106" s="195">
        <f>SHF!I27</f>
        <v>-32.580199999999998</v>
      </c>
      <c r="J106" s="195">
        <f>SHF!J27</f>
        <v>-10.105732306306301</v>
      </c>
      <c r="K106" s="273"/>
      <c r="L106" s="274"/>
      <c r="M106" s="823">
        <v>1</v>
      </c>
    </row>
    <row r="107" spans="1:13">
      <c r="A107" s="25" t="s">
        <v>977</v>
      </c>
      <c r="B107" s="26" t="s">
        <v>979</v>
      </c>
      <c r="C107" s="26"/>
      <c r="D107" s="26"/>
      <c r="E107" s="27"/>
      <c r="F107" s="195">
        <f>SHF!F28</f>
        <v>75.185314285714313</v>
      </c>
      <c r="G107" s="210"/>
      <c r="H107" s="34"/>
      <c r="I107" s="195">
        <f>SHF!I28</f>
        <v>37.592657142857156</v>
      </c>
      <c r="J107" s="195">
        <f>SHF!J28</f>
        <v>-11.660497166023164</v>
      </c>
      <c r="K107" s="273"/>
      <c r="L107" s="274"/>
      <c r="M107" s="823">
        <v>1</v>
      </c>
    </row>
    <row r="108" spans="1:13">
      <c r="A108" s="25" t="s">
        <v>984</v>
      </c>
      <c r="B108" s="163" t="s">
        <v>951</v>
      </c>
      <c r="C108" s="26"/>
      <c r="D108" s="26"/>
      <c r="E108" s="27"/>
      <c r="F108" s="34"/>
      <c r="G108" s="195">
        <f>SHF!G35</f>
        <v>32.051277714285717</v>
      </c>
      <c r="H108" s="34"/>
      <c r="I108" s="195">
        <f>SHF!I35</f>
        <v>207.69227958857149</v>
      </c>
      <c r="J108" s="34"/>
      <c r="K108" s="273"/>
      <c r="L108" s="274"/>
      <c r="M108" s="376">
        <v>1</v>
      </c>
    </row>
    <row r="109" spans="1:13">
      <c r="A109" s="686" t="s">
        <v>1128</v>
      </c>
      <c r="B109" s="687"/>
      <c r="C109" s="688"/>
      <c r="D109" s="688"/>
      <c r="E109" s="689"/>
      <c r="F109" s="195">
        <f>SHF!F40</f>
        <v>-23.695433333970961</v>
      </c>
      <c r="G109" s="689"/>
      <c r="H109" s="690"/>
      <c r="I109" s="195">
        <f>SHF!I40</f>
        <v>0</v>
      </c>
      <c r="J109" s="195">
        <f>SHF!J40</f>
        <v>0</v>
      </c>
      <c r="K109" s="273"/>
      <c r="L109" s="274"/>
      <c r="M109" s="376">
        <v>0.15</v>
      </c>
    </row>
    <row r="110" spans="1:13">
      <c r="A110" s="686" t="s">
        <v>1131</v>
      </c>
      <c r="B110" s="687"/>
      <c r="C110" s="688"/>
      <c r="D110" s="688"/>
      <c r="E110" s="689"/>
      <c r="F110" s="690"/>
      <c r="G110" s="195">
        <f>SHF!G44</f>
        <v>1.566445545112501</v>
      </c>
      <c r="H110" s="195">
        <f>SHF!H44</f>
        <v>0.77082515176153144</v>
      </c>
      <c r="I110" s="195">
        <f>SHF!I44</f>
        <v>2.5854696423507204</v>
      </c>
      <c r="J110" s="195">
        <f>SHF!J44</f>
        <v>1.2722721422765415</v>
      </c>
      <c r="K110" s="273"/>
      <c r="L110" s="274"/>
      <c r="M110" s="376">
        <v>1</v>
      </c>
    </row>
    <row r="111" spans="1:13">
      <c r="A111" s="253"/>
      <c r="B111" s="15"/>
      <c r="C111" s="15"/>
      <c r="D111" s="15"/>
      <c r="E111" s="22"/>
      <c r="F111" s="212"/>
      <c r="G111" s="213"/>
      <c r="H111" s="198"/>
      <c r="I111" s="198"/>
      <c r="J111" s="58"/>
      <c r="K111" s="74"/>
      <c r="L111" s="277"/>
      <c r="M111" s="379"/>
    </row>
    <row r="112" spans="1:13">
      <c r="A112" s="46"/>
      <c r="B112" s="46"/>
      <c r="C112" s="46"/>
      <c r="D112" s="46"/>
      <c r="E112" s="46"/>
      <c r="F112" s="46"/>
      <c r="G112" s="46"/>
      <c r="H112" s="46"/>
      <c r="I112" s="46"/>
      <c r="J112" s="46"/>
      <c r="K112" s="116"/>
      <c r="L112" s="270"/>
      <c r="M112" s="87"/>
    </row>
    <row r="113" spans="1:13">
      <c r="A113" s="220" t="s">
        <v>73</v>
      </c>
      <c r="B113" s="220" t="s">
        <v>74</v>
      </c>
      <c r="C113" s="200"/>
      <c r="D113" s="200"/>
      <c r="E113" s="217"/>
      <c r="F113" s="1636" t="s">
        <v>72</v>
      </c>
      <c r="G113" s="1637"/>
      <c r="H113" s="1637"/>
      <c r="I113" s="1637"/>
      <c r="J113" s="1638"/>
      <c r="K113" s="116"/>
      <c r="L113" s="270"/>
      <c r="M113" s="87"/>
    </row>
    <row r="114" spans="1:13" ht="18">
      <c r="A114" s="221"/>
      <c r="B114" s="221"/>
      <c r="C114" s="201"/>
      <c r="D114" s="201"/>
      <c r="E114" s="219"/>
      <c r="F114" s="223" t="s">
        <v>23</v>
      </c>
      <c r="G114" s="223" t="s">
        <v>87</v>
      </c>
      <c r="H114" s="223" t="s">
        <v>212</v>
      </c>
      <c r="I114" s="223" t="s">
        <v>80</v>
      </c>
      <c r="J114" s="223" t="s">
        <v>81</v>
      </c>
      <c r="K114" s="116"/>
      <c r="L114" s="270"/>
      <c r="M114" s="87"/>
    </row>
    <row r="115" spans="1:13">
      <c r="A115" s="222"/>
      <c r="B115" s="222"/>
      <c r="C115" s="203"/>
      <c r="D115" s="203"/>
      <c r="E115" s="218"/>
      <c r="F115" s="204" t="s">
        <v>34</v>
      </c>
      <c r="G115" s="204" t="s">
        <v>34</v>
      </c>
      <c r="H115" s="203" t="s">
        <v>34</v>
      </c>
      <c r="I115" s="204" t="s">
        <v>77</v>
      </c>
      <c r="J115" s="204" t="s">
        <v>77</v>
      </c>
      <c r="K115" s="116"/>
      <c r="L115" s="270"/>
      <c r="M115" s="87"/>
    </row>
    <row r="116" spans="1:13">
      <c r="A116" s="202"/>
      <c r="B116" s="200"/>
      <c r="C116" s="200"/>
      <c r="D116" s="200"/>
      <c r="E116" s="217"/>
      <c r="F116" s="205"/>
      <c r="G116" s="205"/>
      <c r="H116" s="201"/>
      <c r="I116" s="205"/>
      <c r="J116" s="205"/>
      <c r="K116" s="116"/>
      <c r="L116" s="270"/>
      <c r="M116" s="87"/>
    </row>
    <row r="117" spans="1:13">
      <c r="A117" s="205" t="str">
        <f>A96</f>
        <v>LC-5</v>
      </c>
      <c r="B117" s="201" t="str">
        <f>B96</f>
        <v>HFL RARE, NS LWL DL, SIDL, LL Max reaction</v>
      </c>
      <c r="C117" s="201"/>
      <c r="D117" s="201"/>
      <c r="E117" s="219"/>
      <c r="F117" s="1054">
        <f>SUMPRODUCT(F99:F110,$M$99:$M$110)</f>
        <v>887.53443795044393</v>
      </c>
      <c r="G117" s="1055">
        <f>SUMPRODUCT(G99:G110,$M$99:$M$110)</f>
        <v>33.617723259398218</v>
      </c>
      <c r="H117" s="1055">
        <f>SUMPRODUCT(H99:H110,$M$99:$M$110)</f>
        <v>0.77082515176153144</v>
      </c>
      <c r="I117" s="1055">
        <f>SUMPRODUCT(I99:I110,$M$99:$M$110)</f>
        <v>215.29020637377937</v>
      </c>
      <c r="J117" s="1055">
        <f>SUMPRODUCT(J99:J110,$M$99:$M$110)</f>
        <v>-20.493957330052922</v>
      </c>
      <c r="K117" s="116"/>
      <c r="L117" s="270"/>
      <c r="M117" s="87"/>
    </row>
    <row r="118" spans="1:13">
      <c r="A118" s="204"/>
      <c r="B118" s="203"/>
      <c r="C118" s="203"/>
      <c r="D118" s="203"/>
      <c r="E118" s="218"/>
      <c r="F118" s="204"/>
      <c r="G118" s="204"/>
      <c r="H118" s="203"/>
      <c r="I118" s="204"/>
      <c r="J118" s="204"/>
      <c r="K118" s="116"/>
      <c r="L118" s="270"/>
      <c r="M118" s="87"/>
    </row>
    <row r="119" spans="1:13">
      <c r="A119" s="1"/>
      <c r="B119" s="1"/>
      <c r="C119" s="1"/>
      <c r="D119" s="1"/>
      <c r="E119" s="1"/>
      <c r="F119" s="1"/>
      <c r="G119" s="1"/>
      <c r="H119" s="1"/>
      <c r="I119" s="1"/>
      <c r="J119" s="1"/>
      <c r="K119" s="1"/>
      <c r="L119" s="1"/>
      <c r="M119" s="1"/>
    </row>
    <row r="120" spans="1:13">
      <c r="A120" s="1"/>
      <c r="B120" s="1"/>
      <c r="C120" s="1"/>
      <c r="D120" s="1"/>
      <c r="E120" s="1"/>
      <c r="F120" s="1"/>
      <c r="G120" s="1"/>
      <c r="H120" s="1"/>
      <c r="I120" s="1"/>
      <c r="J120" s="1"/>
      <c r="K120" s="1"/>
      <c r="L120" s="1"/>
      <c r="M120" s="1"/>
    </row>
    <row r="121" spans="1:13">
      <c r="A121" s="225" t="str">
        <f>M121</f>
        <v>LC-6</v>
      </c>
      <c r="B121" s="24" t="str">
        <f>VLOOKUP(A121,LC_DEF_2!A95:B100,2,FALSE)</f>
        <v>HFL RARE, NS LWL DL, SIDL, LL Max Long. Moment</v>
      </c>
      <c r="C121" s="24"/>
      <c r="D121" s="24"/>
      <c r="E121" s="21"/>
      <c r="F121" s="1599" t="s">
        <v>742</v>
      </c>
      <c r="G121" s="1635"/>
      <c r="H121" s="1635"/>
      <c r="I121" s="1635"/>
      <c r="J121" s="1600"/>
      <c r="K121" s="73"/>
      <c r="L121" s="272"/>
      <c r="M121" s="93" t="s">
        <v>216</v>
      </c>
    </row>
    <row r="122" spans="1:13" ht="18">
      <c r="A122" s="25" t="s">
        <v>73</v>
      </c>
      <c r="B122" s="26" t="s">
        <v>74</v>
      </c>
      <c r="C122" s="26"/>
      <c r="D122" s="26"/>
      <c r="E122" s="27"/>
      <c r="F122" s="33" t="s">
        <v>23</v>
      </c>
      <c r="G122" s="33" t="s">
        <v>87</v>
      </c>
      <c r="H122" s="33" t="s">
        <v>212</v>
      </c>
      <c r="I122" s="33" t="s">
        <v>80</v>
      </c>
      <c r="J122" s="33" t="s">
        <v>81</v>
      </c>
      <c r="K122" s="273"/>
      <c r="L122" s="274"/>
      <c r="M122" s="376"/>
    </row>
    <row r="123" spans="1:13">
      <c r="A123" s="25"/>
      <c r="B123" s="26"/>
      <c r="C123" s="26"/>
      <c r="D123" s="26"/>
      <c r="E123" s="27"/>
      <c r="F123" s="36" t="s">
        <v>34</v>
      </c>
      <c r="G123" s="36" t="s">
        <v>34</v>
      </c>
      <c r="H123" s="36" t="s">
        <v>34</v>
      </c>
      <c r="I123" s="36" t="s">
        <v>77</v>
      </c>
      <c r="J123" s="36" t="s">
        <v>77</v>
      </c>
      <c r="K123" s="74"/>
      <c r="L123" s="277"/>
      <c r="M123" s="376"/>
    </row>
    <row r="124" spans="1:13">
      <c r="A124" s="25" t="s">
        <v>88</v>
      </c>
      <c r="B124" s="26" t="s">
        <v>75</v>
      </c>
      <c r="C124" s="26"/>
      <c r="D124" s="26"/>
      <c r="E124" s="27"/>
      <c r="F124" s="195">
        <f>SHF!F14</f>
        <v>165.42303866482536</v>
      </c>
      <c r="G124" s="210"/>
      <c r="H124" s="34"/>
      <c r="I124" s="195">
        <f>SHF!I14</f>
        <v>0</v>
      </c>
      <c r="J124" s="195">
        <f>SHF!J14</f>
        <v>0</v>
      </c>
      <c r="K124" s="273"/>
      <c r="L124" s="274"/>
      <c r="M124" s="268">
        <v>1</v>
      </c>
    </row>
    <row r="125" spans="1:13">
      <c r="A125" s="25" t="s">
        <v>250</v>
      </c>
      <c r="B125" s="26" t="s">
        <v>967</v>
      </c>
      <c r="C125" s="26"/>
      <c r="D125" s="26"/>
      <c r="E125" s="27"/>
      <c r="F125" s="195">
        <f>SHF!F17</f>
        <v>230</v>
      </c>
      <c r="G125" s="210"/>
      <c r="H125" s="34"/>
      <c r="I125" s="195">
        <f>SHF!I17</f>
        <v>-115</v>
      </c>
      <c r="J125" s="195">
        <f>SHF!J17</f>
        <v>0</v>
      </c>
      <c r="K125" s="273"/>
      <c r="L125" s="274"/>
      <c r="M125" s="376">
        <v>1</v>
      </c>
    </row>
    <row r="126" spans="1:13">
      <c r="A126" s="25" t="s">
        <v>251</v>
      </c>
      <c r="B126" s="26" t="s">
        <v>968</v>
      </c>
      <c r="C126" s="26"/>
      <c r="D126" s="26"/>
      <c r="E126" s="27"/>
      <c r="F126" s="195">
        <f>SHF!F18</f>
        <v>20.660000000000004</v>
      </c>
      <c r="G126" s="210"/>
      <c r="H126" s="34"/>
      <c r="I126" s="195">
        <f>SHF!I18</f>
        <v>-10.330000000000002</v>
      </c>
      <c r="J126" s="195">
        <f>SHF!J18</f>
        <v>0</v>
      </c>
      <c r="K126" s="273"/>
      <c r="L126" s="274"/>
      <c r="M126" s="376">
        <v>1</v>
      </c>
    </row>
    <row r="127" spans="1:13">
      <c r="A127" s="25" t="s">
        <v>97</v>
      </c>
      <c r="B127" s="26" t="s">
        <v>969</v>
      </c>
      <c r="C127" s="26"/>
      <c r="D127" s="26"/>
      <c r="E127" s="27"/>
      <c r="F127" s="195">
        <f>SHF!F19</f>
        <v>42</v>
      </c>
      <c r="G127" s="210"/>
      <c r="H127" s="34"/>
      <c r="I127" s="195">
        <f>SHF!I19</f>
        <v>-14.858499999999999</v>
      </c>
      <c r="J127" s="195">
        <f>SHF!J19</f>
        <v>0</v>
      </c>
      <c r="K127" s="273"/>
      <c r="L127" s="274"/>
      <c r="M127" s="376">
        <v>1</v>
      </c>
    </row>
    <row r="128" spans="1:13">
      <c r="A128" s="25" t="s">
        <v>250</v>
      </c>
      <c r="B128" s="26" t="s">
        <v>970</v>
      </c>
      <c r="C128" s="26"/>
      <c r="D128" s="26"/>
      <c r="E128" s="27"/>
      <c r="F128" s="195">
        <f>SHF!F21</f>
        <v>230</v>
      </c>
      <c r="G128" s="210"/>
      <c r="H128" s="34"/>
      <c r="I128" s="195">
        <f>SHF!I21</f>
        <v>115</v>
      </c>
      <c r="J128" s="195">
        <f>SHF!J21</f>
        <v>0</v>
      </c>
      <c r="K128" s="273"/>
      <c r="L128" s="274"/>
      <c r="M128" s="376">
        <v>1</v>
      </c>
    </row>
    <row r="129" spans="1:13">
      <c r="A129" s="25" t="s">
        <v>251</v>
      </c>
      <c r="B129" s="26" t="s">
        <v>971</v>
      </c>
      <c r="C129" s="26"/>
      <c r="D129" s="26"/>
      <c r="E129" s="27"/>
      <c r="F129" s="195">
        <f>SHF!F22</f>
        <v>20.660000000000004</v>
      </c>
      <c r="G129" s="210"/>
      <c r="H129" s="34"/>
      <c r="I129" s="195">
        <f>SHF!I22</f>
        <v>10.330000000000002</v>
      </c>
      <c r="J129" s="195">
        <f>SHF!J22</f>
        <v>0</v>
      </c>
      <c r="K129" s="273"/>
      <c r="L129" s="274"/>
      <c r="M129" s="268">
        <v>1</v>
      </c>
    </row>
    <row r="130" spans="1:13">
      <c r="A130" s="25" t="s">
        <v>97</v>
      </c>
      <c r="B130" s="26" t="s">
        <v>972</v>
      </c>
      <c r="C130" s="26"/>
      <c r="D130" s="26"/>
      <c r="E130" s="27"/>
      <c r="F130" s="195">
        <f>SHF!F23</f>
        <v>42</v>
      </c>
      <c r="G130" s="210"/>
      <c r="H130" s="34"/>
      <c r="I130" s="195">
        <f>SHF!I23</f>
        <v>14.858499999999999</v>
      </c>
      <c r="J130" s="195">
        <f>SHF!J23</f>
        <v>0</v>
      </c>
      <c r="K130" s="273"/>
      <c r="L130" s="274"/>
      <c r="M130" s="376">
        <v>1</v>
      </c>
    </row>
    <row r="131" spans="1:13">
      <c r="A131" s="25" t="s">
        <v>976</v>
      </c>
      <c r="B131" s="26" t="s">
        <v>981</v>
      </c>
      <c r="C131" s="26"/>
      <c r="D131" s="26"/>
      <c r="E131" s="27"/>
      <c r="F131" s="195">
        <f>SHF!F31</f>
        <v>0</v>
      </c>
      <c r="G131" s="210"/>
      <c r="H131" s="34"/>
      <c r="I131" s="195">
        <f>SHF!I31</f>
        <v>0</v>
      </c>
      <c r="J131" s="195">
        <f>SHF!J31</f>
        <v>0</v>
      </c>
      <c r="K131" s="273"/>
      <c r="L131" s="274"/>
      <c r="M131" s="823">
        <v>1</v>
      </c>
    </row>
    <row r="132" spans="1:13">
      <c r="A132" s="25" t="s">
        <v>977</v>
      </c>
      <c r="B132" s="26" t="s">
        <v>982</v>
      </c>
      <c r="C132" s="26"/>
      <c r="D132" s="26"/>
      <c r="E132" s="27"/>
      <c r="F132" s="195">
        <f>SHF!F32</f>
        <v>127.89948571428575</v>
      </c>
      <c r="G132" s="210"/>
      <c r="H132" s="34"/>
      <c r="I132" s="195">
        <f>SHF!I32</f>
        <v>63.949742857142873</v>
      </c>
      <c r="J132" s="195">
        <f>SHF!J32</f>
        <v>-19.835942761904757</v>
      </c>
      <c r="K132" s="273"/>
      <c r="L132" s="274"/>
      <c r="M132" s="268">
        <v>1</v>
      </c>
    </row>
    <row r="133" spans="1:13">
      <c r="A133" s="25" t="s">
        <v>985</v>
      </c>
      <c r="B133" s="163" t="s">
        <v>953</v>
      </c>
      <c r="C133" s="26"/>
      <c r="D133" s="26"/>
      <c r="E133" s="27"/>
      <c r="F133" s="34"/>
      <c r="G133" s="195">
        <f>SHF!G36</f>
        <v>29.998225714285713</v>
      </c>
      <c r="H133" s="34"/>
      <c r="I133" s="195">
        <f>SHF!I36</f>
        <v>194.38850262857147</v>
      </c>
      <c r="J133" s="34"/>
      <c r="K133" s="273"/>
      <c r="L133" s="274"/>
      <c r="M133" s="376">
        <v>1</v>
      </c>
    </row>
    <row r="134" spans="1:13">
      <c r="A134" s="686" t="s">
        <v>1128</v>
      </c>
      <c r="B134" s="687"/>
      <c r="C134" s="688"/>
      <c r="D134" s="688"/>
      <c r="E134" s="689"/>
      <c r="F134" s="195">
        <f>SHF!F40</f>
        <v>-23.695433333970961</v>
      </c>
      <c r="G134" s="689"/>
      <c r="H134" s="690"/>
      <c r="I134" s="195">
        <f>SHF!I40</f>
        <v>0</v>
      </c>
      <c r="J134" s="195">
        <f>SHF!J40</f>
        <v>0</v>
      </c>
      <c r="K134" s="273"/>
      <c r="L134" s="274"/>
      <c r="M134" s="376">
        <v>0.15</v>
      </c>
    </row>
    <row r="135" spans="1:13">
      <c r="A135" s="686" t="s">
        <v>1131</v>
      </c>
      <c r="B135" s="687"/>
      <c r="C135" s="688"/>
      <c r="D135" s="688"/>
      <c r="E135" s="689"/>
      <c r="F135" s="690"/>
      <c r="G135" s="195">
        <f>SHF!G44</f>
        <v>1.566445545112501</v>
      </c>
      <c r="H135" s="195">
        <f>SHF!H44</f>
        <v>0.77082515176153144</v>
      </c>
      <c r="I135" s="195">
        <f>SHF!I44</f>
        <v>2.5854696423507204</v>
      </c>
      <c r="J135" s="195">
        <f>SHF!J44</f>
        <v>1.2722721422765415</v>
      </c>
      <c r="K135" s="273"/>
      <c r="L135" s="274"/>
      <c r="M135" s="376">
        <v>1</v>
      </c>
    </row>
    <row r="136" spans="1:13">
      <c r="A136" s="253"/>
      <c r="B136" s="15"/>
      <c r="C136" s="15"/>
      <c r="D136" s="15"/>
      <c r="E136" s="22"/>
      <c r="F136" s="212"/>
      <c r="G136" s="213"/>
      <c r="H136" s="198"/>
      <c r="I136" s="198"/>
      <c r="J136" s="58"/>
      <c r="K136" s="74"/>
      <c r="L136" s="277"/>
      <c r="M136" s="379"/>
    </row>
    <row r="137" spans="1:13">
      <c r="A137" s="46"/>
      <c r="B137" s="46"/>
      <c r="C137" s="46"/>
      <c r="D137" s="46"/>
      <c r="E137" s="46"/>
      <c r="F137" s="46"/>
      <c r="G137" s="46"/>
      <c r="H137" s="46"/>
      <c r="I137" s="46"/>
      <c r="J137" s="46"/>
      <c r="K137" s="116"/>
      <c r="L137" s="270"/>
      <c r="M137" s="87"/>
    </row>
    <row r="138" spans="1:13">
      <c r="A138" s="220" t="s">
        <v>73</v>
      </c>
      <c r="B138" s="220" t="s">
        <v>74</v>
      </c>
      <c r="C138" s="200"/>
      <c r="D138" s="200"/>
      <c r="E138" s="217"/>
      <c r="F138" s="1636" t="s">
        <v>72</v>
      </c>
      <c r="G138" s="1637"/>
      <c r="H138" s="1637"/>
      <c r="I138" s="1637"/>
      <c r="J138" s="1638"/>
      <c r="K138" s="116"/>
      <c r="L138" s="270"/>
      <c r="M138" s="87"/>
    </row>
    <row r="139" spans="1:13" ht="18">
      <c r="A139" s="221"/>
      <c r="B139" s="221"/>
      <c r="C139" s="201"/>
      <c r="D139" s="201"/>
      <c r="E139" s="219"/>
      <c r="F139" s="223" t="s">
        <v>23</v>
      </c>
      <c r="G139" s="223" t="s">
        <v>87</v>
      </c>
      <c r="H139" s="223" t="s">
        <v>212</v>
      </c>
      <c r="I139" s="223" t="s">
        <v>80</v>
      </c>
      <c r="J139" s="223" t="s">
        <v>81</v>
      </c>
      <c r="K139" s="116"/>
      <c r="L139" s="270"/>
      <c r="M139" s="87"/>
    </row>
    <row r="140" spans="1:13">
      <c r="A140" s="222"/>
      <c r="B140" s="222"/>
      <c r="C140" s="203"/>
      <c r="D140" s="203"/>
      <c r="E140" s="218"/>
      <c r="F140" s="204" t="s">
        <v>34</v>
      </c>
      <c r="G140" s="204" t="s">
        <v>34</v>
      </c>
      <c r="H140" s="203" t="s">
        <v>34</v>
      </c>
      <c r="I140" s="204" t="s">
        <v>77</v>
      </c>
      <c r="J140" s="204" t="s">
        <v>77</v>
      </c>
      <c r="K140" s="116"/>
      <c r="L140" s="270"/>
      <c r="M140" s="87"/>
    </row>
    <row r="141" spans="1:13">
      <c r="A141" s="202"/>
      <c r="B141" s="200"/>
      <c r="C141" s="200"/>
      <c r="D141" s="200"/>
      <c r="E141" s="217"/>
      <c r="F141" s="205"/>
      <c r="G141" s="205"/>
      <c r="H141" s="201"/>
      <c r="I141" s="205"/>
      <c r="J141" s="205"/>
      <c r="K141" s="116"/>
      <c r="L141" s="270"/>
      <c r="M141" s="87"/>
    </row>
    <row r="142" spans="1:13">
      <c r="A142" s="205" t="str">
        <f>A121</f>
        <v>LC-6</v>
      </c>
      <c r="B142" s="201" t="str">
        <f>B121</f>
        <v>HFL RARE, NS LWL DL, SIDL, LL Max Long. Moment</v>
      </c>
      <c r="C142" s="201"/>
      <c r="D142" s="201"/>
      <c r="E142" s="219"/>
      <c r="F142" s="1054">
        <f>SUMPRODUCT(F124:F135,$M$124:$M$135)</f>
        <v>875.08820937901544</v>
      </c>
      <c r="G142" s="1055">
        <f>SUMPRODUCT(G124:G135,$M$124:$M$135)</f>
        <v>31.564671259398214</v>
      </c>
      <c r="H142" s="1055">
        <f>SUMPRODUCT(H124:H135,$M$124:$M$135)</f>
        <v>0.77082515176153144</v>
      </c>
      <c r="I142" s="1055">
        <f>SUMPRODUCT(I124:I135,$M$124:$M$135)</f>
        <v>260.92371512806506</v>
      </c>
      <c r="J142" s="1055">
        <f>SUMPRODUCT(J124:J135,$M$124:$M$135)</f>
        <v>-18.563670619628216</v>
      </c>
      <c r="K142" s="116"/>
      <c r="L142" s="270"/>
      <c r="M142" s="87"/>
    </row>
    <row r="143" spans="1:13">
      <c r="A143" s="204"/>
      <c r="B143" s="203"/>
      <c r="C143" s="203"/>
      <c r="D143" s="203"/>
      <c r="E143" s="218"/>
      <c r="F143" s="204"/>
      <c r="G143" s="204"/>
      <c r="H143" s="203"/>
      <c r="I143" s="204"/>
      <c r="J143" s="204"/>
      <c r="K143" s="116"/>
      <c r="L143" s="270"/>
      <c r="M143" s="87"/>
    </row>
    <row r="144" spans="1:13">
      <c r="A144" s="1"/>
      <c r="B144" s="1"/>
      <c r="C144" s="1"/>
      <c r="D144" s="1"/>
      <c r="E144" s="1"/>
      <c r="F144" s="1"/>
      <c r="G144" s="1"/>
      <c r="H144" s="1"/>
      <c r="I144" s="1"/>
      <c r="J144" s="1"/>
      <c r="K144" s="116"/>
      <c r="L144" s="270"/>
      <c r="M144" s="87"/>
    </row>
    <row r="145" spans="1:13">
      <c r="A145" s="1"/>
      <c r="B145" s="1"/>
      <c r="C145" s="1"/>
      <c r="D145" s="1"/>
      <c r="E145" s="1"/>
      <c r="F145" s="1"/>
      <c r="G145" s="1"/>
      <c r="H145" s="1"/>
      <c r="I145" s="1"/>
      <c r="J145" s="1"/>
      <c r="K145" s="116"/>
      <c r="L145" s="270"/>
      <c r="M145" s="87"/>
    </row>
  </sheetData>
  <mergeCells count="12">
    <mergeCell ref="F73:J73"/>
    <mergeCell ref="F88:J88"/>
    <mergeCell ref="F96:J96"/>
    <mergeCell ref="F113:J113"/>
    <mergeCell ref="F138:J138"/>
    <mergeCell ref="F121:J121"/>
    <mergeCell ref="F65:J65"/>
    <mergeCell ref="F7:J7"/>
    <mergeCell ref="F20:J20"/>
    <mergeCell ref="F28:J28"/>
    <mergeCell ref="F42:J42"/>
    <mergeCell ref="F50:J50"/>
  </mergeCells>
  <pageMargins left="0.59055118110236227" right="0.15748031496062992" top="0.59055118110236227" bottom="0.15748031496062992" header="0.31496062992125984" footer="0.31496062992125984"/>
  <pageSetup paperSize="9" scale="74" orientation="portrait" blackAndWhite="1" r:id="rId1"/>
</worksheet>
</file>

<file path=xl/worksheets/sheet46.xml><?xml version="1.0" encoding="utf-8"?>
<worksheet xmlns="http://schemas.openxmlformats.org/spreadsheetml/2006/main" xmlns:r="http://schemas.openxmlformats.org/officeDocument/2006/relationships">
  <sheetPr codeName="Sheet54">
    <tabColor theme="6" tint="-0.249977111117893"/>
  </sheetPr>
  <dimension ref="A1:J33"/>
  <sheetViews>
    <sheetView view="pageBreakPreview" zoomScaleSheetLayoutView="100" workbookViewId="0">
      <selection activeCell="M33" sqref="M33"/>
    </sheetView>
  </sheetViews>
  <sheetFormatPr defaultColWidth="7.7109375" defaultRowHeight="15"/>
  <cols>
    <col min="1" max="11" width="7.7109375" style="1" customWidth="1"/>
    <col min="12" max="16" width="7.7109375" style="1"/>
    <col min="17" max="17" width="7.7109375" style="1" customWidth="1"/>
    <col min="18" max="16384" width="7.7109375" style="1"/>
  </cols>
  <sheetData>
    <row r="1" spans="1:6">
      <c r="A1" s="62" t="s">
        <v>1531</v>
      </c>
    </row>
    <row r="4" spans="1:6">
      <c r="D4" s="291" t="s">
        <v>1640</v>
      </c>
    </row>
    <row r="7" spans="1:6">
      <c r="F7" s="528" t="s">
        <v>1644</v>
      </c>
    </row>
    <row r="8" spans="1:6">
      <c r="F8" s="1230">
        <f>U_3.4_SH_SUM!F11</f>
        <v>6348.5281374238575</v>
      </c>
    </row>
    <row r="9" spans="1:6">
      <c r="C9" s="10"/>
      <c r="E9" s="1140" t="s">
        <v>1647</v>
      </c>
      <c r="F9" s="529"/>
    </row>
    <row r="11" spans="1:6">
      <c r="C11" s="1232" t="s">
        <v>1649</v>
      </c>
      <c r="D11" s="10"/>
    </row>
    <row r="14" spans="1:6">
      <c r="D14" s="291" t="s">
        <v>1650</v>
      </c>
    </row>
    <row r="16" spans="1:6">
      <c r="D16" s="528"/>
    </row>
    <row r="17" spans="1:10">
      <c r="C17" s="10" t="s">
        <v>1651</v>
      </c>
      <c r="D17" s="1230">
        <f>U_3.4_SH_SUM!C20</f>
        <v>1200</v>
      </c>
    </row>
    <row r="20" spans="1:10">
      <c r="A20" s="62" t="s">
        <v>1531</v>
      </c>
    </row>
    <row r="21" spans="1:10">
      <c r="A21" s="249" t="s">
        <v>213</v>
      </c>
      <c r="B21" s="229"/>
      <c r="C21" s="229"/>
      <c r="D21" s="229"/>
      <c r="E21" s="230"/>
      <c r="F21" s="229"/>
      <c r="G21" s="230"/>
      <c r="H21" s="230"/>
      <c r="I21" s="230"/>
      <c r="J21" s="231"/>
    </row>
    <row r="22" spans="1:10">
      <c r="A22" s="228" t="s">
        <v>73</v>
      </c>
      <c r="B22" s="228" t="s">
        <v>74</v>
      </c>
      <c r="C22" s="229"/>
      <c r="D22" s="229"/>
      <c r="E22" s="232"/>
      <c r="F22" s="1641" t="s">
        <v>1481</v>
      </c>
      <c r="G22" s="1642"/>
      <c r="H22" s="1642"/>
      <c r="I22" s="1642"/>
      <c r="J22" s="1643"/>
    </row>
    <row r="23" spans="1:10" ht="18">
      <c r="A23" s="237"/>
      <c r="B23" s="237"/>
      <c r="C23" s="234"/>
      <c r="D23" s="234"/>
      <c r="E23" s="238"/>
      <c r="F23" s="247" t="s">
        <v>598</v>
      </c>
      <c r="G23" s="247" t="s">
        <v>234</v>
      </c>
      <c r="H23" s="248" t="s">
        <v>235</v>
      </c>
      <c r="I23" s="247" t="s">
        <v>236</v>
      </c>
      <c r="J23" s="247" t="s">
        <v>237</v>
      </c>
    </row>
    <row r="24" spans="1:10">
      <c r="A24" s="411"/>
      <c r="B24" s="245"/>
      <c r="C24" s="239"/>
      <c r="D24" s="239"/>
      <c r="E24" s="246"/>
      <c r="F24" s="250" t="s">
        <v>34</v>
      </c>
      <c r="G24" s="250" t="s">
        <v>34</v>
      </c>
      <c r="H24" s="251" t="s">
        <v>34</v>
      </c>
      <c r="I24" s="250" t="s">
        <v>77</v>
      </c>
      <c r="J24" s="250" t="s">
        <v>77</v>
      </c>
    </row>
    <row r="25" spans="1:10">
      <c r="A25" s="112" t="str">
        <f>S_3.3_SH_LC!A24</f>
        <v>LC-1</v>
      </c>
      <c r="B25" s="112" t="str">
        <f>S_3.3_SH_LC!B24</f>
        <v>LWL QP, NS LWL DL, SIDL</v>
      </c>
      <c r="C25" s="11"/>
      <c r="D25" s="11"/>
      <c r="E25" s="191"/>
      <c r="F25" s="294">
        <f>S_3.3_SH_LC!F24</f>
        <v>750.74303866482535</v>
      </c>
      <c r="G25" s="294">
        <f>S_3.3_SH_LC!G24</f>
        <v>5.8532000000000011</v>
      </c>
      <c r="H25" s="294">
        <f>S_3.3_SH_LC!H24</f>
        <v>0</v>
      </c>
      <c r="I25" s="294">
        <f>S_3.3_SH_LC!I24</f>
        <v>37.928736000000015</v>
      </c>
      <c r="J25" s="197">
        <f>S_3.3_SH_LC!J24</f>
        <v>0</v>
      </c>
    </row>
    <row r="26" spans="1:10">
      <c r="A26" s="112" t="str">
        <f>S_3.3_SH_LC!A46</f>
        <v>LC-2</v>
      </c>
      <c r="B26" s="112" t="str">
        <f>S_3.3_SH_LC!B46</f>
        <v>HFL QP, NS LWL DL, SIDL</v>
      </c>
      <c r="C26" s="11"/>
      <c r="D26" s="11"/>
      <c r="E26" s="191"/>
      <c r="F26" s="294">
        <f>S_3.3_SH_LC!F46</f>
        <v>747.18872366472965</v>
      </c>
      <c r="G26" s="294">
        <f>S_3.3_SH_LC!G46</f>
        <v>5.8532000000000011</v>
      </c>
      <c r="H26" s="294">
        <f>S_3.3_SH_LC!H46</f>
        <v>0</v>
      </c>
      <c r="I26" s="294">
        <f>S_3.3_SH_LC!I46</f>
        <v>37.928736000000015</v>
      </c>
      <c r="J26" s="197">
        <f>S_3.3_SH_LC!J46</f>
        <v>0</v>
      </c>
    </row>
    <row r="27" spans="1:10">
      <c r="A27" s="112"/>
      <c r="B27" s="112"/>
      <c r="C27" s="11"/>
      <c r="D27" s="11"/>
      <c r="E27" s="191"/>
      <c r="F27" s="294"/>
      <c r="G27" s="294"/>
      <c r="H27" s="294"/>
      <c r="I27" s="294"/>
      <c r="J27" s="197"/>
    </row>
    <row r="28" spans="1:10">
      <c r="A28" s="112" t="str">
        <f>S_3.3_SH_LC!A69</f>
        <v>LC-3</v>
      </c>
      <c r="B28" s="112" t="str">
        <f>S_3.3_SH_LC!B69</f>
        <v>LWL RARE, NS LWL DL, SIDL, LL Max reaction</v>
      </c>
      <c r="C28" s="11"/>
      <c r="D28" s="11"/>
      <c r="E28" s="191"/>
      <c r="F28" s="294">
        <f>S_3.3_SH_LC!F69</f>
        <v>891.08875295053963</v>
      </c>
      <c r="G28" s="294">
        <f>S_3.3_SH_LC!G69</f>
        <v>32.051277714285717</v>
      </c>
      <c r="H28" s="294">
        <f>S_3.3_SH_LC!H69</f>
        <v>0</v>
      </c>
      <c r="I28" s="294">
        <f>S_3.3_SH_LC!I69</f>
        <v>212.70473673142865</v>
      </c>
      <c r="J28" s="197">
        <f>S_3.3_SH_LC!J69</f>
        <v>-21.766229472329464</v>
      </c>
    </row>
    <row r="29" spans="1:10">
      <c r="A29" s="112" t="str">
        <f>S_3.3_SH_LC!A92</f>
        <v>LC-4</v>
      </c>
      <c r="B29" s="112" t="str">
        <f>S_3.3_SH_LC!B92</f>
        <v>LWL RARE, NS LWL DL, SIDL, LL Max Long. Moment</v>
      </c>
      <c r="C29" s="11"/>
      <c r="D29" s="11"/>
      <c r="E29" s="191"/>
      <c r="F29" s="294">
        <f>S_3.3_SH_LC!F92</f>
        <v>878.64252437911114</v>
      </c>
      <c r="G29" s="294">
        <f>S_3.3_SH_LC!G92</f>
        <v>29.998225714285713</v>
      </c>
      <c r="H29" s="294">
        <f>S_3.3_SH_LC!H92</f>
        <v>0</v>
      </c>
      <c r="I29" s="294">
        <f>S_3.3_SH_LC!I92</f>
        <v>258.33824548571431</v>
      </c>
      <c r="J29" s="197">
        <f>S_3.3_SH_LC!J92</f>
        <v>-19.835942761904757</v>
      </c>
    </row>
    <row r="30" spans="1:10">
      <c r="A30" s="112" t="str">
        <f>S_3.3_SH_LC!A117</f>
        <v>LC-5</v>
      </c>
      <c r="B30" s="112" t="str">
        <f>S_3.3_SH_LC!B117</f>
        <v>HFL RARE, NS LWL DL, SIDL, LL Max reaction</v>
      </c>
      <c r="C30" s="11"/>
      <c r="D30" s="11"/>
      <c r="E30" s="191"/>
      <c r="F30" s="294">
        <f>S_3.3_SH_LC!F117</f>
        <v>887.53443795044393</v>
      </c>
      <c r="G30" s="294">
        <f>S_3.3_SH_LC!G117</f>
        <v>33.617723259398218</v>
      </c>
      <c r="H30" s="294">
        <f>S_3.3_SH_LC!H117</f>
        <v>0.77082515176153144</v>
      </c>
      <c r="I30" s="294">
        <f>S_3.3_SH_LC!I117</f>
        <v>215.29020637377937</v>
      </c>
      <c r="J30" s="197">
        <f>S_3.3_SH_LC!J117</f>
        <v>-20.493957330052922</v>
      </c>
    </row>
    <row r="31" spans="1:10">
      <c r="A31" s="112" t="str">
        <f>S_3.3_SH_LC!A142</f>
        <v>LC-6</v>
      </c>
      <c r="B31" s="112" t="str">
        <f>S_3.3_SH_LC!B142</f>
        <v>HFL RARE, NS LWL DL, SIDL, LL Max Long. Moment</v>
      </c>
      <c r="C31" s="11"/>
      <c r="D31" s="11"/>
      <c r="E31" s="191"/>
      <c r="F31" s="294">
        <f>S_3.3_SH_LC!F142</f>
        <v>875.08820937901544</v>
      </c>
      <c r="G31" s="294">
        <f>S_3.3_SH_LC!G142</f>
        <v>31.564671259398214</v>
      </c>
      <c r="H31" s="294">
        <f>S_3.3_SH_LC!H142</f>
        <v>0.77082515176153144</v>
      </c>
      <c r="I31" s="294">
        <f>S_3.3_SH_LC!I142</f>
        <v>260.92371512806506</v>
      </c>
      <c r="J31" s="197">
        <f>S_3.3_SH_LC!J142</f>
        <v>-18.563670619628216</v>
      </c>
    </row>
    <row r="32" spans="1:10">
      <c r="A32" s="112"/>
      <c r="B32" s="112"/>
      <c r="C32" s="11"/>
      <c r="D32" s="11"/>
      <c r="E32" s="191"/>
      <c r="F32" s="112"/>
      <c r="G32" s="112"/>
      <c r="H32" s="112"/>
      <c r="I32" s="89"/>
      <c r="J32" s="89"/>
    </row>
    <row r="33" spans="1:10">
      <c r="A33" s="113"/>
      <c r="B33" s="113"/>
      <c r="C33" s="651"/>
      <c r="D33" s="651"/>
      <c r="E33" s="652"/>
      <c r="F33" s="113"/>
      <c r="G33" s="113"/>
      <c r="H33" s="113"/>
      <c r="I33" s="599"/>
      <c r="J33" s="599"/>
    </row>
  </sheetData>
  <mergeCells count="1">
    <mergeCell ref="F22:J22"/>
  </mergeCells>
  <pageMargins left="0.59055118110236204" right="0.15748031496063" top="0.59055118110236204" bottom="0.15748031496063" header="0.31496062992126" footer="0.31496062992126"/>
  <pageSetup paperSize="9" orientation="portrait" blackAndWhite="1" r:id="rId1"/>
  <drawing r:id="rId2"/>
</worksheet>
</file>

<file path=xl/worksheets/sheet47.xml><?xml version="1.0" encoding="utf-8"?>
<worksheet xmlns="http://schemas.openxmlformats.org/spreadsheetml/2006/main" xmlns:r="http://schemas.openxmlformats.org/officeDocument/2006/relationships">
  <sheetPr codeName="Sheet76">
    <tabColor theme="6" tint="-0.249977111117893"/>
  </sheetPr>
  <dimension ref="A1:R183"/>
  <sheetViews>
    <sheetView view="pageBreakPreview" topLeftCell="A145" zoomScaleSheetLayoutView="100" workbookViewId="0">
      <selection activeCell="M33" sqref="M33"/>
    </sheetView>
  </sheetViews>
  <sheetFormatPr defaultColWidth="7.7109375" defaultRowHeight="15"/>
  <cols>
    <col min="1" max="8" width="7.7109375" style="1" customWidth="1"/>
    <col min="9" max="9" width="8.42578125" style="1" customWidth="1"/>
    <col min="10" max="12" width="7.7109375" style="1" customWidth="1"/>
    <col min="13" max="13" width="8.42578125" style="1" customWidth="1"/>
    <col min="14" max="14" width="7.7109375" style="1" customWidth="1"/>
    <col min="15" max="15" width="10.5703125" style="1" customWidth="1"/>
    <col min="16" max="22" width="7.7109375" style="1" customWidth="1"/>
    <col min="23" max="23" width="7.7109375" style="1"/>
    <col min="24" max="24" width="10.140625" style="1" customWidth="1"/>
    <col min="25" max="26" width="7.7109375" style="1" customWidth="1"/>
    <col min="27" max="16384" width="7.7109375" style="1"/>
  </cols>
  <sheetData>
    <row r="1" spans="1:18" ht="18">
      <c r="A1" s="9" t="s">
        <v>1657</v>
      </c>
      <c r="E1" s="62" t="s">
        <v>1658</v>
      </c>
      <c r="G1" s="62" t="s">
        <v>1659</v>
      </c>
      <c r="Q1" s="158" t="s">
        <v>169</v>
      </c>
      <c r="R1" s="158" t="s">
        <v>424</v>
      </c>
    </row>
    <row r="2" spans="1:18">
      <c r="A2" s="9"/>
      <c r="E2" s="62"/>
      <c r="G2" s="62"/>
      <c r="Q2" s="1492">
        <v>0</v>
      </c>
      <c r="R2" s="1492">
        <v>1</v>
      </c>
    </row>
    <row r="3" spans="1:18">
      <c r="D3" s="528"/>
      <c r="J3" s="391" t="s">
        <v>1660</v>
      </c>
      <c r="Q3" s="1492">
        <v>0.3</v>
      </c>
      <c r="R3" s="1492">
        <v>1</v>
      </c>
    </row>
    <row r="4" spans="1:18">
      <c r="B4" s="1">
        <v>2</v>
      </c>
      <c r="E4" s="528">
        <v>3</v>
      </c>
      <c r="J4" s="1" t="s">
        <v>133</v>
      </c>
      <c r="K4" s="1" t="s">
        <v>1</v>
      </c>
      <c r="L4" s="126">
        <f>D20</f>
        <v>1200</v>
      </c>
      <c r="M4" s="1" t="s">
        <v>5</v>
      </c>
      <c r="Q4" s="1492">
        <v>0.8</v>
      </c>
      <c r="R4" s="1492">
        <v>0.65</v>
      </c>
    </row>
    <row r="5" spans="1:18">
      <c r="D5" s="291" t="s">
        <v>1640</v>
      </c>
      <c r="J5" s="1" t="s">
        <v>25</v>
      </c>
      <c r="K5" s="1" t="s">
        <v>1</v>
      </c>
      <c r="L5" s="126">
        <f>G12</f>
        <v>6348.5281374238575</v>
      </c>
      <c r="M5" s="1" t="s">
        <v>5</v>
      </c>
      <c r="Q5" s="1492">
        <v>3</v>
      </c>
      <c r="R5" s="1492">
        <v>0.65</v>
      </c>
    </row>
    <row r="7" spans="1:18">
      <c r="J7" s="391" t="s">
        <v>568</v>
      </c>
    </row>
    <row r="8" spans="1:18" ht="17.25">
      <c r="J8" s="389" t="s">
        <v>329</v>
      </c>
      <c r="K8" s="389" t="s">
        <v>1</v>
      </c>
      <c r="L8" s="1060">
        <f>GEN!H19</f>
        <v>35</v>
      </c>
      <c r="M8" s="224" t="s">
        <v>1777</v>
      </c>
    </row>
    <row r="9" spans="1:18" ht="17.25">
      <c r="C9" s="1232" t="s">
        <v>1649</v>
      </c>
      <c r="J9" s="389" t="s">
        <v>295</v>
      </c>
      <c r="K9" s="389" t="s">
        <v>1</v>
      </c>
      <c r="L9" s="1060">
        <f>GEN!H27</f>
        <v>500</v>
      </c>
      <c r="M9" s="224" t="s">
        <v>1777</v>
      </c>
    </row>
    <row r="10" spans="1:18" ht="17.25">
      <c r="E10" s="1140" t="s">
        <v>1647</v>
      </c>
      <c r="F10" s="529">
        <f>L40</f>
        <v>6274.5281374238575</v>
      </c>
      <c r="J10" s="1" t="s">
        <v>294</v>
      </c>
      <c r="K10" s="1" t="s">
        <v>1</v>
      </c>
      <c r="L10" s="394">
        <f>GEN!H30</f>
        <v>200000</v>
      </c>
      <c r="M10" s="224" t="s">
        <v>1777</v>
      </c>
    </row>
    <row r="12" spans="1:18">
      <c r="F12" s="10" t="s">
        <v>1644</v>
      </c>
      <c r="G12" s="1235">
        <f>U_3.4_SH_SUM!F11</f>
        <v>6348.5281374238575</v>
      </c>
    </row>
    <row r="17" spans="1:15">
      <c r="D17" s="291" t="s">
        <v>1650</v>
      </c>
    </row>
    <row r="18" spans="1:15">
      <c r="B18" s="1">
        <v>1</v>
      </c>
      <c r="E18" s="528">
        <v>4</v>
      </c>
      <c r="O18" s="254"/>
    </row>
    <row r="19" spans="1:15">
      <c r="D19" s="528">
        <f>K35</f>
        <v>1026</v>
      </c>
    </row>
    <row r="20" spans="1:15">
      <c r="A20" s="10" t="s">
        <v>1756</v>
      </c>
      <c r="C20" s="10" t="s">
        <v>1651</v>
      </c>
      <c r="D20" s="1235">
        <f>U_3.4_SH_SUM!C20</f>
        <v>1200</v>
      </c>
      <c r="F20" s="528"/>
    </row>
    <row r="22" spans="1:15" ht="18">
      <c r="C22" s="323" t="s">
        <v>60</v>
      </c>
      <c r="D22" s="528" t="s">
        <v>1672</v>
      </c>
      <c r="E22" s="1" t="s">
        <v>390</v>
      </c>
    </row>
    <row r="23" spans="1:15">
      <c r="D23" s="528"/>
      <c r="E23" s="1489" t="s">
        <v>545</v>
      </c>
      <c r="F23" s="1489"/>
      <c r="G23" s="1489"/>
      <c r="H23" s="1489"/>
      <c r="I23" s="1489"/>
      <c r="J23" s="1489"/>
      <c r="K23" s="1489"/>
      <c r="L23" s="1489"/>
      <c r="M23" s="1489"/>
    </row>
    <row r="24" spans="1:15">
      <c r="D24" s="528"/>
      <c r="E24" s="1489" t="s">
        <v>444</v>
      </c>
      <c r="F24" s="1489"/>
      <c r="G24" s="1489"/>
      <c r="H24" s="1489"/>
      <c r="I24" s="1489" t="s">
        <v>1</v>
      </c>
      <c r="J24" s="1489" t="s">
        <v>546</v>
      </c>
      <c r="K24" s="1489" t="s">
        <v>1</v>
      </c>
      <c r="L24" s="1489">
        <f>0.48*$L$8</f>
        <v>16.8</v>
      </c>
      <c r="M24" s="1489" t="s">
        <v>293</v>
      </c>
    </row>
    <row r="25" spans="1:15">
      <c r="D25" s="528"/>
      <c r="E25" s="1489" t="s">
        <v>547</v>
      </c>
      <c r="F25" s="1489"/>
      <c r="G25" s="1489"/>
      <c r="H25" s="1489"/>
      <c r="I25" s="1489" t="s">
        <v>1</v>
      </c>
      <c r="J25" s="1489" t="s">
        <v>548</v>
      </c>
      <c r="K25" s="1489" t="s">
        <v>1</v>
      </c>
      <c r="L25" s="1489">
        <f>0.36*$L$8</f>
        <v>12.6</v>
      </c>
      <c r="M25" s="1489" t="s">
        <v>293</v>
      </c>
    </row>
    <row r="26" spans="1:15">
      <c r="D26" s="528"/>
      <c r="E26" s="1489"/>
      <c r="F26" s="1489"/>
      <c r="G26" s="1489"/>
      <c r="H26" s="1489"/>
      <c r="I26" s="1489"/>
      <c r="J26" s="1489"/>
      <c r="K26" s="1489"/>
      <c r="L26" s="1489"/>
      <c r="M26" s="1489"/>
    </row>
    <row r="27" spans="1:15">
      <c r="A27" s="528" t="s">
        <v>1672</v>
      </c>
      <c r="D27" s="528"/>
      <c r="E27" s="1489" t="s">
        <v>1620</v>
      </c>
      <c r="F27" s="1489"/>
      <c r="G27" s="1489"/>
      <c r="H27" s="1489"/>
      <c r="I27" s="1489" t="s">
        <v>1</v>
      </c>
      <c r="J27" s="1490">
        <v>300</v>
      </c>
      <c r="K27" s="1489" t="s">
        <v>293</v>
      </c>
      <c r="L27" s="1356"/>
      <c r="M27" s="1356"/>
    </row>
    <row r="28" spans="1:15" ht="18">
      <c r="A28" s="528"/>
      <c r="D28" s="528"/>
      <c r="E28" s="1489" t="s">
        <v>549</v>
      </c>
      <c r="F28" s="1489"/>
      <c r="G28" s="1489"/>
      <c r="H28" s="1489" t="s">
        <v>1870</v>
      </c>
      <c r="I28" s="1489" t="s">
        <v>1</v>
      </c>
      <c r="J28" s="1490">
        <v>0.3</v>
      </c>
      <c r="K28" s="1489" t="s">
        <v>5</v>
      </c>
      <c r="L28" s="1489"/>
      <c r="M28" s="1489"/>
    </row>
    <row r="29" spans="1:15">
      <c r="A29" s="391" t="s">
        <v>1661</v>
      </c>
    </row>
    <row r="30" spans="1:15">
      <c r="A30" s="1695" t="s">
        <v>1662</v>
      </c>
      <c r="B30" s="1805" t="s">
        <v>1274</v>
      </c>
      <c r="C30" s="1805" t="s">
        <v>561</v>
      </c>
      <c r="D30" s="1743" t="s">
        <v>1663</v>
      </c>
      <c r="E30" s="1806" t="s">
        <v>1776</v>
      </c>
      <c r="F30" s="1695" t="s">
        <v>16</v>
      </c>
      <c r="G30" s="1695" t="s">
        <v>561</v>
      </c>
      <c r="H30" s="1784" t="s">
        <v>1673</v>
      </c>
      <c r="I30" s="1794" t="s">
        <v>1543</v>
      </c>
      <c r="J30" s="1794"/>
      <c r="K30" s="1794" t="s">
        <v>1544</v>
      </c>
      <c r="L30" s="1794"/>
      <c r="M30" s="1795" t="s">
        <v>1775</v>
      </c>
    </row>
    <row r="31" spans="1:15" ht="18">
      <c r="A31" s="1793"/>
      <c r="B31" s="1805"/>
      <c r="C31" s="1805"/>
      <c r="D31" s="1743"/>
      <c r="E31" s="1807"/>
      <c r="F31" s="1793"/>
      <c r="G31" s="1793"/>
      <c r="H31" s="1786"/>
      <c r="I31" s="1279" t="s">
        <v>26</v>
      </c>
      <c r="J31" s="1279" t="s">
        <v>51</v>
      </c>
      <c r="K31" s="1279" t="s">
        <v>26</v>
      </c>
      <c r="L31" s="1279" t="s">
        <v>51</v>
      </c>
      <c r="M31" s="1795"/>
    </row>
    <row r="32" spans="1:15" ht="17.25">
      <c r="A32" s="1696"/>
      <c r="B32" s="1499" t="s">
        <v>5</v>
      </c>
      <c r="C32" s="1499" t="s">
        <v>5</v>
      </c>
      <c r="D32" s="1499" t="s">
        <v>5</v>
      </c>
      <c r="E32" s="1498" t="s">
        <v>5</v>
      </c>
      <c r="F32" s="1492" t="s">
        <v>16</v>
      </c>
      <c r="G32" s="1492" t="s">
        <v>5</v>
      </c>
      <c r="H32" s="1492" t="s">
        <v>570</v>
      </c>
      <c r="I32" s="1498" t="s">
        <v>5</v>
      </c>
      <c r="J32" s="1498" t="s">
        <v>5</v>
      </c>
      <c r="K32" s="1498" t="s">
        <v>5</v>
      </c>
      <c r="L32" s="1498" t="s">
        <v>5</v>
      </c>
      <c r="M32" s="1492" t="s">
        <v>1774</v>
      </c>
    </row>
    <row r="33" spans="1:13">
      <c r="A33" s="1492" t="s">
        <v>1640</v>
      </c>
      <c r="B33" s="1278">
        <f>CD!I12</f>
        <v>16</v>
      </c>
      <c r="C33" s="1278">
        <f>CD!J12</f>
        <v>110</v>
      </c>
      <c r="D33" s="1278">
        <f>CD!K12</f>
        <v>66</v>
      </c>
      <c r="E33" s="137">
        <f>(D33+B33/2)</f>
        <v>74</v>
      </c>
      <c r="F33" s="949">
        <f>CD!O12</f>
        <v>9</v>
      </c>
      <c r="G33" s="949">
        <f>CD!P12</f>
        <v>106.5</v>
      </c>
      <c r="H33" s="396">
        <f>PI()*B33^2/4*F33</f>
        <v>1809.5573684677208</v>
      </c>
      <c r="I33" s="1505">
        <f>CD!L12</f>
        <v>174</v>
      </c>
      <c r="J33" s="1506">
        <f>$G$12-E33</f>
        <v>6274.5281374238575</v>
      </c>
      <c r="K33" s="1572">
        <f>CD!M12</f>
        <v>1026</v>
      </c>
      <c r="L33" s="1506">
        <f>J33</f>
        <v>6274.5281374238575</v>
      </c>
      <c r="M33" s="464">
        <f>H33/SQRT((K33-I33)^2+(L33-J33)^2)</f>
        <v>2.1238936249621139</v>
      </c>
    </row>
    <row r="34" spans="1:13">
      <c r="A34" s="1492"/>
      <c r="B34" s="1278">
        <f>CD!I13</f>
        <v>0</v>
      </c>
      <c r="C34" s="1278">
        <f>CD!J13</f>
        <v>110</v>
      </c>
      <c r="D34" s="1278">
        <f>CD!K13</f>
        <v>130</v>
      </c>
      <c r="E34" s="137">
        <f t="shared" ref="E34:E40" si="0">(D34+B34/2)</f>
        <v>130</v>
      </c>
      <c r="F34" s="949">
        <f>CD!O13</f>
        <v>9</v>
      </c>
      <c r="G34" s="949">
        <f>CD!P13</f>
        <v>106.5</v>
      </c>
      <c r="H34" s="396">
        <f t="shared" ref="H34:H40" si="1">PI()*B34^2/4*F34</f>
        <v>0</v>
      </c>
      <c r="I34" s="1505">
        <f>CD!L13</f>
        <v>174</v>
      </c>
      <c r="J34" s="1506">
        <f>$G$12-E34</f>
        <v>6218.5281374238575</v>
      </c>
      <c r="K34" s="1572">
        <f>CD!M13</f>
        <v>1026</v>
      </c>
      <c r="L34" s="1506">
        <f>J34</f>
        <v>6218.5281374238575</v>
      </c>
      <c r="M34" s="464">
        <f t="shared" ref="M34:M40" si="2">H34/SQRT((K34-I34)^2+(L34-J34)^2)</f>
        <v>0</v>
      </c>
    </row>
    <row r="35" spans="1:13">
      <c r="A35" s="1492" t="s">
        <v>1650</v>
      </c>
      <c r="B35" s="1278">
        <f>CD!I14</f>
        <v>16</v>
      </c>
      <c r="C35" s="1278">
        <f>CD!J14</f>
        <v>110</v>
      </c>
      <c r="D35" s="1278">
        <f>CD!K14</f>
        <v>66</v>
      </c>
      <c r="E35" s="137">
        <f t="shared" si="0"/>
        <v>74</v>
      </c>
      <c r="F35" s="949">
        <f>CD!O14</f>
        <v>9</v>
      </c>
      <c r="G35" s="949">
        <f>CD!P14</f>
        <v>106.5</v>
      </c>
      <c r="H35" s="396">
        <f t="shared" si="1"/>
        <v>1809.5573684677208</v>
      </c>
      <c r="I35" s="1505">
        <f>CD!L14</f>
        <v>174</v>
      </c>
      <c r="J35" s="297">
        <f>E35</f>
        <v>74</v>
      </c>
      <c r="K35" s="1572">
        <f>CD!M14</f>
        <v>1026</v>
      </c>
      <c r="L35" s="297">
        <f>J35</f>
        <v>74</v>
      </c>
      <c r="M35" s="464">
        <f t="shared" si="2"/>
        <v>2.1238936249621139</v>
      </c>
    </row>
    <row r="36" spans="1:13">
      <c r="A36" s="1500"/>
      <c r="B36" s="1278">
        <f>CD!I15</f>
        <v>0</v>
      </c>
      <c r="C36" s="1278">
        <f>CD!J15</f>
        <v>110</v>
      </c>
      <c r="D36" s="1278">
        <f>CD!K15</f>
        <v>130</v>
      </c>
      <c r="E36" s="137">
        <f t="shared" si="0"/>
        <v>130</v>
      </c>
      <c r="F36" s="949">
        <f>CD!O15</f>
        <v>9</v>
      </c>
      <c r="G36" s="949">
        <f>CD!P15</f>
        <v>106.5</v>
      </c>
      <c r="H36" s="396">
        <f t="shared" si="1"/>
        <v>0</v>
      </c>
      <c r="I36" s="1505">
        <f>CD!L15</f>
        <v>174</v>
      </c>
      <c r="J36" s="297">
        <f>E36</f>
        <v>130</v>
      </c>
      <c r="K36" s="1572">
        <f>CD!M15</f>
        <v>1026</v>
      </c>
      <c r="L36" s="297">
        <f>J36</f>
        <v>130</v>
      </c>
      <c r="M36" s="464">
        <f t="shared" si="2"/>
        <v>0</v>
      </c>
    </row>
    <row r="37" spans="1:13">
      <c r="A37" s="1236" t="s">
        <v>1649</v>
      </c>
      <c r="B37" s="1278">
        <f>CD!I17</f>
        <v>16</v>
      </c>
      <c r="C37" s="1278">
        <f>CD!J17</f>
        <v>105</v>
      </c>
      <c r="D37" s="1278">
        <f>CD!K17</f>
        <v>66</v>
      </c>
      <c r="E37" s="137">
        <f t="shared" si="0"/>
        <v>74</v>
      </c>
      <c r="F37" s="1502">
        <f>CD!O17</f>
        <v>61</v>
      </c>
      <c r="G37" s="1531">
        <f>CD!P17</f>
        <v>103.34213562373095</v>
      </c>
      <c r="H37" s="396">
        <f t="shared" si="1"/>
        <v>12264.777719614553</v>
      </c>
      <c r="I37" s="1506">
        <f>E37</f>
        <v>74</v>
      </c>
      <c r="J37" s="1505">
        <f>CD!L17</f>
        <v>74</v>
      </c>
      <c r="K37" s="1506">
        <f>I37</f>
        <v>74</v>
      </c>
      <c r="L37" s="1572">
        <f>CD!M17</f>
        <v>6274.5281374238575</v>
      </c>
      <c r="M37" s="464">
        <f t="shared" si="2"/>
        <v>1.9780214600735959</v>
      </c>
    </row>
    <row r="38" spans="1:13">
      <c r="A38" s="949"/>
      <c r="B38" s="1278">
        <f>CD!I18</f>
        <v>0</v>
      </c>
      <c r="C38" s="1278">
        <f>CD!J18</f>
        <v>105</v>
      </c>
      <c r="D38" s="1278">
        <f>CD!K18</f>
        <v>130</v>
      </c>
      <c r="E38" s="137">
        <f t="shared" si="0"/>
        <v>130</v>
      </c>
      <c r="F38" s="1531">
        <f>CD!O18</f>
        <v>61</v>
      </c>
      <c r="G38" s="1531">
        <f>CD!P18</f>
        <v>103.34213562373095</v>
      </c>
      <c r="H38" s="396">
        <f t="shared" si="1"/>
        <v>0</v>
      </c>
      <c r="I38" s="1506">
        <f>E38</f>
        <v>130</v>
      </c>
      <c r="J38" s="1505">
        <f>CD!L18</f>
        <v>74</v>
      </c>
      <c r="K38" s="1506">
        <f>I38</f>
        <v>130</v>
      </c>
      <c r="L38" s="1572">
        <f>CD!M18</f>
        <v>6274.5281374238575</v>
      </c>
      <c r="M38" s="464">
        <f t="shared" si="2"/>
        <v>0</v>
      </c>
    </row>
    <row r="39" spans="1:13">
      <c r="A39" s="1502" t="s">
        <v>1647</v>
      </c>
      <c r="B39" s="1278">
        <f>CD!I19</f>
        <v>16</v>
      </c>
      <c r="C39" s="1278">
        <f>CD!J19</f>
        <v>105</v>
      </c>
      <c r="D39" s="1278">
        <f>CD!K19</f>
        <v>66</v>
      </c>
      <c r="E39" s="137">
        <f t="shared" si="0"/>
        <v>74</v>
      </c>
      <c r="F39" s="1531">
        <f>CD!O19</f>
        <v>61</v>
      </c>
      <c r="G39" s="1531">
        <f>CD!P19</f>
        <v>103.34213562373095</v>
      </c>
      <c r="H39" s="396">
        <f t="shared" si="1"/>
        <v>12264.777719614553</v>
      </c>
      <c r="I39" s="297">
        <f>$D$20-E39</f>
        <v>1126</v>
      </c>
      <c r="J39" s="1505">
        <f>CD!L19</f>
        <v>74</v>
      </c>
      <c r="K39" s="297">
        <f>I39</f>
        <v>1126</v>
      </c>
      <c r="L39" s="1572">
        <f>CD!M19</f>
        <v>6274.5281374238575</v>
      </c>
      <c r="M39" s="464">
        <f t="shared" si="2"/>
        <v>1.9780214600735959</v>
      </c>
    </row>
    <row r="40" spans="1:13">
      <c r="A40" s="1502"/>
      <c r="B40" s="1278">
        <f>CD!I20</f>
        <v>0</v>
      </c>
      <c r="C40" s="1278">
        <f>CD!J20</f>
        <v>105</v>
      </c>
      <c r="D40" s="1278">
        <f>CD!K20</f>
        <v>130</v>
      </c>
      <c r="E40" s="137">
        <f t="shared" si="0"/>
        <v>130</v>
      </c>
      <c r="F40" s="1531">
        <f>CD!O20</f>
        <v>61</v>
      </c>
      <c r="G40" s="1531">
        <f>CD!P20</f>
        <v>103.34213562373095</v>
      </c>
      <c r="H40" s="396">
        <f t="shared" si="1"/>
        <v>0</v>
      </c>
      <c r="I40" s="297">
        <f>$D$20-E40</f>
        <v>1070</v>
      </c>
      <c r="J40" s="1505">
        <f>CD!L20</f>
        <v>74</v>
      </c>
      <c r="K40" s="297">
        <f>I40</f>
        <v>1070</v>
      </c>
      <c r="L40" s="1572">
        <f>CD!M20</f>
        <v>6274.5281374238575</v>
      </c>
      <c r="M40" s="464">
        <f t="shared" si="2"/>
        <v>0</v>
      </c>
    </row>
    <row r="41" spans="1:13">
      <c r="I41" s="33" t="s">
        <v>1764</v>
      </c>
      <c r="J41" s="33"/>
      <c r="K41" s="33"/>
      <c r="L41" s="33"/>
      <c r="M41" s="33"/>
    </row>
    <row r="42" spans="1:13">
      <c r="C42" s="528"/>
      <c r="J42" s="7"/>
      <c r="K42" s="224"/>
    </row>
    <row r="43" spans="1:13">
      <c r="A43" s="1" t="s">
        <v>1773</v>
      </c>
    </row>
    <row r="44" spans="1:13">
      <c r="A44" s="1491" t="s">
        <v>1772</v>
      </c>
      <c r="B44" s="1492" t="s">
        <v>30</v>
      </c>
      <c r="C44" s="1492" t="s">
        <v>170</v>
      </c>
      <c r="F44" s="353" t="s">
        <v>1771</v>
      </c>
    </row>
    <row r="45" spans="1:13">
      <c r="A45" s="923">
        <v>1</v>
      </c>
      <c r="B45" s="1276">
        <f>0</f>
        <v>0</v>
      </c>
      <c r="C45" s="1501">
        <f>0</f>
        <v>0</v>
      </c>
      <c r="F45" s="30" t="s">
        <v>1770</v>
      </c>
      <c r="G45" s="31"/>
      <c r="H45" s="1277" t="s">
        <v>1769</v>
      </c>
      <c r="I45" s="32"/>
      <c r="J45" s="360" t="s">
        <v>1768</v>
      </c>
      <c r="K45" s="32"/>
    </row>
    <row r="46" spans="1:13" ht="17.25">
      <c r="A46" s="923">
        <v>2</v>
      </c>
      <c r="B46" s="1276">
        <f>0</f>
        <v>0</v>
      </c>
      <c r="C46" s="1501">
        <f>G12</f>
        <v>6348.5281374238575</v>
      </c>
      <c r="F46" s="25" t="s">
        <v>171</v>
      </c>
      <c r="G46" s="26" t="s">
        <v>1</v>
      </c>
      <c r="H46" s="1275">
        <f>area(B45:C51)</f>
        <v>7618233.7649086295</v>
      </c>
      <c r="I46" s="27" t="s">
        <v>570</v>
      </c>
      <c r="J46" s="1274">
        <f>H46</f>
        <v>7618233.7649086295</v>
      </c>
      <c r="K46" s="27" t="s">
        <v>570</v>
      </c>
    </row>
    <row r="47" spans="1:13">
      <c r="A47" s="923">
        <v>3</v>
      </c>
      <c r="B47" s="1501">
        <f>D20</f>
        <v>1200</v>
      </c>
      <c r="C47" s="1501">
        <f>G12</f>
        <v>6348.5281374238575</v>
      </c>
      <c r="F47" s="25" t="s">
        <v>1767</v>
      </c>
      <c r="G47" s="26" t="s">
        <v>1</v>
      </c>
      <c r="H47" s="25">
        <f>cg_x(B45:C51)</f>
        <v>600</v>
      </c>
      <c r="I47" s="27" t="s">
        <v>5</v>
      </c>
      <c r="J47" s="206">
        <f>H47</f>
        <v>600</v>
      </c>
      <c r="K47" s="27" t="s">
        <v>5</v>
      </c>
    </row>
    <row r="48" spans="1:13">
      <c r="A48" s="923">
        <v>4</v>
      </c>
      <c r="B48" s="1501">
        <f>D20</f>
        <v>1200</v>
      </c>
      <c r="C48" s="1501">
        <f>0</f>
        <v>0</v>
      </c>
      <c r="F48" s="25" t="s">
        <v>1766</v>
      </c>
      <c r="G48" s="26" t="s">
        <v>1</v>
      </c>
      <c r="H48" s="25">
        <f>cg_y(B45:C51)</f>
        <v>3174.2640687119288</v>
      </c>
      <c r="I48" s="27" t="s">
        <v>5</v>
      </c>
      <c r="J48" s="206">
        <f>H48</f>
        <v>3174.2640687119288</v>
      </c>
      <c r="K48" s="27" t="s">
        <v>5</v>
      </c>
    </row>
    <row r="49" spans="1:13" ht="18.75">
      <c r="A49" s="923">
        <v>5</v>
      </c>
      <c r="B49" s="1276">
        <f>B45</f>
        <v>0</v>
      </c>
      <c r="C49" s="1501">
        <f>C45</f>
        <v>0</v>
      </c>
      <c r="F49" s="25" t="s">
        <v>1765</v>
      </c>
      <c r="G49" s="26" t="s">
        <v>1</v>
      </c>
      <c r="H49" s="1275">
        <f>I_xx(B45:C51)</f>
        <v>102347947492064.11</v>
      </c>
      <c r="I49" s="27" t="s">
        <v>484</v>
      </c>
      <c r="J49" s="1274">
        <f>H49-J46*J48^2</f>
        <v>25586986873016.031</v>
      </c>
      <c r="K49" s="27" t="s">
        <v>484</v>
      </c>
    </row>
    <row r="50" spans="1:13" ht="18.75">
      <c r="A50" s="25"/>
      <c r="B50" s="34" t="s">
        <v>1764</v>
      </c>
      <c r="C50" s="34"/>
      <c r="F50" s="25" t="s">
        <v>1763</v>
      </c>
      <c r="G50" s="26" t="s">
        <v>1</v>
      </c>
      <c r="H50" s="1273">
        <f>I_yy(B45:C51)</f>
        <v>3656752207156.1421</v>
      </c>
      <c r="I50" s="27" t="s">
        <v>484</v>
      </c>
      <c r="J50" s="415">
        <f>H50-J46*J47^2</f>
        <v>914188051789.03564</v>
      </c>
      <c r="K50" s="27" t="s">
        <v>484</v>
      </c>
    </row>
    <row r="51" spans="1:13" ht="18.75">
      <c r="A51" s="28"/>
      <c r="B51" s="58"/>
      <c r="C51" s="58"/>
      <c r="F51" s="28" t="s">
        <v>1762</v>
      </c>
      <c r="G51" s="15" t="s">
        <v>1</v>
      </c>
      <c r="H51" s="1272">
        <f>I_xy(B45:C51)</f>
        <v>14509371424198.479</v>
      </c>
      <c r="I51" s="22" t="s">
        <v>484</v>
      </c>
      <c r="J51" s="1271">
        <f>H51-J46*J47*J48</f>
        <v>0</v>
      </c>
      <c r="K51" s="22" t="s">
        <v>484</v>
      </c>
    </row>
    <row r="52" spans="1:13">
      <c r="A52" s="25"/>
      <c r="B52" s="26"/>
      <c r="C52" s="26"/>
      <c r="F52" s="26"/>
      <c r="G52" s="26"/>
      <c r="H52" s="416"/>
      <c r="I52" s="26"/>
      <c r="J52" s="415"/>
      <c r="K52" s="26"/>
    </row>
    <row r="53" spans="1:13">
      <c r="A53" s="421" t="s">
        <v>464</v>
      </c>
      <c r="B53" s="26"/>
      <c r="C53" s="26"/>
      <c r="F53" s="26"/>
      <c r="G53" s="26"/>
      <c r="H53" s="416"/>
      <c r="I53" s="26"/>
      <c r="J53" s="415"/>
      <c r="K53" s="26"/>
    </row>
    <row r="54" spans="1:13" ht="18">
      <c r="A54" s="23" t="s">
        <v>257</v>
      </c>
      <c r="B54" s="24"/>
      <c r="C54" s="24"/>
      <c r="D54" s="24" t="s">
        <v>445</v>
      </c>
      <c r="E54" s="24" t="s">
        <v>1</v>
      </c>
      <c r="F54" s="1270">
        <f>MAX(C81:C84)</f>
        <v>260.92371512806506</v>
      </c>
      <c r="G54" s="24" t="s">
        <v>77</v>
      </c>
      <c r="H54" s="24"/>
      <c r="I54" s="24"/>
      <c r="J54" s="24"/>
      <c r="K54" s="24"/>
      <c r="L54" s="24"/>
      <c r="M54" s="24"/>
    </row>
    <row r="55" spans="1:13" ht="18">
      <c r="A55" s="25"/>
      <c r="B55" s="26"/>
      <c r="C55" s="26"/>
      <c r="D55" s="26" t="s">
        <v>467</v>
      </c>
      <c r="E55" s="26" t="s">
        <v>1</v>
      </c>
      <c r="F55" s="418">
        <f>MAX(C78:C79)</f>
        <v>37.928736000000015</v>
      </c>
      <c r="G55" s="26" t="s">
        <v>77</v>
      </c>
      <c r="H55" s="26"/>
      <c r="I55" s="26"/>
      <c r="J55" s="26"/>
      <c r="K55" s="26"/>
      <c r="L55" s="26"/>
      <c r="M55" s="26"/>
    </row>
    <row r="56" spans="1:13" ht="18">
      <c r="A56" s="25"/>
      <c r="B56" s="26"/>
      <c r="C56" s="26"/>
      <c r="D56" s="26" t="s">
        <v>446</v>
      </c>
      <c r="E56" s="26" t="s">
        <v>1</v>
      </c>
      <c r="F56" s="26" t="s">
        <v>468</v>
      </c>
      <c r="G56" s="26"/>
      <c r="H56" s="26" t="s">
        <v>447</v>
      </c>
      <c r="I56" s="26"/>
      <c r="J56" s="26"/>
      <c r="K56" s="26"/>
      <c r="L56" s="26"/>
      <c r="M56" s="26"/>
    </row>
    <row r="57" spans="1:13">
      <c r="A57" s="25"/>
      <c r="B57" s="26"/>
      <c r="C57" s="26"/>
      <c r="D57" s="26"/>
      <c r="E57" s="26" t="s">
        <v>1</v>
      </c>
      <c r="F57" s="419">
        <f>F54-F55</f>
        <v>222.99497912806504</v>
      </c>
      <c r="G57" s="26" t="s">
        <v>77</v>
      </c>
      <c r="H57" s="26"/>
      <c r="I57" s="26"/>
      <c r="J57" s="26"/>
      <c r="K57" s="26"/>
      <c r="L57" s="26"/>
      <c r="M57" s="26"/>
    </row>
    <row r="58" spans="1:13">
      <c r="A58" s="25" t="s">
        <v>464</v>
      </c>
      <c r="B58" s="26"/>
      <c r="C58" s="26"/>
      <c r="D58" s="26"/>
      <c r="E58" s="26"/>
      <c r="F58" s="26"/>
      <c r="G58" s="26"/>
      <c r="H58" s="26"/>
      <c r="I58" s="26"/>
      <c r="J58" s="26"/>
      <c r="K58" s="26"/>
      <c r="L58" s="26"/>
      <c r="M58" s="26"/>
    </row>
    <row r="59" spans="1:13">
      <c r="A59" s="25" t="s">
        <v>465</v>
      </c>
      <c r="B59" s="26"/>
      <c r="C59" s="26"/>
      <c r="D59" s="26" t="s">
        <v>451</v>
      </c>
      <c r="E59" s="26" t="s">
        <v>1</v>
      </c>
      <c r="F59" s="72">
        <f>GEN!H41</f>
        <v>32308.249722965833</v>
      </c>
      <c r="G59" s="26" t="s">
        <v>293</v>
      </c>
      <c r="H59" s="26"/>
      <c r="I59" s="26"/>
      <c r="J59" s="26"/>
      <c r="K59" s="26"/>
      <c r="L59" s="26"/>
      <c r="M59" s="26"/>
    </row>
    <row r="60" spans="1:13">
      <c r="A60" s="25" t="s">
        <v>472</v>
      </c>
      <c r="B60" s="26"/>
      <c r="C60" s="26"/>
      <c r="D60" s="420" t="s">
        <v>60</v>
      </c>
      <c r="E60" s="26" t="s">
        <v>1</v>
      </c>
      <c r="F60" s="367">
        <f>GEN!G55</f>
        <v>1.8237251004215971</v>
      </c>
      <c r="G60" s="26"/>
      <c r="H60" s="365"/>
      <c r="I60" s="365"/>
      <c r="J60" s="365"/>
      <c r="K60" s="365"/>
      <c r="L60" s="365"/>
      <c r="M60" s="26"/>
    </row>
    <row r="61" spans="1:13">
      <c r="A61" s="25" t="s">
        <v>466</v>
      </c>
      <c r="B61" s="26"/>
      <c r="C61" s="26"/>
      <c r="D61" s="26" t="s">
        <v>454</v>
      </c>
      <c r="E61" s="26" t="s">
        <v>1</v>
      </c>
      <c r="F61" s="72">
        <f>F59/(1+F60)</f>
        <v>11441.712126347584</v>
      </c>
      <c r="G61" s="26" t="s">
        <v>293</v>
      </c>
      <c r="H61" s="365"/>
      <c r="I61" s="365"/>
      <c r="J61" s="365"/>
      <c r="K61" s="365"/>
      <c r="L61" s="365"/>
      <c r="M61" s="26"/>
    </row>
    <row r="62" spans="1:13">
      <c r="A62" s="25"/>
      <c r="B62" s="26"/>
      <c r="C62" s="26"/>
      <c r="D62" s="26"/>
      <c r="E62" s="26"/>
      <c r="F62" s="26"/>
      <c r="G62" s="26"/>
      <c r="H62" s="365"/>
      <c r="I62" s="365"/>
      <c r="J62" s="365"/>
      <c r="K62" s="365"/>
      <c r="L62" s="365"/>
      <c r="M62" s="26"/>
    </row>
    <row r="63" spans="1:13" ht="18.75">
      <c r="A63" s="25" t="s">
        <v>475</v>
      </c>
      <c r="B63" s="26"/>
      <c r="C63" s="26"/>
      <c r="D63" s="26" t="s">
        <v>473</v>
      </c>
      <c r="E63" s="26" t="s">
        <v>1</v>
      </c>
      <c r="F63" s="355">
        <f>GEN!H30</f>
        <v>200000</v>
      </c>
      <c r="G63" s="26" t="s">
        <v>474</v>
      </c>
      <c r="H63" s="26"/>
      <c r="I63" s="26"/>
      <c r="J63" s="26"/>
      <c r="K63" s="26"/>
      <c r="L63" s="26"/>
      <c r="M63" s="26"/>
    </row>
    <row r="64" spans="1:13">
      <c r="A64" s="25"/>
      <c r="B64" s="26"/>
      <c r="C64" s="26"/>
      <c r="D64" s="26"/>
      <c r="E64" s="26"/>
      <c r="F64" s="26"/>
      <c r="G64" s="26"/>
      <c r="H64" s="26"/>
      <c r="I64" s="26"/>
      <c r="J64" s="26"/>
      <c r="K64" s="26"/>
      <c r="L64" s="26"/>
      <c r="M64" s="26"/>
    </row>
    <row r="65" spans="1:17">
      <c r="A65" s="25" t="s">
        <v>493</v>
      </c>
      <c r="B65" s="26"/>
      <c r="C65" s="26"/>
      <c r="D65" s="26"/>
      <c r="E65" s="26" t="s">
        <v>1</v>
      </c>
      <c r="F65" s="26" t="s">
        <v>1286</v>
      </c>
      <c r="G65" s="26"/>
      <c r="H65" s="26" t="s">
        <v>1</v>
      </c>
      <c r="I65" s="26">
        <f>F63/F61</f>
        <v>17.479901416104223</v>
      </c>
      <c r="J65" s="26"/>
      <c r="K65" s="26"/>
      <c r="L65" s="26"/>
      <c r="M65" s="26"/>
    </row>
    <row r="66" spans="1:17">
      <c r="A66" s="25"/>
      <c r="B66" s="26"/>
      <c r="C66" s="26"/>
      <c r="D66" s="26"/>
      <c r="E66" s="26"/>
      <c r="F66" s="26"/>
      <c r="G66" s="26"/>
      <c r="H66" s="26"/>
      <c r="I66" s="26"/>
      <c r="J66" s="26"/>
      <c r="K66" s="26"/>
      <c r="L66" s="26"/>
      <c r="M66" s="26"/>
    </row>
    <row r="67" spans="1:17">
      <c r="A67" s="25" t="s">
        <v>599</v>
      </c>
      <c r="B67" s="26"/>
      <c r="C67" s="26"/>
      <c r="D67" s="26"/>
      <c r="E67" s="26"/>
      <c r="F67" s="26"/>
      <c r="G67" s="26"/>
      <c r="H67" s="26"/>
      <c r="I67" s="26"/>
      <c r="J67" s="26"/>
      <c r="K67" s="26"/>
      <c r="L67" s="26"/>
      <c r="M67" s="26"/>
    </row>
    <row r="68" spans="1:17" ht="18">
      <c r="A68" s="25"/>
      <c r="B68" s="26"/>
      <c r="C68" s="26"/>
      <c r="D68" s="26" t="s">
        <v>471</v>
      </c>
      <c r="E68" s="26" t="s">
        <v>1</v>
      </c>
      <c r="F68" s="15" t="s">
        <v>469</v>
      </c>
      <c r="G68" s="15"/>
      <c r="H68" s="26" t="s">
        <v>1</v>
      </c>
      <c r="I68" s="26">
        <f>F59*(F55+F57)/(F57+(1+F60)*F55)</f>
        <v>25538.044529640225</v>
      </c>
      <c r="J68" s="26" t="s">
        <v>144</v>
      </c>
      <c r="K68" s="26"/>
      <c r="L68" s="26"/>
      <c r="M68" s="26"/>
    </row>
    <row r="69" spans="1:17" ht="18">
      <c r="A69" s="25"/>
      <c r="B69" s="26"/>
      <c r="C69" s="26"/>
      <c r="D69" s="26"/>
      <c r="E69" s="26"/>
      <c r="F69" s="26" t="s">
        <v>470</v>
      </c>
      <c r="G69" s="26"/>
      <c r="H69" s="26"/>
      <c r="I69" s="26"/>
      <c r="J69" s="26"/>
      <c r="K69" s="26"/>
      <c r="L69" s="26"/>
      <c r="M69" s="26"/>
    </row>
    <row r="70" spans="1:17">
      <c r="A70" s="25"/>
      <c r="B70" s="26"/>
      <c r="C70" s="26"/>
      <c r="D70" s="26"/>
      <c r="E70" s="26"/>
      <c r="F70" s="26"/>
      <c r="G70" s="26"/>
      <c r="H70" s="26"/>
      <c r="I70" s="26"/>
      <c r="J70" s="26"/>
      <c r="K70" s="26"/>
      <c r="L70" s="26"/>
      <c r="M70" s="26"/>
    </row>
    <row r="71" spans="1:17" ht="18">
      <c r="A71" s="28" t="s">
        <v>495</v>
      </c>
      <c r="B71" s="15"/>
      <c r="C71" s="15"/>
      <c r="D71" s="15"/>
      <c r="E71" s="15" t="s">
        <v>1</v>
      </c>
      <c r="F71" s="15" t="s">
        <v>477</v>
      </c>
      <c r="G71" s="15"/>
      <c r="H71" s="15" t="s">
        <v>1</v>
      </c>
      <c r="I71" s="1269">
        <f>F63/I68</f>
        <v>7.8314531783306265</v>
      </c>
      <c r="J71" s="15"/>
      <c r="K71" s="15"/>
      <c r="L71" s="15"/>
      <c r="M71" s="15"/>
    </row>
    <row r="72" spans="1:17">
      <c r="J72" s="528"/>
    </row>
    <row r="73" spans="1:17">
      <c r="A73" s="1796" t="s">
        <v>596</v>
      </c>
      <c r="B73" s="1595" t="s">
        <v>1761</v>
      </c>
      <c r="C73" s="1589"/>
      <c r="D73" s="1589"/>
      <c r="E73" s="1784" t="s">
        <v>476</v>
      </c>
      <c r="F73" s="1799" t="s">
        <v>1760</v>
      </c>
      <c r="G73" s="1800"/>
      <c r="H73" s="1800"/>
      <c r="I73" s="1800"/>
      <c r="J73" s="1800"/>
      <c r="K73" s="1800"/>
      <c r="L73" s="1801"/>
      <c r="Q73" s="1262"/>
    </row>
    <row r="74" spans="1:17">
      <c r="A74" s="1797"/>
      <c r="B74" s="1597"/>
      <c r="C74" s="1588"/>
      <c r="D74" s="1588"/>
      <c r="E74" s="1785"/>
      <c r="F74" s="1802"/>
      <c r="G74" s="1803"/>
      <c r="H74" s="1803"/>
      <c r="I74" s="1803"/>
      <c r="J74" s="1803"/>
      <c r="K74" s="1803"/>
      <c r="L74" s="1804"/>
    </row>
    <row r="75" spans="1:17" ht="18" customHeight="1">
      <c r="A75" s="1797"/>
      <c r="B75" s="23" t="s">
        <v>597</v>
      </c>
      <c r="C75" s="24" t="s">
        <v>80</v>
      </c>
      <c r="D75" s="24" t="s">
        <v>81</v>
      </c>
      <c r="E75" s="1785"/>
      <c r="F75" s="30" t="s">
        <v>1759</v>
      </c>
      <c r="G75" s="32"/>
      <c r="H75" s="31" t="s">
        <v>1758</v>
      </c>
      <c r="I75" s="32"/>
      <c r="J75" s="1599" t="s">
        <v>1757</v>
      </c>
      <c r="K75" s="1635"/>
      <c r="L75" s="1600"/>
    </row>
    <row r="76" spans="1:17">
      <c r="A76" s="1798"/>
      <c r="B76" s="28" t="s">
        <v>51</v>
      </c>
      <c r="C76" s="15" t="s">
        <v>77</v>
      </c>
      <c r="D76" s="15" t="s">
        <v>77</v>
      </c>
      <c r="E76" s="1786"/>
      <c r="F76" s="1268" t="s">
        <v>60</v>
      </c>
      <c r="G76" s="1492" t="s">
        <v>1756</v>
      </c>
      <c r="H76" s="1267" t="s">
        <v>60</v>
      </c>
      <c r="I76" s="1492" t="s">
        <v>1756</v>
      </c>
      <c r="J76" s="1266" t="s">
        <v>60</v>
      </c>
      <c r="K76" s="1492" t="s">
        <v>1756</v>
      </c>
      <c r="L76" s="399" t="s">
        <v>1755</v>
      </c>
    </row>
    <row r="77" spans="1:17">
      <c r="A77" s="1492"/>
      <c r="B77" s="30"/>
      <c r="C77" s="31"/>
      <c r="D77" s="31"/>
      <c r="E77" s="1497"/>
      <c r="F77" s="1491" t="s">
        <v>829</v>
      </c>
      <c r="G77" s="1492" t="s">
        <v>5</v>
      </c>
      <c r="H77" s="1491" t="s">
        <v>829</v>
      </c>
      <c r="I77" s="1492" t="s">
        <v>5</v>
      </c>
      <c r="J77" s="1491" t="s">
        <v>829</v>
      </c>
      <c r="K77" s="1492" t="s">
        <v>5</v>
      </c>
      <c r="L77" s="399" t="s">
        <v>293</v>
      </c>
    </row>
    <row r="78" spans="1:17">
      <c r="A78" s="34" t="s">
        <v>122</v>
      </c>
      <c r="B78" s="1265">
        <f>S_3.3_SH_SUM!F25</f>
        <v>750.74303866482535</v>
      </c>
      <c r="C78" s="1265">
        <f>S_3.3_SH_SUM!I25</f>
        <v>37.928736000000015</v>
      </c>
      <c r="D78" s="1265">
        <f>S_3.3_SH_SUM!J25+0.01</f>
        <v>0.01</v>
      </c>
      <c r="E78" s="480">
        <f>I65</f>
        <v>17.479901416104223</v>
      </c>
      <c r="F78" s="1280">
        <f>3*PI()/2-ATAN(D78*$J$50/C78/$J$49)</f>
        <v>4.7123795604471157</v>
      </c>
      <c r="G78" s="882">
        <f>$H$48-$H$47*TAN(F78)</f>
        <v>-63691515.35131716</v>
      </c>
      <c r="H78" s="1264">
        <v>4.7123686080734881</v>
      </c>
      <c r="I78" s="1263">
        <v>143052378.96362528</v>
      </c>
      <c r="J78" s="951">
        <f>fidy_itr($B$45:$C$51,$I$33:$M$41,B78:D78,E78,H78,I78,"fi")</f>
        <v>4.7123788697394851</v>
      </c>
      <c r="K78" s="1507">
        <f>fidy_itr($B$45:$C$51,$I$33:$M$41,B78:D78,E78,H78,I78,"dy")</f>
        <v>197089924.37777504</v>
      </c>
      <c r="L78" s="480">
        <f>fidy_itr($B$45:$C$51,$I$33:$M$41,B78:D78,E78,H78,I78,"nst")</f>
        <v>0.18996337758437087</v>
      </c>
      <c r="N78" s="1262"/>
    </row>
    <row r="79" spans="1:17">
      <c r="A79" s="34" t="s">
        <v>123</v>
      </c>
      <c r="B79" s="1265">
        <f>S_3.3_SH_SUM!F26</f>
        <v>747.18872366472965</v>
      </c>
      <c r="C79" s="1265">
        <f>S_3.3_SH_SUM!I26</f>
        <v>37.928736000000015</v>
      </c>
      <c r="D79" s="1265">
        <f>S_3.3_SH_SUM!J26+0.01</f>
        <v>0.01</v>
      </c>
      <c r="E79" s="480">
        <f>E78</f>
        <v>17.479901416104223</v>
      </c>
      <c r="F79" s="1280">
        <f>3*PI()/2-ATAN(D79*$J$50/C79/$J$49)</f>
        <v>4.7123795604471157</v>
      </c>
      <c r="G79" s="882">
        <f>$H$48-$H$47*TAN(F79)</f>
        <v>-63691515.35131716</v>
      </c>
      <c r="H79" s="1264">
        <v>4.7123686080734881</v>
      </c>
      <c r="I79" s="1263">
        <v>142101742.56396264</v>
      </c>
      <c r="J79" s="951">
        <f>fidy_itr($B$45:$C$51,$I$33:$M$41,B79:D79,E79,H79,I79,"fi")</f>
        <v>4.7123788697394859</v>
      </c>
      <c r="K79" s="1507">
        <f>fidy_itr($B$45:$C$51,$I$33:$M$41,B79:D79,E79,H79,I79,"dy")</f>
        <v>195875882.47930759</v>
      </c>
      <c r="L79" s="480">
        <f>fidy_itr($B$45:$C$51,$I$33:$M$41,B79:D79,E79,H79,I79,"nst")</f>
        <v>0.18903740291142423</v>
      </c>
    </row>
    <row r="80" spans="1:17">
      <c r="A80" s="34"/>
      <c r="B80" s="1265"/>
      <c r="C80" s="1265"/>
      <c r="D80" s="1265"/>
      <c r="E80" s="480"/>
      <c r="F80" s="1280"/>
      <c r="G80" s="882"/>
      <c r="H80" s="1264"/>
      <c r="I80" s="1263"/>
      <c r="J80" s="951"/>
      <c r="K80" s="1276"/>
      <c r="L80" s="480"/>
      <c r="N80" s="26"/>
    </row>
    <row r="81" spans="1:18">
      <c r="A81" s="34" t="s">
        <v>126</v>
      </c>
      <c r="B81" s="1265">
        <f>S_3.3_SH_SUM!F28</f>
        <v>891.08875295053963</v>
      </c>
      <c r="C81" s="1265">
        <f>S_3.3_SH_SUM!I28</f>
        <v>212.70473673142865</v>
      </c>
      <c r="D81" s="1265">
        <f>S_3.3_SH_SUM!J28</f>
        <v>-21.766229472329464</v>
      </c>
      <c r="E81" s="480">
        <f>I71</f>
        <v>7.8314531783306265</v>
      </c>
      <c r="F81" s="1280">
        <f>3*PI()/2-ATAN(D81*$J$50/C81/$J$49)</f>
        <v>4.7160451008896418</v>
      </c>
      <c r="G81" s="882">
        <f>$H$48-$H$47*TAN(F81)</f>
        <v>167281.90924658216</v>
      </c>
      <c r="H81" s="1264">
        <v>4.6738391000460453</v>
      </c>
      <c r="I81" s="1263">
        <v>-920.31347162359179</v>
      </c>
      <c r="J81" s="951">
        <f>fidy_itr($B$45:$C$51,$I$33:$M$41,B81:D81,E81,H81,I81,"fi")</f>
        <v>1.578481367070357</v>
      </c>
      <c r="K81" s="1276">
        <f>fidy_itr($B$45:$C$51,$I$33:$M$41,B81:D81,E81,H81,I81,"dy")</f>
        <v>11583.13242257067</v>
      </c>
      <c r="L81" s="480">
        <f>fidy_itr($B$45:$C$51,$I$33:$M$41,B81:D81,E81,H81,I81,"nst")</f>
        <v>-0.2036949141740583</v>
      </c>
      <c r="N81" s="26"/>
    </row>
    <row r="82" spans="1:18">
      <c r="A82" s="34" t="s">
        <v>214</v>
      </c>
      <c r="B82" s="1265">
        <f>S_3.3_SH_SUM!F29</f>
        <v>878.64252437911114</v>
      </c>
      <c r="C82" s="1265">
        <f>S_3.3_SH_SUM!I29</f>
        <v>258.33824548571431</v>
      </c>
      <c r="D82" s="1265">
        <f>S_3.3_SH_SUM!J29</f>
        <v>-19.835942761904757</v>
      </c>
      <c r="E82" s="480">
        <f>E81</f>
        <v>7.8314531783306265</v>
      </c>
      <c r="F82" s="1280">
        <f>3*PI()/2-ATAN(D82*$J$50/C82/$J$49)</f>
        <v>4.7151323191837546</v>
      </c>
      <c r="G82" s="882">
        <f>$H$48-$H$47*TAN(F82)</f>
        <v>221885.30880814922</v>
      </c>
      <c r="H82" s="1264">
        <v>4.6843984649330084</v>
      </c>
      <c r="I82" s="1263">
        <v>-8524.3268749763938</v>
      </c>
      <c r="J82" s="951">
        <f>fidy_itr($B$45:$C$51,$I$33:$M$41,B82:D82,E82,H82,I82,"fi")</f>
        <v>1.5777432951340602</v>
      </c>
      <c r="K82" s="1276">
        <f>fidy_itr($B$45:$C$51,$I$33:$M$41,B82:D82,E82,H82,I82,"dy")</f>
        <v>34398.808868136904</v>
      </c>
      <c r="L82" s="480">
        <f>fidy_itr($B$45:$C$51,$I$33:$M$41,B82:D82,E82,H82,I82,"nst")</f>
        <v>-0.83508800017724238</v>
      </c>
      <c r="N82" s="26"/>
    </row>
    <row r="83" spans="1:18">
      <c r="A83" s="34" t="s">
        <v>215</v>
      </c>
      <c r="B83" s="1265">
        <f>S_3.3_SH_SUM!F30</f>
        <v>887.53443795044393</v>
      </c>
      <c r="C83" s="1265">
        <f>S_3.3_SH_SUM!I30</f>
        <v>215.29020637377937</v>
      </c>
      <c r="D83" s="1265">
        <f>S_3.3_SH_SUM!J30</f>
        <v>-20.493957330052922</v>
      </c>
      <c r="E83" s="480">
        <f>E82</f>
        <v>7.8314531783306265</v>
      </c>
      <c r="F83" s="1280">
        <f>3*PI()/2-ATAN(D83*$J$50/C83/$J$49)</f>
        <v>4.7157900558901078</v>
      </c>
      <c r="G83" s="882">
        <f>$H$48-$H$47*TAN(F83)</f>
        <v>179588.36766020689</v>
      </c>
      <c r="H83" s="1264">
        <v>4.67387745732076</v>
      </c>
      <c r="I83" s="1263">
        <v>-1202.708441955423</v>
      </c>
      <c r="J83" s="951">
        <f>fidy_itr($B$45:$C$51,$I$33:$M$41,B83:D83,E83,H83,I83,"fi")</f>
        <v>1.5782298084724873</v>
      </c>
      <c r="K83" s="1276">
        <f>fidy_itr($B$45:$C$51,$I$33:$M$41,B83:D83,E83,H83,I83,"dy")</f>
        <v>13359.482598837914</v>
      </c>
      <c r="L83" s="480">
        <f>fidy_itr($B$45:$C$51,$I$33:$M$41,B83:D83,E83,H83,I83,"nst")</f>
        <v>-0.23311093568908839</v>
      </c>
    </row>
    <row r="84" spans="1:18">
      <c r="A84" s="34" t="s">
        <v>216</v>
      </c>
      <c r="B84" s="1265">
        <f>S_3.3_SH_SUM!F31</f>
        <v>875.08820937901544</v>
      </c>
      <c r="C84" s="1265">
        <f>S_3.3_SH_SUM!I31</f>
        <v>260.92371512806506</v>
      </c>
      <c r="D84" s="1265">
        <f>S_3.3_SH_SUM!J31</f>
        <v>-18.563670619628216</v>
      </c>
      <c r="E84" s="480">
        <f>E83</f>
        <v>7.8314531783306265</v>
      </c>
      <c r="F84" s="1280">
        <f>3*PI()/2-ATAN(D84*$J$50/C84/$J$49)</f>
        <v>4.7149309231026999</v>
      </c>
      <c r="G84" s="882">
        <f>$H$48-$H$47*TAN(F84)</f>
        <v>239213.69306677979</v>
      </c>
      <c r="H84" s="1264">
        <v>4.6844741737310205</v>
      </c>
      <c r="I84" s="1263">
        <v>-8948.5007181794608</v>
      </c>
      <c r="J84" s="951">
        <f>fidy_itr($B$45:$C$51,$I$33:$M$41,B84:D84,E84,H84,I84,"fi")</f>
        <v>1.5778525875445231</v>
      </c>
      <c r="K84" s="1276">
        <f>fidy_itr($B$45:$C$51,$I$33:$M$41,B84:D84,E84,H84,I84,"dy")</f>
        <v>35447.62822374294</v>
      </c>
      <c r="L84" s="480">
        <f>fidy_itr($B$45:$C$51,$I$33:$M$41,B84:D84,E84,H84,I84,"nst")</f>
        <v>-0.89435819528785376</v>
      </c>
    </row>
    <row r="85" spans="1:18">
      <c r="A85" s="58"/>
      <c r="B85" s="28"/>
      <c r="C85" s="15"/>
      <c r="D85" s="15"/>
      <c r="E85" s="1510"/>
      <c r="F85" s="28"/>
      <c r="G85" s="22"/>
      <c r="H85" s="15"/>
      <c r="I85" s="15"/>
      <c r="J85" s="28"/>
      <c r="K85" s="58"/>
      <c r="L85" s="58"/>
      <c r="R85" s="1262"/>
    </row>
    <row r="86" spans="1:18">
      <c r="A86" s="26"/>
      <c r="B86" s="26"/>
      <c r="C86" s="26"/>
      <c r="D86" s="26"/>
      <c r="E86" s="26"/>
      <c r="F86" s="26"/>
      <c r="G86" s="26"/>
      <c r="H86" s="26"/>
      <c r="I86" s="26"/>
      <c r="J86" s="26"/>
      <c r="K86" s="26"/>
      <c r="L86" s="26"/>
      <c r="M86" s="26"/>
      <c r="N86" s="26"/>
      <c r="O86" s="26"/>
    </row>
    <row r="87" spans="1:18">
      <c r="A87" s="23"/>
      <c r="B87" s="24"/>
      <c r="C87" s="24"/>
      <c r="D87" s="21"/>
      <c r="E87" s="1492" t="s">
        <v>30</v>
      </c>
      <c r="F87" s="1491" t="s">
        <v>170</v>
      </c>
      <c r="G87" s="1261"/>
      <c r="H87" s="1260"/>
      <c r="I87" s="1492" t="s">
        <v>30</v>
      </c>
      <c r="J87" s="1492" t="s">
        <v>170</v>
      </c>
      <c r="K87" s="1260"/>
      <c r="L87" s="1260"/>
      <c r="M87" s="1784" t="s">
        <v>1754</v>
      </c>
      <c r="O87" s="149"/>
      <c r="P87" s="26"/>
    </row>
    <row r="88" spans="1:18">
      <c r="A88" s="273"/>
      <c r="B88" s="26"/>
      <c r="C88" s="26"/>
      <c r="D88" s="27"/>
      <c r="E88" s="1257">
        <f>B48</f>
        <v>1200</v>
      </c>
      <c r="F88" s="1259">
        <f>C48</f>
        <v>0</v>
      </c>
      <c r="G88" s="1258"/>
      <c r="H88" s="1256"/>
      <c r="I88" s="1257">
        <f>50+16+16/2</f>
        <v>74</v>
      </c>
      <c r="J88" s="1234">
        <f>C46</f>
        <v>6348.5281374238575</v>
      </c>
      <c r="K88" s="1256"/>
      <c r="L88" s="1256"/>
      <c r="M88" s="1785"/>
      <c r="O88" s="26"/>
      <c r="P88" s="26"/>
    </row>
    <row r="89" spans="1:18">
      <c r="A89" s="273"/>
      <c r="B89" s="26"/>
      <c r="C89" s="26"/>
      <c r="D89" s="27"/>
      <c r="E89" s="1591" t="s">
        <v>1753</v>
      </c>
      <c r="F89" s="1592"/>
      <c r="G89" s="1787" t="s">
        <v>1752</v>
      </c>
      <c r="H89" s="1788"/>
      <c r="I89" s="1591" t="s">
        <v>1751</v>
      </c>
      <c r="J89" s="1592"/>
      <c r="K89" s="1787" t="s">
        <v>1750</v>
      </c>
      <c r="L89" s="1791"/>
      <c r="M89" s="1785"/>
    </row>
    <row r="90" spans="1:18">
      <c r="A90" s="273" t="s">
        <v>1749</v>
      </c>
      <c r="B90" s="26"/>
      <c r="C90" s="26"/>
      <c r="D90" s="27"/>
      <c r="E90" s="1593"/>
      <c r="F90" s="1594"/>
      <c r="G90" s="1789"/>
      <c r="H90" s="1790"/>
      <c r="I90" s="1593"/>
      <c r="J90" s="1594"/>
      <c r="K90" s="1789"/>
      <c r="L90" s="1792"/>
      <c r="M90" s="1786"/>
    </row>
    <row r="91" spans="1:18" ht="15" customHeight="1">
      <c r="A91" s="23" t="s">
        <v>122</v>
      </c>
      <c r="B91" s="1503"/>
      <c r="C91" s="1503"/>
      <c r="D91" s="1504"/>
      <c r="E91" s="154">
        <f>stress_c($B$45:$C$51,$I$33:$M$41,B78:D78,E78,H78,I78,$E$88,$F$88)</f>
        <v>1.1100802287031741</v>
      </c>
      <c r="F91" s="26"/>
      <c r="G91" s="1255">
        <f>L25</f>
        <v>12.6</v>
      </c>
      <c r="H91" s="1509" t="str">
        <f>IF(E91&lt;G91,"OK","REVISE")</f>
        <v>OK</v>
      </c>
      <c r="I91" s="38">
        <f>stress_c($B$45:$C$51,$I$33:$M$41,B78:D78,E78,H78,I78,$I$88,$J$88)*E78</f>
        <v>12.560289575305362</v>
      </c>
      <c r="J91" s="26"/>
      <c r="K91" s="1254">
        <f>-J27</f>
        <v>-300</v>
      </c>
      <c r="L91" s="1509" t="str">
        <f>IF(I91&gt;K91,"OK","REVISE")</f>
        <v>OK</v>
      </c>
      <c r="M91" s="27">
        <f>($C$48-TAN(J78)*$B$48-K78)/(SQRT((TAN(J78))^2+1))</f>
        <v>-3192.7062987299196</v>
      </c>
    </row>
    <row r="92" spans="1:18">
      <c r="A92" s="25" t="s">
        <v>123</v>
      </c>
      <c r="B92" s="1251"/>
      <c r="C92" s="1251"/>
      <c r="D92" s="1250"/>
      <c r="E92" s="154">
        <f>stress_c($B$45:$C$51,$I$33:$M$41,B79:D79,E79,H79,I79,$E$88,$F$88)</f>
        <v>1.1058123905070563</v>
      </c>
      <c r="F92" s="26"/>
      <c r="G92" s="1253">
        <f>G91</f>
        <v>12.6</v>
      </c>
      <c r="H92" s="557" t="str">
        <f>IF(E92&lt;G92,"OK","REVISE")</f>
        <v>OK</v>
      </c>
      <c r="I92" s="38">
        <f>stress_c($B$45:$C$51,$I$33:$M$41,B79:D79,E79,H79,I79,$I$88,$J$88)*E79</f>
        <v>12.485688184377347</v>
      </c>
      <c r="J92" s="26"/>
      <c r="K92" s="1252">
        <f>K91</f>
        <v>-300</v>
      </c>
      <c r="L92" s="557" t="str">
        <f>IF(I92&gt;K92,"OK","REVISE")</f>
        <v>OK</v>
      </c>
      <c r="M92" s="27">
        <f>($C$48-TAN(J79)*$B$48-K79)/(SQRT((TAN(J79))^2+1))</f>
        <v>-3180.4315516569854</v>
      </c>
    </row>
    <row r="93" spans="1:18">
      <c r="A93" s="25"/>
      <c r="B93" s="1251"/>
      <c r="C93" s="1251"/>
      <c r="D93" s="1250"/>
      <c r="E93" s="154"/>
      <c r="F93" s="26"/>
      <c r="G93" s="1253"/>
      <c r="H93" s="557"/>
      <c r="I93" s="38"/>
      <c r="J93" s="26"/>
      <c r="K93" s="1252"/>
      <c r="L93" s="557"/>
      <c r="M93" s="27"/>
    </row>
    <row r="94" spans="1:18" ht="15" customHeight="1">
      <c r="A94" s="25" t="s">
        <v>214</v>
      </c>
      <c r="B94" s="1251"/>
      <c r="C94" s="1251"/>
      <c r="D94" s="1250"/>
      <c r="E94" s="154">
        <f>stress_c($B$45:$C$51,$I$33:$M$41,B81:D81,E81,H81,I81,$E$88,$F$88)</f>
        <v>2.3550631667927284</v>
      </c>
      <c r="F94" s="26"/>
      <c r="G94" s="1253">
        <f>L24</f>
        <v>16.8</v>
      </c>
      <c r="H94" s="557" t="str">
        <f>IF(E94&lt;G94,"OK","REVISE")</f>
        <v>OK</v>
      </c>
      <c r="I94" s="38">
        <f>stress_c($B$45:$C$51,$I$33:$M$41,B81:D81,E81,H81,I81,$I$88,$J$88)*E81</f>
        <v>0.56063842361371852</v>
      </c>
      <c r="J94" s="26"/>
      <c r="K94" s="1252">
        <f>K92</f>
        <v>-300</v>
      </c>
      <c r="L94" s="557" t="str">
        <f>IF(I94&gt;K94,"OK","REVISE")</f>
        <v>OK</v>
      </c>
      <c r="M94" s="27">
        <f>($C$48-TAN(J81)*$B$48-K81)/(SQRT((TAN(J81))^2+1))</f>
        <v>1110.9486013020539</v>
      </c>
    </row>
    <row r="95" spans="1:18">
      <c r="A95" s="25" t="s">
        <v>215</v>
      </c>
      <c r="B95" s="1251"/>
      <c r="C95" s="1251"/>
      <c r="D95" s="1250"/>
      <c r="E95" s="154">
        <f>stress_c($B$45:$C$51,$I$33:$M$41,B82:D82,E82,H82,I82,$E$88,$F$88)</f>
        <v>2.6913790141495322</v>
      </c>
      <c r="F95" s="26"/>
      <c r="G95" s="1253">
        <f>G94</f>
        <v>16.8</v>
      </c>
      <c r="H95" s="557" t="str">
        <f>IF(E95&lt;G95,"OK","REVISE")</f>
        <v>OK</v>
      </c>
      <c r="I95" s="38">
        <f>stress_c($B$45:$C$51,$I$33:$M$41,B82:D82,E82,H82,I82,$I$88,$J$88)*E82</f>
        <v>-2.6508829941610843</v>
      </c>
      <c r="J95" s="26"/>
      <c r="K95" s="1252">
        <f>K94</f>
        <v>-300</v>
      </c>
      <c r="L95" s="557" t="str">
        <f>IF(I95&gt;K95,"OK","REVISE")</f>
        <v>OK</v>
      </c>
      <c r="M95" s="27">
        <f>($C$48-TAN(J82)*$B$48-K82)/(SQRT((TAN(J82))^2+1))</f>
        <v>961.00552988791048</v>
      </c>
    </row>
    <row r="96" spans="1:18">
      <c r="A96" s="25" t="s">
        <v>216</v>
      </c>
      <c r="B96" s="1251"/>
      <c r="C96" s="1251"/>
      <c r="D96" s="1250"/>
      <c r="E96" s="154">
        <f>stress_c($B$45:$C$51,$I$33:$M$41,B83:D83,E83,H83,I83,$E$88,$F$88)</f>
        <v>2.3702870646174707</v>
      </c>
      <c r="F96" s="26"/>
      <c r="G96" s="1253">
        <f>G95</f>
        <v>16.8</v>
      </c>
      <c r="H96" s="557" t="str">
        <f>IF(E96&lt;G96,"OK","REVISE")</f>
        <v>OK</v>
      </c>
      <c r="I96" s="38">
        <f>stress_c($B$45:$C$51,$I$33:$M$41,B83:D83,E83,H83,I83,$I$88,$J$88)*E83</f>
        <v>0.36905372977533996</v>
      </c>
      <c r="J96" s="26"/>
      <c r="K96" s="1252">
        <f>K95</f>
        <v>-300</v>
      </c>
      <c r="L96" s="557" t="str">
        <f>IF(I96&gt;K96,"OK","REVISE")</f>
        <v>OK</v>
      </c>
      <c r="M96" s="27">
        <f>($C$48-TAN(J83)*$B$48-K83)/(SQRT((TAN(J83))^2+1))</f>
        <v>1100.6602916060158</v>
      </c>
    </row>
    <row r="97" spans="1:17">
      <c r="A97" s="25" t="s">
        <v>222</v>
      </c>
      <c r="B97" s="1251"/>
      <c r="C97" s="1251"/>
      <c r="D97" s="1250"/>
      <c r="E97" s="154">
        <f>stress_c($B$45:$C$51,$I$33:$M$41,B84:D84,E84,H84,I84,$E$88,$F$88)</f>
        <v>2.7117389513641079</v>
      </c>
      <c r="F97" s="26"/>
      <c r="G97" s="1253">
        <f>G96</f>
        <v>16.8</v>
      </c>
      <c r="H97" s="557" t="str">
        <f>IF(E97&lt;G97,"OK","REVISE")</f>
        <v>OK</v>
      </c>
      <c r="I97" s="38">
        <f>stress_c($B$45:$C$51,$I$33:$M$41,B84:D84,E84,H84,I84,$I$88,$J$88)*E84</f>
        <v>-2.9363302409127785</v>
      </c>
      <c r="J97" s="26"/>
      <c r="K97" s="1252">
        <f>K96</f>
        <v>-300</v>
      </c>
      <c r="L97" s="557" t="str">
        <f>IF(I97&gt;K97,"OK","REVISE")</f>
        <v>OK</v>
      </c>
      <c r="M97" s="27">
        <f>($C$48-TAN(J84)*$B$48-K84)/(SQRT((TAN(J84))^2+1))</f>
        <v>949.84449360388282</v>
      </c>
    </row>
    <row r="98" spans="1:17">
      <c r="A98" s="28"/>
      <c r="B98" s="1249"/>
      <c r="C98" s="1249"/>
      <c r="D98" s="1248"/>
      <c r="E98" s="15"/>
      <c r="F98" s="15"/>
      <c r="G98" s="28"/>
      <c r="H98" s="22"/>
      <c r="I98" s="15"/>
      <c r="J98" s="15"/>
      <c r="K98" s="28"/>
      <c r="L98" s="22"/>
      <c r="M98" s="22"/>
    </row>
    <row r="99" spans="1:17">
      <c r="A99" s="26"/>
      <c r="B99" s="26"/>
      <c r="C99" s="26"/>
      <c r="D99" s="26"/>
      <c r="E99" s="26"/>
      <c r="F99" s="26"/>
      <c r="G99" s="26"/>
      <c r="H99" s="26"/>
      <c r="I99" s="26"/>
      <c r="J99" s="26"/>
      <c r="K99" s="26"/>
      <c r="L99" s="26"/>
      <c r="M99" s="26"/>
      <c r="N99" s="26"/>
    </row>
    <row r="100" spans="1:17">
      <c r="A100" s="26"/>
      <c r="B100" s="26"/>
      <c r="C100" s="26"/>
      <c r="D100" s="26"/>
      <c r="E100" s="26"/>
      <c r="F100" s="26"/>
      <c r="G100" s="26"/>
      <c r="H100" s="26"/>
      <c r="I100" s="26"/>
      <c r="J100" s="26"/>
      <c r="K100" s="26"/>
      <c r="L100" s="26"/>
      <c r="M100" s="26"/>
      <c r="N100" s="26"/>
    </row>
    <row r="101" spans="1:17">
      <c r="A101" s="1" t="s">
        <v>1748</v>
      </c>
      <c r="E101" s="26"/>
      <c r="F101" s="26"/>
      <c r="G101" s="26"/>
      <c r="H101" s="26"/>
      <c r="I101" s="26"/>
      <c r="J101" s="26"/>
      <c r="K101" s="26"/>
      <c r="L101" s="26"/>
      <c r="M101" s="26"/>
      <c r="N101" s="26"/>
    </row>
    <row r="102" spans="1:17" ht="18">
      <c r="A102" s="1" t="s">
        <v>1746</v>
      </c>
      <c r="C102" s="1" t="s">
        <v>1747</v>
      </c>
      <c r="F102" s="26"/>
      <c r="G102" s="26"/>
      <c r="H102" s="26"/>
      <c r="I102" s="26"/>
      <c r="J102" s="26"/>
      <c r="K102" s="26"/>
      <c r="L102" s="26"/>
      <c r="M102" s="26"/>
      <c r="N102" s="26"/>
    </row>
    <row r="103" spans="1:17">
      <c r="F103" s="26"/>
      <c r="G103" s="26"/>
      <c r="H103" s="26"/>
      <c r="I103" s="26"/>
      <c r="J103" s="26"/>
      <c r="K103" s="26"/>
      <c r="L103" s="26"/>
      <c r="M103" s="26"/>
      <c r="N103" s="26"/>
      <c r="O103" s="26"/>
      <c r="P103" s="26"/>
      <c r="Q103" s="26"/>
    </row>
    <row r="104" spans="1:17" ht="18">
      <c r="A104" s="1" t="s">
        <v>1746</v>
      </c>
      <c r="C104" s="1588" t="s">
        <v>1745</v>
      </c>
      <c r="D104" s="1588"/>
      <c r="E104" s="1588"/>
      <c r="F104" s="26"/>
      <c r="G104" s="26"/>
      <c r="H104" s="26"/>
      <c r="I104" s="26"/>
      <c r="J104" s="26"/>
      <c r="K104" s="26"/>
      <c r="L104" s="26"/>
      <c r="M104" s="26"/>
      <c r="N104" s="26"/>
      <c r="O104" s="26"/>
      <c r="P104" s="26"/>
      <c r="Q104" s="26"/>
    </row>
    <row r="105" spans="1:17" ht="18">
      <c r="C105" s="1589" t="s">
        <v>1744</v>
      </c>
      <c r="D105" s="1589"/>
      <c r="E105" s="1589"/>
    </row>
    <row r="107" spans="1:17" ht="18">
      <c r="A107" s="1" t="s">
        <v>1743</v>
      </c>
      <c r="B107" s="1" t="s">
        <v>1</v>
      </c>
      <c r="C107" s="1" t="s">
        <v>1742</v>
      </c>
      <c r="D107" s="528" t="s">
        <v>54</v>
      </c>
      <c r="E107" s="1588" t="s">
        <v>1741</v>
      </c>
      <c r="F107" s="1588"/>
      <c r="G107" s="1588"/>
      <c r="H107" s="1588"/>
      <c r="I107" s="1588"/>
      <c r="J107" s="1782" t="s">
        <v>1740</v>
      </c>
      <c r="K107" s="1782"/>
    </row>
    <row r="108" spans="1:17" ht="18.75">
      <c r="D108" s="528"/>
      <c r="E108" s="1783" t="s">
        <v>1739</v>
      </c>
      <c r="F108" s="1783"/>
      <c r="G108" s="1783"/>
      <c r="H108" s="1783"/>
      <c r="I108" s="1783"/>
      <c r="J108" s="1782"/>
      <c r="K108" s="1782"/>
    </row>
    <row r="109" spans="1:17">
      <c r="D109" s="528"/>
    </row>
    <row r="110" spans="1:17" ht="18">
      <c r="C110" s="116"/>
      <c r="D110" s="528" t="s">
        <v>54</v>
      </c>
      <c r="E110" s="1588" t="s">
        <v>1738</v>
      </c>
      <c r="F110" s="1588"/>
      <c r="G110" s="1588"/>
      <c r="H110" s="1588"/>
      <c r="I110" s="1588"/>
      <c r="J110" s="1782" t="s">
        <v>1737</v>
      </c>
      <c r="K110" s="1782"/>
    </row>
    <row r="111" spans="1:17" ht="18.75">
      <c r="C111" s="116"/>
      <c r="E111" s="1783" t="s">
        <v>1736</v>
      </c>
      <c r="F111" s="1783"/>
      <c r="G111" s="1783"/>
      <c r="H111" s="1783"/>
      <c r="I111" s="1783"/>
      <c r="J111" s="1782"/>
      <c r="K111" s="1782"/>
    </row>
    <row r="113" spans="1:13">
      <c r="A113" s="9" t="s">
        <v>502</v>
      </c>
      <c r="B113" s="116"/>
      <c r="C113" s="116"/>
      <c r="D113" s="116"/>
      <c r="E113" s="116"/>
      <c r="F113" s="116"/>
      <c r="G113" s="116"/>
      <c r="H113" s="116"/>
      <c r="I113" s="116"/>
      <c r="J113" s="116"/>
      <c r="K113" s="116"/>
      <c r="L113" s="116"/>
      <c r="M113" s="116"/>
    </row>
    <row r="114" spans="1:13">
      <c r="A114" s="116"/>
      <c r="B114" s="116"/>
      <c r="C114" s="116"/>
      <c r="D114" s="116"/>
      <c r="E114" s="116"/>
      <c r="F114" s="116"/>
      <c r="G114" s="116"/>
      <c r="H114" s="116"/>
      <c r="I114" s="116"/>
      <c r="J114" s="116"/>
      <c r="K114" s="116"/>
      <c r="L114" s="116"/>
      <c r="M114" s="116"/>
    </row>
    <row r="115" spans="1:13">
      <c r="A115" s="84" t="s">
        <v>505</v>
      </c>
      <c r="L115" s="116"/>
      <c r="M115" s="116"/>
    </row>
    <row r="116" spans="1:13" ht="18">
      <c r="A116" s="1" t="s">
        <v>519</v>
      </c>
      <c r="C116" s="1" t="s">
        <v>1</v>
      </c>
      <c r="D116" s="1" t="s">
        <v>507</v>
      </c>
      <c r="H116" s="57" t="s">
        <v>508</v>
      </c>
      <c r="L116" s="116"/>
      <c r="M116" s="116"/>
    </row>
    <row r="117" spans="1:13">
      <c r="A117" s="1" t="s">
        <v>509</v>
      </c>
      <c r="L117" s="116"/>
      <c r="M117" s="116"/>
    </row>
    <row r="118" spans="1:13">
      <c r="A118" s="1" t="s">
        <v>510</v>
      </c>
      <c r="C118" s="1" t="s">
        <v>1</v>
      </c>
      <c r="D118" s="4">
        <v>0.4</v>
      </c>
      <c r="E118" s="1" t="s">
        <v>511</v>
      </c>
      <c r="L118" s="116"/>
      <c r="M118" s="116"/>
    </row>
    <row r="119" spans="1:13">
      <c r="L119" s="116"/>
      <c r="M119" s="116"/>
    </row>
    <row r="120" spans="1:13">
      <c r="A120" s="1" t="s">
        <v>169</v>
      </c>
      <c r="C120" s="1" t="s">
        <v>1</v>
      </c>
      <c r="D120" s="1">
        <f>D20/1000</f>
        <v>1.2</v>
      </c>
      <c r="E120" s="1" t="s">
        <v>2</v>
      </c>
      <c r="F120" s="1" t="s">
        <v>117</v>
      </c>
      <c r="G120" s="1" t="s">
        <v>435</v>
      </c>
      <c r="H120" s="1" t="s">
        <v>1</v>
      </c>
      <c r="I120" s="4">
        <v>1</v>
      </c>
      <c r="J120" s="1" t="s">
        <v>2</v>
      </c>
      <c r="L120" s="116"/>
      <c r="M120" s="116"/>
    </row>
    <row r="121" spans="1:13">
      <c r="A121" s="1" t="s">
        <v>424</v>
      </c>
      <c r="C121" s="1" t="s">
        <v>1</v>
      </c>
      <c r="D121" s="4">
        <f>data_polation(D120,Q2:R5,2)</f>
        <v>0.65</v>
      </c>
      <c r="L121" s="116"/>
      <c r="M121" s="116"/>
    </row>
    <row r="122" spans="1:13">
      <c r="L122" s="116"/>
      <c r="M122" s="116"/>
    </row>
    <row r="123" spans="1:13" ht="18">
      <c r="A123" s="1" t="s">
        <v>512</v>
      </c>
      <c r="C123" s="1" t="s">
        <v>1</v>
      </c>
      <c r="D123" s="1" t="s">
        <v>352</v>
      </c>
      <c r="L123" s="116"/>
      <c r="M123" s="116"/>
    </row>
    <row r="124" spans="1:13">
      <c r="C124" s="1" t="s">
        <v>1</v>
      </c>
      <c r="D124" s="173">
        <f>GEN!H24</f>
        <v>2.7712675746635549</v>
      </c>
      <c r="E124" s="1" t="s">
        <v>293</v>
      </c>
      <c r="L124" s="116"/>
      <c r="M124" s="116"/>
    </row>
    <row r="125" spans="1:13">
      <c r="L125" s="116"/>
      <c r="M125" s="116"/>
    </row>
    <row r="126" spans="1:13">
      <c r="A126" s="1" t="s">
        <v>513</v>
      </c>
      <c r="C126" s="1" t="s">
        <v>1</v>
      </c>
      <c r="D126" s="1672" t="s">
        <v>559</v>
      </c>
      <c r="E126" s="1672"/>
      <c r="F126" s="1672"/>
      <c r="G126" s="1672"/>
      <c r="H126" s="1672"/>
      <c r="I126" s="1672"/>
      <c r="J126" s="1672"/>
      <c r="K126" s="1672"/>
      <c r="L126" s="1672"/>
      <c r="M126" s="116"/>
    </row>
    <row r="127" spans="1:13">
      <c r="D127" s="1672"/>
      <c r="E127" s="1672"/>
      <c r="F127" s="1672"/>
      <c r="G127" s="1672"/>
      <c r="H127" s="1672"/>
      <c r="I127" s="1672"/>
      <c r="J127" s="1672"/>
      <c r="K127" s="1672"/>
      <c r="L127" s="1672"/>
      <c r="M127" s="116"/>
    </row>
    <row r="128" spans="1:13">
      <c r="D128" s="1672"/>
      <c r="E128" s="1672"/>
      <c r="F128" s="1672"/>
      <c r="G128" s="1672"/>
      <c r="H128" s="1672"/>
      <c r="I128" s="1672"/>
      <c r="J128" s="1672"/>
      <c r="K128" s="1672"/>
      <c r="L128" s="1672"/>
      <c r="M128" s="116"/>
    </row>
    <row r="129" spans="1:13">
      <c r="A129" s="1" t="s">
        <v>513</v>
      </c>
      <c r="C129" s="1" t="s">
        <v>1</v>
      </c>
      <c r="D129" s="1" t="s">
        <v>518</v>
      </c>
      <c r="L129" s="116"/>
      <c r="M129" s="116"/>
    </row>
    <row r="130" spans="1:13" ht="17.25">
      <c r="C130" s="1" t="s">
        <v>1</v>
      </c>
      <c r="D130" s="1">
        <f>I120*D120/2</f>
        <v>0.6</v>
      </c>
      <c r="E130" s="1" t="s">
        <v>458</v>
      </c>
      <c r="M130" s="116"/>
    </row>
    <row r="131" spans="1:13">
      <c r="M131" s="116"/>
    </row>
    <row r="132" spans="1:13" ht="18">
      <c r="A132" s="1" t="s">
        <v>514</v>
      </c>
      <c r="C132" s="1" t="s">
        <v>1</v>
      </c>
      <c r="D132" s="1" t="s">
        <v>517</v>
      </c>
      <c r="L132" s="116"/>
      <c r="M132" s="116"/>
    </row>
    <row r="133" spans="1:13">
      <c r="C133" s="1" t="s">
        <v>1</v>
      </c>
      <c r="D133" s="1" t="s">
        <v>295</v>
      </c>
      <c r="L133" s="116"/>
      <c r="M133" s="116"/>
    </row>
    <row r="134" spans="1:13">
      <c r="A134" s="116"/>
      <c r="B134" s="116"/>
      <c r="C134" s="1" t="s">
        <v>1</v>
      </c>
      <c r="D134" s="1247">
        <f>L9</f>
        <v>500</v>
      </c>
      <c r="E134" s="1" t="s">
        <v>293</v>
      </c>
      <c r="F134" s="116"/>
      <c r="G134" s="116"/>
      <c r="H134" s="116"/>
      <c r="I134" s="116"/>
      <c r="J134" s="116"/>
      <c r="K134" s="116"/>
      <c r="L134" s="116"/>
      <c r="M134" s="116"/>
    </row>
    <row r="135" spans="1:13">
      <c r="A135" s="116"/>
      <c r="B135" s="116"/>
      <c r="C135" s="116"/>
      <c r="D135" s="116"/>
      <c r="E135" s="116"/>
      <c r="F135" s="116"/>
      <c r="G135" s="116"/>
      <c r="H135" s="116"/>
      <c r="I135" s="116"/>
      <c r="J135" s="116"/>
      <c r="K135" s="116"/>
      <c r="L135" s="116"/>
      <c r="M135" s="116"/>
    </row>
    <row r="136" spans="1:13" ht="18.75">
      <c r="A136" s="1" t="s">
        <v>506</v>
      </c>
      <c r="B136" s="116"/>
      <c r="C136" s="116" t="s">
        <v>1</v>
      </c>
      <c r="D136" s="1">
        <f>D118*D121*D124*(D130*10^6)/D134</f>
        <v>864.63548329502919</v>
      </c>
      <c r="E136" s="116" t="s">
        <v>410</v>
      </c>
      <c r="F136" s="528" t="str">
        <f>IF(G136&lt;D136,"&gt;","&lt;")</f>
        <v>&lt;</v>
      </c>
      <c r="G136" s="1508">
        <f>(H37+H38)/G12*1000</f>
        <v>1931.9088541665383</v>
      </c>
      <c r="H136" s="116" t="s">
        <v>1735</v>
      </c>
      <c r="K136" s="116"/>
      <c r="L136" s="333" t="str">
        <f>IF(G136&lt;D136,"REVISE","OK")</f>
        <v>OK</v>
      </c>
      <c r="M136" s="333"/>
    </row>
    <row r="137" spans="1:13" ht="17.25">
      <c r="B137" s="116"/>
      <c r="C137" s="116"/>
      <c r="E137" s="116"/>
      <c r="F137" s="528" t="str">
        <f>IF(G137&lt;D136,"&gt;","&lt;")</f>
        <v>&lt;</v>
      </c>
      <c r="G137" s="1092">
        <f>(H39+H40)/G12*1000</f>
        <v>1931.9088541665383</v>
      </c>
      <c r="H137" s="270" t="s">
        <v>1734</v>
      </c>
      <c r="I137" s="8"/>
      <c r="J137" s="8"/>
      <c r="K137" s="116"/>
      <c r="L137" s="333" t="str">
        <f>IF(G137&lt;D136,"REVISE","OK")</f>
        <v>OK</v>
      </c>
      <c r="M137" s="333"/>
    </row>
    <row r="138" spans="1:13">
      <c r="B138" s="116"/>
      <c r="C138" s="116"/>
      <c r="E138" s="116"/>
      <c r="F138" s="116"/>
      <c r="G138" s="116"/>
      <c r="H138" s="116"/>
      <c r="I138" s="116"/>
      <c r="J138" s="116"/>
      <c r="K138" s="116"/>
      <c r="L138" s="116"/>
      <c r="M138" s="116"/>
    </row>
    <row r="139" spans="1:13">
      <c r="A139" s="214" t="s">
        <v>520</v>
      </c>
      <c r="F139" s="57" t="s">
        <v>521</v>
      </c>
      <c r="I139" s="116"/>
      <c r="J139" s="116"/>
      <c r="K139" s="116"/>
      <c r="L139" s="116"/>
      <c r="M139" s="116"/>
    </row>
    <row r="140" spans="1:13" ht="18">
      <c r="A140" s="1" t="s">
        <v>522</v>
      </c>
      <c r="C140" s="1" t="s">
        <v>1</v>
      </c>
      <c r="D140" s="63">
        <f>GEN!G75</f>
        <v>0.3</v>
      </c>
      <c r="E140" s="1" t="s">
        <v>5</v>
      </c>
      <c r="L140" s="116"/>
      <c r="M140" s="116"/>
    </row>
    <row r="141" spans="1:13">
      <c r="L141" s="116"/>
      <c r="M141" s="116"/>
    </row>
    <row r="142" spans="1:13">
      <c r="A142" s="1" t="s">
        <v>527</v>
      </c>
      <c r="C142" s="26" t="s">
        <v>1</v>
      </c>
      <c r="D142" s="364">
        <f>D33</f>
        <v>66</v>
      </c>
      <c r="E142" s="26" t="s">
        <v>5</v>
      </c>
      <c r="M142" s="116"/>
    </row>
    <row r="143" spans="1:13" ht="18">
      <c r="A143" s="1" t="s">
        <v>528</v>
      </c>
      <c r="B143" s="323" t="s">
        <v>550</v>
      </c>
      <c r="C143" s="26" t="s">
        <v>1</v>
      </c>
      <c r="D143" s="417">
        <f>(B37^2/C37+B38^2/C38)/(B37/C37+B38/C38)</f>
        <v>16</v>
      </c>
      <c r="E143" s="26" t="s">
        <v>5</v>
      </c>
      <c r="G143" s="417"/>
      <c r="M143" s="116"/>
    </row>
    <row r="144" spans="1:13" ht="18">
      <c r="A144" s="1" t="s">
        <v>551</v>
      </c>
      <c r="C144" s="1" t="s">
        <v>1</v>
      </c>
      <c r="D144" s="1">
        <f>5*(D142+D143/2)</f>
        <v>370</v>
      </c>
      <c r="E144" s="1" t="s">
        <v>5</v>
      </c>
    </row>
    <row r="146" spans="1:13">
      <c r="A146" s="1" t="s">
        <v>529</v>
      </c>
      <c r="C146" s="1" t="s">
        <v>1</v>
      </c>
      <c r="D146" s="1">
        <f>C37</f>
        <v>105</v>
      </c>
      <c r="E146" s="1" t="s">
        <v>5</v>
      </c>
      <c r="F146" s="528" t="str">
        <f>IF(D146&lt;G146,"&lt;","&gt;")</f>
        <v>&lt;</v>
      </c>
      <c r="G146" s="1">
        <f>D144</f>
        <v>370</v>
      </c>
      <c r="H146" s="1" t="s">
        <v>5</v>
      </c>
      <c r="I146" s="1670" t="str">
        <f>IF(D146&lt;G146,"The Following formula can be used for calculation of maximum crack spacing.","Check bar spacing")</f>
        <v>The Following formula can be used for calculation of maximum crack spacing.</v>
      </c>
      <c r="J146" s="1670"/>
      <c r="K146" s="1670"/>
      <c r="L146" s="1670"/>
    </row>
    <row r="147" spans="1:13">
      <c r="I147" s="1670"/>
      <c r="J147" s="1670"/>
      <c r="K147" s="1670"/>
      <c r="L147" s="1670"/>
      <c r="M147" s="116"/>
    </row>
    <row r="148" spans="1:13" ht="18">
      <c r="A148" s="1" t="s">
        <v>525</v>
      </c>
      <c r="C148" s="1" t="s">
        <v>1</v>
      </c>
      <c r="D148" s="1" t="s">
        <v>526</v>
      </c>
      <c r="I148" s="1670"/>
      <c r="J148" s="1670"/>
      <c r="K148" s="1670"/>
      <c r="L148" s="1670"/>
      <c r="M148" s="116"/>
    </row>
    <row r="149" spans="1:13" ht="18">
      <c r="C149" s="1" t="s">
        <v>1</v>
      </c>
      <c r="D149" s="1671" t="s">
        <v>558</v>
      </c>
      <c r="E149" s="1671"/>
      <c r="F149" s="1671"/>
      <c r="M149" s="116"/>
    </row>
    <row r="150" spans="1:13">
      <c r="C150" s="1" t="s">
        <v>1</v>
      </c>
      <c r="D150" s="1">
        <f>3.4*D142+0.17*D143/D163</f>
        <v>421.30821628424189</v>
      </c>
      <c r="E150" s="1" t="s">
        <v>5</v>
      </c>
    </row>
    <row r="151" spans="1:13" ht="15.75" thickBot="1"/>
    <row r="152" spans="1:13" ht="18">
      <c r="A152" s="26" t="s">
        <v>552</v>
      </c>
      <c r="B152" s="26"/>
      <c r="C152" s="26" t="s">
        <v>1</v>
      </c>
      <c r="D152" s="26" t="s">
        <v>425</v>
      </c>
      <c r="E152" s="26" t="s">
        <v>532</v>
      </c>
      <c r="G152" s="1246" t="s">
        <v>169</v>
      </c>
      <c r="H152" s="1245" t="s">
        <v>1</v>
      </c>
      <c r="I152" s="1245">
        <f>D120</f>
        <v>1.2</v>
      </c>
      <c r="J152" s="1245" t="s">
        <v>2</v>
      </c>
      <c r="K152" s="1245"/>
      <c r="L152" s="1244"/>
      <c r="M152" s="1243"/>
    </row>
    <row r="153" spans="1:13">
      <c r="A153" s="26"/>
      <c r="B153" s="26"/>
      <c r="C153" s="26"/>
      <c r="D153" s="26"/>
      <c r="E153" s="26" t="s">
        <v>533</v>
      </c>
      <c r="G153" s="1241" t="s">
        <v>61</v>
      </c>
      <c r="H153" s="26" t="s">
        <v>1</v>
      </c>
      <c r="I153" s="26">
        <f>(L4-E37-(B37+32+B38/2)-E40-B40/2)/1000</f>
        <v>0.94799999999999995</v>
      </c>
      <c r="J153" s="26" t="s">
        <v>2</v>
      </c>
      <c r="K153" s="26"/>
      <c r="L153" s="365"/>
      <c r="M153" s="1242"/>
    </row>
    <row r="154" spans="1:13">
      <c r="E154" s="1" t="s">
        <v>534</v>
      </c>
      <c r="G154" s="1241" t="s">
        <v>30</v>
      </c>
      <c r="H154" s="26" t="s">
        <v>1</v>
      </c>
      <c r="I154" s="1094">
        <f>ABS(VLOOKUP(MIN(I91:I92),I91:M97,5,FALSE)/1000)</f>
        <v>3.1804315516569854</v>
      </c>
      <c r="J154" s="26" t="s">
        <v>2</v>
      </c>
      <c r="K154" s="1666" t="s">
        <v>553</v>
      </c>
      <c r="L154" s="1666"/>
      <c r="M154" s="1779"/>
    </row>
    <row r="155" spans="1:13" ht="15.75" thickBot="1">
      <c r="C155" s="1" t="s">
        <v>1</v>
      </c>
      <c r="D155" s="1">
        <f>MIN(2.5*(I152-I153),(I152-I154/3),I152/2)</f>
        <v>0.13985614944767155</v>
      </c>
      <c r="E155" s="1" t="s">
        <v>2</v>
      </c>
      <c r="G155" s="1240"/>
      <c r="H155" s="1239"/>
      <c r="I155" s="1239"/>
      <c r="J155" s="1239"/>
      <c r="K155" s="1780"/>
      <c r="L155" s="1780"/>
      <c r="M155" s="1781"/>
    </row>
    <row r="157" spans="1:13">
      <c r="A157" s="1" t="s">
        <v>482</v>
      </c>
      <c r="C157" s="1" t="s">
        <v>1</v>
      </c>
      <c r="D157" s="1">
        <f>I120</f>
        <v>1</v>
      </c>
      <c r="E157" s="1" t="s">
        <v>2</v>
      </c>
    </row>
    <row r="159" spans="1:13" ht="18.75">
      <c r="A159" s="26" t="s">
        <v>554</v>
      </c>
      <c r="C159" s="1" t="s">
        <v>1</v>
      </c>
      <c r="D159" s="26" t="s">
        <v>555</v>
      </c>
      <c r="E159" s="1" t="s">
        <v>1</v>
      </c>
      <c r="F159" s="1">
        <f>D155*D157</f>
        <v>0.13985614944767155</v>
      </c>
      <c r="G159" s="1" t="s">
        <v>458</v>
      </c>
    </row>
    <row r="160" spans="1:13">
      <c r="L160" s="116"/>
      <c r="M160" s="116"/>
    </row>
    <row r="161" spans="1:13" ht="18">
      <c r="A161" s="365" t="s">
        <v>530</v>
      </c>
      <c r="B161" s="365"/>
      <c r="C161" s="26" t="s">
        <v>1</v>
      </c>
      <c r="D161" s="26" t="s">
        <v>531</v>
      </c>
      <c r="E161" s="26"/>
      <c r="L161" s="116"/>
      <c r="M161" s="116"/>
    </row>
    <row r="162" spans="1:13">
      <c r="A162" s="26"/>
      <c r="B162" s="26"/>
      <c r="C162" s="26" t="s">
        <v>1</v>
      </c>
      <c r="D162" s="172">
        <f>G136</f>
        <v>1931.9088541665383</v>
      </c>
      <c r="E162" s="368" t="s">
        <v>556</v>
      </c>
      <c r="F162" s="1">
        <f>F159*10^6</f>
        <v>139856.14944767155</v>
      </c>
      <c r="L162" s="116"/>
      <c r="M162" s="116"/>
    </row>
    <row r="163" spans="1:13">
      <c r="C163" s="1" t="s">
        <v>1</v>
      </c>
      <c r="D163" s="1">
        <f>D162/F162</f>
        <v>1.3813542427674083E-2</v>
      </c>
      <c r="L163" s="116"/>
      <c r="M163" s="116"/>
    </row>
    <row r="164" spans="1:13">
      <c r="L164" s="116"/>
      <c r="M164" s="116"/>
    </row>
    <row r="165" spans="1:13" ht="18">
      <c r="A165" s="1" t="s">
        <v>538</v>
      </c>
      <c r="C165" s="1" t="s">
        <v>1</v>
      </c>
      <c r="D165" s="1" t="s">
        <v>539</v>
      </c>
      <c r="L165" s="116"/>
      <c r="M165" s="116"/>
    </row>
    <row r="166" spans="1:13">
      <c r="C166" s="1" t="s">
        <v>1</v>
      </c>
      <c r="D166" s="960">
        <f>-(MIN(I91:I92))</f>
        <v>-12.485688184377347</v>
      </c>
      <c r="E166" s="1" t="s">
        <v>293</v>
      </c>
      <c r="F166" s="1" t="s">
        <v>553</v>
      </c>
    </row>
    <row r="168" spans="1:13">
      <c r="A168" s="1" t="s">
        <v>294</v>
      </c>
      <c r="C168" s="1" t="s">
        <v>1</v>
      </c>
      <c r="D168" s="63">
        <f>GEN!H30</f>
        <v>200000</v>
      </c>
      <c r="E168" s="1" t="s">
        <v>293</v>
      </c>
    </row>
    <row r="169" spans="1:13">
      <c r="A169" s="1" t="s">
        <v>454</v>
      </c>
      <c r="C169" s="1" t="s">
        <v>1</v>
      </c>
      <c r="D169" s="63">
        <f>GEN!G56</f>
        <v>11441.712126347584</v>
      </c>
      <c r="E169" s="1" t="s">
        <v>293</v>
      </c>
      <c r="F169" s="1" t="s">
        <v>557</v>
      </c>
    </row>
    <row r="170" spans="1:13" ht="18">
      <c r="A170" s="1" t="s">
        <v>540</v>
      </c>
      <c r="C170" s="1" t="s">
        <v>1</v>
      </c>
      <c r="D170" s="1" t="s">
        <v>541</v>
      </c>
    </row>
    <row r="171" spans="1:13" ht="18">
      <c r="A171" s="1" t="s">
        <v>540</v>
      </c>
      <c r="C171" s="1" t="s">
        <v>1</v>
      </c>
      <c r="D171" s="1">
        <f>D168/D169</f>
        <v>17.479901416104223</v>
      </c>
    </row>
    <row r="173" spans="1:13">
      <c r="A173" s="1" t="s">
        <v>542</v>
      </c>
      <c r="C173" s="1" t="s">
        <v>1</v>
      </c>
      <c r="D173" s="366">
        <v>0.5</v>
      </c>
      <c r="F173" s="1" t="s">
        <v>543</v>
      </c>
    </row>
    <row r="176" spans="1:13" ht="18">
      <c r="A176" s="1" t="s">
        <v>535</v>
      </c>
      <c r="C176" s="1" t="s">
        <v>1</v>
      </c>
      <c r="D176" s="171" t="s">
        <v>420</v>
      </c>
      <c r="E176" s="1673" t="s">
        <v>536</v>
      </c>
      <c r="F176" s="1673"/>
      <c r="G176" s="1673"/>
      <c r="H176" s="1673"/>
    </row>
    <row r="177" spans="1:10">
      <c r="D177" s="171"/>
      <c r="E177" s="171"/>
      <c r="F177" s="171" t="s">
        <v>294</v>
      </c>
      <c r="G177" s="171"/>
      <c r="H177" s="171"/>
    </row>
    <row r="178" spans="1:10" ht="18">
      <c r="D178" s="171"/>
      <c r="E178" s="171" t="s">
        <v>537</v>
      </c>
      <c r="F178" s="171"/>
      <c r="G178" s="171"/>
      <c r="H178" s="171"/>
    </row>
    <row r="179" spans="1:10">
      <c r="D179" s="171"/>
      <c r="E179" s="171"/>
      <c r="F179" s="171"/>
      <c r="G179" s="171"/>
      <c r="H179" s="171"/>
    </row>
    <row r="180" spans="1:10">
      <c r="C180" s="1" t="s">
        <v>1</v>
      </c>
      <c r="D180" s="87">
        <f>MAX((D166-D173*D124*(1+D171*D163)/D163)/D168,0.6*D166/D168)</f>
        <v>-3.7457064553132036E-5</v>
      </c>
    </row>
    <row r="182" spans="1:10" ht="18">
      <c r="A182" s="1" t="s">
        <v>523</v>
      </c>
      <c r="C182" s="1" t="s">
        <v>1</v>
      </c>
      <c r="D182" s="1" t="s">
        <v>524</v>
      </c>
    </row>
    <row r="183" spans="1:10">
      <c r="C183" s="1" t="s">
        <v>1</v>
      </c>
      <c r="D183" s="14">
        <f>D150*D180</f>
        <v>-1.5780969054123763E-2</v>
      </c>
      <c r="E183" s="1" t="s">
        <v>5</v>
      </c>
      <c r="F183" s="528" t="str">
        <f>IF(G183&lt;D183,"&gt;","&lt;")</f>
        <v>&lt;</v>
      </c>
      <c r="G183" s="1">
        <f>D140</f>
        <v>0.3</v>
      </c>
      <c r="H183" s="1" t="s">
        <v>5</v>
      </c>
      <c r="I183" s="333" t="str">
        <f>IF(G183&lt;D183,"REVISE","OK")</f>
        <v>OK</v>
      </c>
      <c r="J183" s="333"/>
    </row>
  </sheetData>
  <mergeCells count="34">
    <mergeCell ref="F30:F31"/>
    <mergeCell ref="A30:A32"/>
    <mergeCell ref="B30:B31"/>
    <mergeCell ref="C30:C31"/>
    <mergeCell ref="D30:D31"/>
    <mergeCell ref="E30:E31"/>
    <mergeCell ref="A73:A76"/>
    <mergeCell ref="B73:D74"/>
    <mergeCell ref="E73:E76"/>
    <mergeCell ref="F73:L74"/>
    <mergeCell ref="J75:L75"/>
    <mergeCell ref="G30:G31"/>
    <mergeCell ref="H30:H31"/>
    <mergeCell ref="I30:J30"/>
    <mergeCell ref="K30:L30"/>
    <mergeCell ref="M30:M31"/>
    <mergeCell ref="M87:M90"/>
    <mergeCell ref="E89:F90"/>
    <mergeCell ref="G89:H90"/>
    <mergeCell ref="I89:J90"/>
    <mergeCell ref="K89:L90"/>
    <mergeCell ref="C104:E104"/>
    <mergeCell ref="C105:E105"/>
    <mergeCell ref="E107:I107"/>
    <mergeCell ref="J107:K108"/>
    <mergeCell ref="E108:I108"/>
    <mergeCell ref="K154:M155"/>
    <mergeCell ref="E176:H176"/>
    <mergeCell ref="E110:I110"/>
    <mergeCell ref="J110:K111"/>
    <mergeCell ref="E111:I111"/>
    <mergeCell ref="D126:L128"/>
    <mergeCell ref="I146:L148"/>
    <mergeCell ref="D149:F149"/>
  </mergeCells>
  <pageMargins left="0.55118110236220497" right="0.15748031496063" top="0.55118110236220497" bottom="0.15748031496063" header="0.118110236220472" footer="0.118110236220472"/>
  <pageSetup paperSize="9" scale="94" orientation="portrait" blackAndWhite="1" r:id="rId1"/>
  <rowBreaks count="3" manualBreakCount="3">
    <brk id="52" max="12" man="1"/>
    <brk id="100" max="12" man="1"/>
    <brk id="145" max="12" man="1"/>
  </rowBreaks>
  <drawing r:id="rId2"/>
</worksheet>
</file>

<file path=xl/worksheets/sheet48.xml><?xml version="1.0" encoding="utf-8"?>
<worksheet xmlns="http://schemas.openxmlformats.org/spreadsheetml/2006/main" xmlns:r="http://schemas.openxmlformats.org/officeDocument/2006/relationships">
  <sheetPr codeName="Sheet45"/>
  <dimension ref="A1:R159"/>
  <sheetViews>
    <sheetView view="pageBreakPreview" topLeftCell="A139" zoomScaleSheetLayoutView="100" workbookViewId="0">
      <selection activeCell="J8" sqref="J8"/>
    </sheetView>
  </sheetViews>
  <sheetFormatPr defaultColWidth="7.7109375" defaultRowHeight="15"/>
  <cols>
    <col min="1" max="3" width="7.7109375" style="1"/>
    <col min="4" max="5" width="7.7109375" style="1" customWidth="1"/>
    <col min="6" max="6" width="7.7109375" style="1"/>
    <col min="7" max="7" width="7.7109375" style="1" customWidth="1"/>
    <col min="8" max="16384" width="7.7109375" style="1"/>
  </cols>
  <sheetData>
    <row r="1" spans="1:8">
      <c r="A1" s="9" t="s">
        <v>1534</v>
      </c>
    </row>
    <row r="3" spans="1:8">
      <c r="D3" s="1018">
        <f>GEN!F203</f>
        <v>1.2</v>
      </c>
    </row>
    <row r="5" spans="1:8">
      <c r="G5" s="781">
        <f>(H12-G8*4)/2</f>
        <v>1.25</v>
      </c>
    </row>
    <row r="8" spans="1:8">
      <c r="F8" s="529"/>
      <c r="G8" s="1577">
        <v>2</v>
      </c>
    </row>
    <row r="9" spans="1:8">
      <c r="G9" s="150"/>
    </row>
    <row r="10" spans="1:8">
      <c r="F10" s="528"/>
      <c r="G10" s="715"/>
    </row>
    <row r="11" spans="1:8">
      <c r="F11" s="1535"/>
      <c r="G11" s="715"/>
    </row>
    <row r="12" spans="1:8">
      <c r="F12" s="528"/>
      <c r="G12" s="1576">
        <f>G8</f>
        <v>2</v>
      </c>
      <c r="H12" s="781">
        <f>GEN!J162</f>
        <v>10.5</v>
      </c>
    </row>
    <row r="13" spans="1:8">
      <c r="F13" s="528"/>
      <c r="G13" s="715"/>
    </row>
    <row r="14" spans="1:8">
      <c r="F14" s="528"/>
      <c r="G14" s="715"/>
    </row>
    <row r="15" spans="1:8">
      <c r="B15" s="1018">
        <f>GEN!H196+D3/SQRT(2)</f>
        <v>6.3485281374238571</v>
      </c>
      <c r="F15" s="528"/>
      <c r="G15" s="150"/>
    </row>
    <row r="16" spans="1:8">
      <c r="B16" s="1018"/>
      <c r="F16" s="1535"/>
      <c r="G16" s="1576">
        <f>G12</f>
        <v>2</v>
      </c>
    </row>
    <row r="17" spans="3:12">
      <c r="F17" s="528"/>
      <c r="G17" s="715"/>
    </row>
    <row r="18" spans="3:12">
      <c r="F18" s="528"/>
      <c r="G18" s="715"/>
    </row>
    <row r="19" spans="3:12">
      <c r="G19" s="150"/>
    </row>
    <row r="20" spans="3:12">
      <c r="F20" s="529"/>
      <c r="G20" s="1576">
        <f>G8</f>
        <v>2</v>
      </c>
    </row>
    <row r="21" spans="3:12">
      <c r="F21" s="529"/>
    </row>
    <row r="22" spans="3:12">
      <c r="L22" s="150"/>
    </row>
    <row r="23" spans="3:12">
      <c r="G23" s="781">
        <f>G5</f>
        <v>1.25</v>
      </c>
    </row>
    <row r="25" spans="3:12">
      <c r="D25" s="782">
        <f>GEN!D125</f>
        <v>0.5</v>
      </c>
      <c r="E25" s="782">
        <f>GEN!E125</f>
        <v>0.5</v>
      </c>
    </row>
    <row r="26" spans="3:12">
      <c r="D26" s="714">
        <f>GEN!D135</f>
        <v>2.5</v>
      </c>
    </row>
    <row r="29" spans="3:12">
      <c r="D29" s="10" t="s">
        <v>1182</v>
      </c>
    </row>
    <row r="30" spans="3:12">
      <c r="F30" s="528">
        <f>G47/1000</f>
        <v>0.9</v>
      </c>
    </row>
    <row r="31" spans="3:12">
      <c r="C31" s="528">
        <f>G5</f>
        <v>1.25</v>
      </c>
      <c r="D31" s="716">
        <f>G16+G20-B15/2</f>
        <v>0.82573593128807143</v>
      </c>
      <c r="E31" s="716"/>
      <c r="K31" s="150">
        <f>D25</f>
        <v>0.5</v>
      </c>
      <c r="L31" s="715">
        <f>E25</f>
        <v>0.5</v>
      </c>
    </row>
    <row r="33" spans="1:16">
      <c r="J33" s="87"/>
      <c r="K33" s="87"/>
      <c r="L33" s="87"/>
      <c r="M33" s="717"/>
      <c r="N33" s="87"/>
    </row>
    <row r="34" spans="1:16">
      <c r="B34" s="714">
        <f>GEN!K180</f>
        <v>0.5</v>
      </c>
      <c r="J34" s="87"/>
      <c r="K34" s="87"/>
      <c r="L34" s="87"/>
      <c r="M34" s="784">
        <f>B34</f>
        <v>0.5</v>
      </c>
      <c r="N34" s="87"/>
      <c r="O34" s="87"/>
      <c r="P34" s="87"/>
    </row>
    <row r="35" spans="1:16">
      <c r="D35" s="715">
        <f>B36/D39*C31+B34</f>
        <v>0.82455124809451674</v>
      </c>
      <c r="F35" s="79">
        <f>B34+B36/D39*(C31+D31-F30)</f>
        <v>0.80526925114328995</v>
      </c>
      <c r="J35" s="87"/>
      <c r="K35" s="87"/>
      <c r="L35" s="87"/>
      <c r="M35" s="784"/>
      <c r="N35" s="783">
        <f>M34+M36</f>
        <v>1</v>
      </c>
      <c r="O35" s="87"/>
      <c r="P35" s="87"/>
    </row>
    <row r="36" spans="1:16">
      <c r="B36" s="714">
        <f>GEN!K182</f>
        <v>0.5</v>
      </c>
      <c r="J36" s="87"/>
      <c r="K36" s="87"/>
      <c r="L36" s="87"/>
      <c r="M36" s="784">
        <f>B36</f>
        <v>0.5</v>
      </c>
      <c r="N36" s="87"/>
    </row>
    <row r="37" spans="1:16">
      <c r="J37" s="713">
        <f>K39-K37-L37</f>
        <v>0.65</v>
      </c>
      <c r="K37" s="120">
        <f>D3</f>
        <v>1.2</v>
      </c>
      <c r="L37" s="120">
        <f>(K39-K37)/2</f>
        <v>0.65</v>
      </c>
      <c r="M37" s="7"/>
      <c r="N37" s="87"/>
    </row>
    <row r="38" spans="1:16">
      <c r="J38" s="87"/>
      <c r="K38" s="597"/>
      <c r="L38" s="87"/>
      <c r="M38" s="717"/>
      <c r="N38" s="87"/>
    </row>
    <row r="39" spans="1:16">
      <c r="D39" s="150">
        <f>C31+D31-F39</f>
        <v>1.9257359312880715</v>
      </c>
      <c r="F39" s="1">
        <f>GEN!C184</f>
        <v>0.15</v>
      </c>
      <c r="J39" s="87"/>
      <c r="K39" s="783">
        <f>D26</f>
        <v>2.5</v>
      </c>
      <c r="L39" s="87"/>
      <c r="M39" s="87"/>
      <c r="N39" s="87"/>
    </row>
    <row r="40" spans="1:16">
      <c r="J40" s="87"/>
      <c r="K40" s="597"/>
      <c r="L40" s="87"/>
      <c r="M40" s="87"/>
      <c r="N40" s="87"/>
    </row>
    <row r="41" spans="1:16">
      <c r="J41" s="717"/>
      <c r="K41" s="717"/>
      <c r="L41" s="717"/>
      <c r="M41" s="87"/>
      <c r="N41" s="87"/>
    </row>
    <row r="44" spans="1:16">
      <c r="A44" s="717" t="s">
        <v>1183</v>
      </c>
      <c r="B44" s="717"/>
      <c r="C44" s="717"/>
      <c r="D44" s="717"/>
      <c r="E44" s="717" t="s">
        <v>62</v>
      </c>
      <c r="F44" s="717" t="s">
        <v>1</v>
      </c>
      <c r="G44" s="662">
        <f>D31*1000</f>
        <v>825.73593128807147</v>
      </c>
      <c r="H44" s="719" t="s">
        <v>5</v>
      </c>
      <c r="I44" s="717"/>
      <c r="J44" s="717"/>
      <c r="K44" s="717"/>
      <c r="L44" s="717"/>
      <c r="M44" s="717"/>
      <c r="N44" s="717"/>
    </row>
    <row r="45" spans="1:16">
      <c r="A45" s="719" t="s">
        <v>1184</v>
      </c>
      <c r="B45" s="87"/>
      <c r="C45" s="87"/>
      <c r="D45" s="87"/>
      <c r="E45" s="719" t="s">
        <v>169</v>
      </c>
      <c r="F45" s="719" t="s">
        <v>1</v>
      </c>
      <c r="G45" s="719">
        <f>(B34+B36)*1000</f>
        <v>1000</v>
      </c>
      <c r="H45" s="719" t="s">
        <v>5</v>
      </c>
      <c r="I45" s="717"/>
      <c r="J45" s="717"/>
      <c r="K45" s="717"/>
      <c r="L45" s="87"/>
      <c r="M45" s="87"/>
      <c r="N45" s="87"/>
    </row>
    <row r="46" spans="1:16">
      <c r="A46" s="719" t="s">
        <v>1185</v>
      </c>
      <c r="B46" s="719"/>
      <c r="C46" s="87"/>
      <c r="D46" s="87"/>
      <c r="E46" s="87"/>
      <c r="F46" s="719" t="s">
        <v>1</v>
      </c>
      <c r="G46" s="720">
        <v>50</v>
      </c>
      <c r="H46" s="719" t="s">
        <v>5</v>
      </c>
      <c r="I46" s="719"/>
      <c r="J46" s="717"/>
      <c r="K46" s="717"/>
      <c r="L46" s="87"/>
      <c r="M46" s="87"/>
      <c r="N46" s="87"/>
    </row>
    <row r="47" spans="1:16">
      <c r="A47" s="719" t="s">
        <v>1186</v>
      </c>
      <c r="B47" s="719"/>
      <c r="C47" s="87"/>
      <c r="D47" s="87"/>
      <c r="E47" s="87"/>
      <c r="F47" s="719" t="s">
        <v>1</v>
      </c>
      <c r="G47" s="719">
        <f>G45*0.9</f>
        <v>900</v>
      </c>
      <c r="H47" s="719" t="s">
        <v>5</v>
      </c>
      <c r="I47" s="719"/>
      <c r="J47" s="717"/>
      <c r="K47" s="717"/>
      <c r="L47" s="87"/>
      <c r="M47" s="87"/>
      <c r="N47" s="87"/>
    </row>
    <row r="48" spans="1:16">
      <c r="A48" s="719" t="s">
        <v>482</v>
      </c>
      <c r="B48" s="719"/>
      <c r="C48" s="87"/>
      <c r="D48" s="87"/>
      <c r="E48" s="87"/>
      <c r="F48" s="719" t="s">
        <v>1</v>
      </c>
      <c r="G48" s="719">
        <f>K39*1000</f>
        <v>2500</v>
      </c>
      <c r="H48" s="719" t="s">
        <v>5</v>
      </c>
      <c r="I48" s="719"/>
      <c r="J48" s="721"/>
      <c r="K48" s="717"/>
      <c r="L48" s="87"/>
      <c r="M48" s="87"/>
      <c r="N48" s="87"/>
    </row>
    <row r="49" spans="1:14">
      <c r="A49" s="719" t="s">
        <v>1187</v>
      </c>
      <c r="B49" s="719"/>
      <c r="C49" s="87"/>
      <c r="D49" s="87"/>
      <c r="E49" s="87"/>
      <c r="F49" s="719" t="s">
        <v>1</v>
      </c>
      <c r="G49" s="662">
        <f>G44/G47</f>
        <v>0.91748436809785716</v>
      </c>
      <c r="H49" s="597" t="str">
        <f>IF(G49&lt;I49,"&lt;","&gt;")</f>
        <v>&lt;</v>
      </c>
      <c r="I49" s="722">
        <v>1</v>
      </c>
      <c r="J49" s="723" t="str">
        <f>IF(G49&lt;I49,"Design as Corbel","Design for flexure and Shear as usual")</f>
        <v>Design as Corbel</v>
      </c>
      <c r="K49" s="723"/>
      <c r="L49" s="723"/>
      <c r="M49" s="723"/>
      <c r="N49" s="87"/>
    </row>
    <row r="52" spans="1:14">
      <c r="A52" s="724" t="s">
        <v>1188</v>
      </c>
      <c r="B52" s="721"/>
      <c r="C52" s="725"/>
      <c r="D52" s="721"/>
      <c r="E52" s="726"/>
      <c r="F52" s="721"/>
      <c r="G52" s="727" t="s">
        <v>1189</v>
      </c>
      <c r="H52" s="726"/>
      <c r="I52" s="727" t="s">
        <v>1190</v>
      </c>
      <c r="K52" s="727" t="s">
        <v>1191</v>
      </c>
    </row>
    <row r="53" spans="1:14">
      <c r="A53" s="717" t="s">
        <v>1192</v>
      </c>
      <c r="B53" s="721"/>
      <c r="C53" s="725"/>
      <c r="D53" s="721"/>
      <c r="E53" s="726"/>
      <c r="F53" s="721" t="s">
        <v>1</v>
      </c>
      <c r="G53" s="142">
        <f>K39</f>
        <v>2.5</v>
      </c>
      <c r="H53" s="726" t="s">
        <v>2</v>
      </c>
      <c r="I53" s="142">
        <f>K39</f>
        <v>2.5</v>
      </c>
      <c r="J53" s="726" t="s">
        <v>2</v>
      </c>
      <c r="K53" s="142">
        <f>K39</f>
        <v>2.5</v>
      </c>
      <c r="L53" s="726" t="s">
        <v>2</v>
      </c>
    </row>
    <row r="54" spans="1:14">
      <c r="A54" s="717" t="s">
        <v>1193</v>
      </c>
      <c r="B54" s="721"/>
      <c r="C54" s="725"/>
      <c r="D54" s="721"/>
      <c r="E54" s="726"/>
      <c r="F54" s="721" t="s">
        <v>1</v>
      </c>
      <c r="G54" s="142">
        <f>B34+B36</f>
        <v>1</v>
      </c>
      <c r="H54" s="726" t="s">
        <v>2</v>
      </c>
      <c r="I54" s="142">
        <f>F35</f>
        <v>0.80526925114328995</v>
      </c>
      <c r="J54" s="726" t="s">
        <v>2</v>
      </c>
      <c r="K54" s="142">
        <f>D35</f>
        <v>0.82455124809451674</v>
      </c>
      <c r="L54" s="726" t="s">
        <v>2</v>
      </c>
    </row>
    <row r="55" spans="1:14" ht="17.25">
      <c r="A55" s="717" t="s">
        <v>1194</v>
      </c>
      <c r="B55" s="721"/>
      <c r="C55" s="725"/>
      <c r="D55" s="721"/>
      <c r="E55" s="717"/>
      <c r="F55" s="721" t="s">
        <v>1</v>
      </c>
      <c r="G55" s="142">
        <f>G53*G54</f>
        <v>2.5</v>
      </c>
      <c r="H55" s="717" t="s">
        <v>458</v>
      </c>
      <c r="I55" s="142">
        <f>I53*I54</f>
        <v>2.013173127858225</v>
      </c>
      <c r="J55" s="717" t="s">
        <v>458</v>
      </c>
      <c r="K55" s="142">
        <f>K53*K54</f>
        <v>2.061378120236292</v>
      </c>
      <c r="L55" s="717" t="s">
        <v>458</v>
      </c>
    </row>
    <row r="56" spans="1:14">
      <c r="A56" s="717" t="s">
        <v>1195</v>
      </c>
      <c r="B56" s="721"/>
      <c r="C56" s="725"/>
      <c r="D56" s="721"/>
      <c r="E56" s="717"/>
      <c r="F56" s="721" t="s">
        <v>1</v>
      </c>
      <c r="G56" s="727">
        <f>(G53+G54)*2</f>
        <v>7</v>
      </c>
      <c r="H56" s="717" t="s">
        <v>2</v>
      </c>
      <c r="I56" s="727">
        <f>(I53+I54)*2</f>
        <v>6.6105385022865804</v>
      </c>
      <c r="J56" s="717" t="s">
        <v>2</v>
      </c>
      <c r="K56" s="727">
        <f>(K53+K54)*2</f>
        <v>6.6491024961890339</v>
      </c>
      <c r="L56" s="717" t="s">
        <v>2</v>
      </c>
    </row>
    <row r="57" spans="1:14">
      <c r="A57" s="717" t="s">
        <v>1196</v>
      </c>
      <c r="B57" s="721"/>
      <c r="C57" s="725"/>
      <c r="D57" s="721"/>
      <c r="E57" s="717"/>
      <c r="F57" s="721" t="s">
        <v>1</v>
      </c>
      <c r="G57" s="142">
        <f>G55/G56</f>
        <v>0.35714285714285715</v>
      </c>
      <c r="H57" s="717" t="s">
        <v>2</v>
      </c>
      <c r="I57" s="142">
        <f>I55/I56</f>
        <v>0.30453995951492757</v>
      </c>
      <c r="J57" s="717" t="s">
        <v>2</v>
      </c>
      <c r="K57" s="142">
        <f>K55/K56</f>
        <v>0.3100235139130102</v>
      </c>
      <c r="L57" s="717" t="s">
        <v>2</v>
      </c>
    </row>
    <row r="58" spans="1:14" ht="17.25">
      <c r="A58" s="717" t="s">
        <v>1197</v>
      </c>
      <c r="B58" s="721"/>
      <c r="C58" s="725"/>
      <c r="D58" s="721"/>
      <c r="E58" s="717"/>
      <c r="F58" s="721" t="s">
        <v>1</v>
      </c>
      <c r="G58" s="142">
        <f>(G53-G57)*(G54-G57)</f>
        <v>1.3775510204081631</v>
      </c>
      <c r="H58" s="717" t="s">
        <v>458</v>
      </c>
      <c r="I58" s="142">
        <f>(I53-I57)*(I54-I57)</f>
        <v>1.099331150870466</v>
      </c>
      <c r="J58" s="717" t="s">
        <v>458</v>
      </c>
      <c r="K58" s="142">
        <f>(K53-K57)*(K54-K57)</f>
        <v>1.1268036392971166</v>
      </c>
      <c r="L58" s="717" t="s">
        <v>458</v>
      </c>
    </row>
    <row r="59" spans="1:14">
      <c r="A59" s="717" t="s">
        <v>1198</v>
      </c>
      <c r="B59" s="721"/>
      <c r="C59" s="725"/>
      <c r="D59" s="721"/>
      <c r="E59" s="717"/>
      <c r="F59" s="721" t="s">
        <v>1</v>
      </c>
      <c r="G59" s="142">
        <f>2*G53+2*G54</f>
        <v>7</v>
      </c>
      <c r="H59" s="717" t="s">
        <v>2</v>
      </c>
      <c r="I59" s="142">
        <f>2*I53+2*I54</f>
        <v>6.6105385022865804</v>
      </c>
      <c r="J59" s="717" t="s">
        <v>2</v>
      </c>
      <c r="K59" s="142">
        <f>2*K53+2*K54</f>
        <v>6.6491024961890339</v>
      </c>
      <c r="L59" s="717" t="s">
        <v>2</v>
      </c>
    </row>
    <row r="61" spans="1:14">
      <c r="A61" s="728" t="s">
        <v>1199</v>
      </c>
      <c r="B61" s="721"/>
      <c r="C61" s="725"/>
      <c r="D61" s="721"/>
      <c r="E61" s="721"/>
      <c r="F61" s="721"/>
      <c r="G61" s="721"/>
      <c r="H61" s="717"/>
      <c r="I61" s="717"/>
      <c r="J61" s="717"/>
      <c r="K61" s="717"/>
      <c r="L61" s="87"/>
    </row>
    <row r="62" spans="1:14" ht="17.25">
      <c r="A62" s="719" t="s">
        <v>1200</v>
      </c>
      <c r="B62" s="717"/>
      <c r="C62" s="717"/>
      <c r="D62" s="87"/>
      <c r="E62" s="87"/>
      <c r="F62" s="717" t="s">
        <v>1</v>
      </c>
      <c r="G62" s="718">
        <f>GEN!H32</f>
        <v>2.5</v>
      </c>
      <c r="H62" s="717" t="s">
        <v>21</v>
      </c>
      <c r="I62" s="717"/>
      <c r="J62" s="717"/>
      <c r="K62" s="717"/>
      <c r="L62" s="87"/>
    </row>
    <row r="63" spans="1:14">
      <c r="A63" s="729" t="s">
        <v>74</v>
      </c>
      <c r="B63" s="730"/>
      <c r="C63" s="731"/>
      <c r="D63" s="730"/>
      <c r="E63" s="730"/>
      <c r="F63" s="732"/>
      <c r="G63" s="392" t="s">
        <v>1201</v>
      </c>
      <c r="H63" s="733"/>
      <c r="I63" s="734" t="s">
        <v>1202</v>
      </c>
      <c r="J63" s="733"/>
      <c r="K63" s="735" t="s">
        <v>1203</v>
      </c>
      <c r="L63" s="736"/>
    </row>
    <row r="64" spans="1:14">
      <c r="A64" s="737"/>
      <c r="B64" s="738"/>
      <c r="C64" s="739"/>
      <c r="D64" s="738"/>
      <c r="E64" s="738"/>
      <c r="F64" s="740"/>
      <c r="G64" s="208"/>
      <c r="H64" s="741"/>
      <c r="I64" s="742"/>
      <c r="J64" s="741"/>
      <c r="K64" s="743"/>
      <c r="L64" s="509"/>
    </row>
    <row r="65" spans="1:16">
      <c r="A65" s="433" t="s">
        <v>1206</v>
      </c>
      <c r="B65" s="721"/>
      <c r="C65" s="725"/>
      <c r="D65" s="721"/>
      <c r="E65" s="721" t="s">
        <v>51</v>
      </c>
      <c r="F65" s="721" t="s">
        <v>1</v>
      </c>
      <c r="G65" s="143">
        <f>(D31+C31)*B34*K39*G62</f>
        <v>6.4866747852752233</v>
      </c>
      <c r="H65" s="745"/>
      <c r="I65" s="143">
        <f>(C31+D31-F30)*B34*K39*G62</f>
        <v>3.6741747852752238</v>
      </c>
      <c r="J65" s="745"/>
      <c r="K65" s="142">
        <f>C31*B34*K39*G62</f>
        <v>3.90625</v>
      </c>
      <c r="L65" s="745"/>
    </row>
    <row r="66" spans="1:16">
      <c r="A66" s="433" t="s">
        <v>1204</v>
      </c>
      <c r="B66" s="721"/>
      <c r="C66" s="725"/>
      <c r="D66" s="721"/>
      <c r="E66" s="721" t="s">
        <v>2</v>
      </c>
      <c r="F66" s="721" t="s">
        <v>1</v>
      </c>
      <c r="G66" s="143">
        <f>(D31+C31)/2</f>
        <v>1.0378679656440357</v>
      </c>
      <c r="H66" s="745"/>
      <c r="I66" s="143">
        <f>(C31+D31-F30)/2</f>
        <v>0.58786796564403576</v>
      </c>
      <c r="J66" s="745"/>
      <c r="K66" s="142">
        <f>C31/2</f>
        <v>0.625</v>
      </c>
      <c r="L66" s="745"/>
      <c r="O66" s="254"/>
      <c r="P66" s="254"/>
    </row>
    <row r="67" spans="1:16">
      <c r="A67" s="433" t="s">
        <v>1205</v>
      </c>
      <c r="B67" s="721"/>
      <c r="C67" s="725"/>
      <c r="D67" s="721"/>
      <c r="E67" s="721" t="s">
        <v>2</v>
      </c>
      <c r="F67" s="721" t="s">
        <v>1</v>
      </c>
      <c r="G67" s="438">
        <v>0</v>
      </c>
      <c r="H67" s="745"/>
      <c r="I67" s="438">
        <f>G67</f>
        <v>0</v>
      </c>
      <c r="J67" s="745"/>
      <c r="K67" s="785">
        <f>I67</f>
        <v>0</v>
      </c>
      <c r="L67" s="745"/>
      <c r="O67" s="254"/>
      <c r="P67" s="254"/>
    </row>
    <row r="68" spans="1:16">
      <c r="A68" s="433"/>
      <c r="B68" s="721"/>
      <c r="C68" s="725"/>
      <c r="D68" s="721"/>
      <c r="E68" s="721"/>
      <c r="F68" s="721"/>
      <c r="G68" s="143"/>
      <c r="H68" s="745"/>
      <c r="I68" s="143"/>
      <c r="J68" s="745"/>
      <c r="K68" s="142"/>
      <c r="L68" s="745"/>
    </row>
    <row r="69" spans="1:16">
      <c r="A69" s="433" t="s">
        <v>1207</v>
      </c>
      <c r="B69" s="721"/>
      <c r="C69" s="725"/>
      <c r="D69" s="721"/>
      <c r="E69" s="721" t="s">
        <v>51</v>
      </c>
      <c r="F69" s="721" t="s">
        <v>1</v>
      </c>
      <c r="G69" s="143">
        <f>1/2*(D31+C31)*B36*K39*G62</f>
        <v>3.2433373926376117</v>
      </c>
      <c r="H69" s="745"/>
      <c r="I69" s="143">
        <f>1/2*(C31+D31-F30)*(F35-B34)*K39*G62</f>
        <v>1.1216125852705257</v>
      </c>
      <c r="J69" s="745"/>
      <c r="K69" s="142">
        <f>1/2*C31*(D35-B34)*K39*G62</f>
        <v>1.2677783128692059</v>
      </c>
      <c r="L69" s="745"/>
      <c r="O69" s="254"/>
      <c r="P69" s="254"/>
    </row>
    <row r="70" spans="1:16">
      <c r="A70" s="433" t="s">
        <v>1208</v>
      </c>
      <c r="B70" s="721"/>
      <c r="C70" s="725"/>
      <c r="D70" s="721"/>
      <c r="E70" s="721" t="s">
        <v>2</v>
      </c>
      <c r="F70" s="721" t="s">
        <v>1</v>
      </c>
      <c r="G70" s="143">
        <f>(D31+C31)/3</f>
        <v>0.69191197709602381</v>
      </c>
      <c r="H70" s="745"/>
      <c r="I70" s="143">
        <f>(C31+D31-F30)/3</f>
        <v>0.39191197709602382</v>
      </c>
      <c r="J70" s="745"/>
      <c r="K70" s="142">
        <f>C31/3</f>
        <v>0.41666666666666669</v>
      </c>
      <c r="L70" s="745"/>
      <c r="O70" s="254"/>
      <c r="P70" s="254"/>
    </row>
    <row r="71" spans="1:16">
      <c r="A71" s="433" t="s">
        <v>1205</v>
      </c>
      <c r="B71" s="721"/>
      <c r="C71" s="725"/>
      <c r="D71" s="721"/>
      <c r="E71" s="721" t="s">
        <v>2</v>
      </c>
      <c r="F71" s="721" t="s">
        <v>1</v>
      </c>
      <c r="G71" s="438">
        <v>0</v>
      </c>
      <c r="H71" s="745"/>
      <c r="I71" s="438">
        <v>0</v>
      </c>
      <c r="J71" s="745"/>
      <c r="K71" s="785">
        <v>0</v>
      </c>
      <c r="L71" s="745"/>
      <c r="O71" s="254"/>
      <c r="P71" s="254"/>
    </row>
    <row r="72" spans="1:16">
      <c r="A72" s="433"/>
      <c r="B72" s="721"/>
      <c r="C72" s="725"/>
      <c r="D72" s="721"/>
      <c r="E72" s="721"/>
      <c r="F72" s="721"/>
      <c r="G72" s="143"/>
      <c r="H72" s="745"/>
      <c r="I72" s="143"/>
      <c r="J72" s="745"/>
      <c r="K72" s="142"/>
      <c r="L72" s="745"/>
      <c r="O72" s="254"/>
      <c r="P72" s="254"/>
    </row>
    <row r="73" spans="1:16">
      <c r="A73" s="433" t="s">
        <v>1209</v>
      </c>
      <c r="B73" s="721"/>
      <c r="C73" s="725"/>
      <c r="D73" s="721"/>
      <c r="E73" s="721" t="s">
        <v>34</v>
      </c>
      <c r="F73" s="746" t="s">
        <v>1</v>
      </c>
      <c r="G73" s="143">
        <f>G65+G69</f>
        <v>9.730012177912835</v>
      </c>
      <c r="H73" s="745"/>
      <c r="I73" s="143">
        <f>I65+I69</f>
        <v>4.7957873705457494</v>
      </c>
      <c r="J73" s="745"/>
      <c r="K73" s="143">
        <f>K65+K69</f>
        <v>5.1740283128692059</v>
      </c>
      <c r="L73" s="745"/>
    </row>
    <row r="74" spans="1:16">
      <c r="A74" s="433" t="s">
        <v>1210</v>
      </c>
      <c r="B74" s="721"/>
      <c r="C74" s="725"/>
      <c r="D74" s="721"/>
      <c r="E74" s="721" t="s">
        <v>77</v>
      </c>
      <c r="F74" s="746" t="s">
        <v>1</v>
      </c>
      <c r="G74" s="143">
        <f>G65*G66+G69*G70</f>
        <v>8.9764159509174117</v>
      </c>
      <c r="H74" s="745"/>
      <c r="I74" s="143">
        <f>I65*I66+I69*I70</f>
        <v>2.5995030622695121</v>
      </c>
      <c r="J74" s="745"/>
      <c r="K74" s="143">
        <f>K65*K66+K69*K70</f>
        <v>2.9696472136955023</v>
      </c>
      <c r="L74" s="745"/>
      <c r="O74" s="798"/>
      <c r="P74" s="798"/>
    </row>
    <row r="75" spans="1:16">
      <c r="A75" s="433" t="s">
        <v>1211</v>
      </c>
      <c r="B75" s="721"/>
      <c r="C75" s="725"/>
      <c r="D75" s="721"/>
      <c r="E75" s="721" t="s">
        <v>77</v>
      </c>
      <c r="F75" s="721" t="s">
        <v>1</v>
      </c>
      <c r="G75" s="438">
        <f>G65*G67+G69*G71</f>
        <v>0</v>
      </c>
      <c r="H75" s="745"/>
      <c r="I75" s="438">
        <f>I65*I67+I69*I71</f>
        <v>0</v>
      </c>
      <c r="J75" s="745"/>
      <c r="K75" s="438">
        <f>K65*K67+K69*K71</f>
        <v>0</v>
      </c>
      <c r="L75" s="745"/>
      <c r="O75" s="798"/>
      <c r="P75" s="798"/>
    </row>
    <row r="76" spans="1:16">
      <c r="A76" s="433"/>
      <c r="B76" s="721"/>
      <c r="C76" s="725"/>
      <c r="D76" s="721"/>
      <c r="E76" s="721"/>
      <c r="F76" s="721"/>
      <c r="G76" s="747"/>
      <c r="H76" s="748"/>
      <c r="I76" s="749"/>
      <c r="J76" s="748"/>
      <c r="K76" s="750"/>
      <c r="L76" s="751"/>
    </row>
    <row r="77" spans="1:16">
      <c r="A77" s="734" t="s">
        <v>1212</v>
      </c>
      <c r="B77" s="730"/>
      <c r="C77" s="731"/>
      <c r="D77" s="730"/>
      <c r="E77" s="730"/>
      <c r="F77" s="752"/>
      <c r="G77" s="147"/>
      <c r="H77" s="753"/>
      <c r="I77" s="754"/>
      <c r="J77" s="753"/>
      <c r="K77" s="754"/>
      <c r="L77" s="755"/>
    </row>
    <row r="78" spans="1:16">
      <c r="A78" s="433"/>
      <c r="B78" s="721"/>
      <c r="C78" s="725"/>
      <c r="D78" s="721"/>
      <c r="E78" s="721"/>
      <c r="F78" s="746"/>
      <c r="G78" s="143"/>
      <c r="H78" s="745"/>
      <c r="I78" s="744"/>
      <c r="J78" s="745"/>
      <c r="K78" s="744"/>
      <c r="L78" s="756"/>
    </row>
    <row r="79" spans="1:16">
      <c r="A79" s="433" t="s">
        <v>1209</v>
      </c>
      <c r="B79" s="721"/>
      <c r="C79" s="725"/>
      <c r="D79" s="721"/>
      <c r="E79" s="721" t="s">
        <v>34</v>
      </c>
      <c r="F79" s="746" t="s">
        <v>1</v>
      </c>
      <c r="G79" s="143">
        <f>G73*1.2</f>
        <v>11.676014613495402</v>
      </c>
      <c r="H79" s="745"/>
      <c r="I79" s="143">
        <f>I73*1.2</f>
        <v>5.754944844654899</v>
      </c>
      <c r="J79" s="745"/>
      <c r="K79" s="143">
        <f>K73*1.2</f>
        <v>6.2088339754430466</v>
      </c>
      <c r="L79" s="745"/>
    </row>
    <row r="80" spans="1:16">
      <c r="A80" s="433" t="s">
        <v>1210</v>
      </c>
      <c r="B80" s="721"/>
      <c r="C80" s="725"/>
      <c r="D80" s="721"/>
      <c r="E80" s="721" t="s">
        <v>77</v>
      </c>
      <c r="F80" s="746" t="s">
        <v>1</v>
      </c>
      <c r="G80" s="143">
        <f>G74*1.2</f>
        <v>10.771699141100894</v>
      </c>
      <c r="H80" s="745"/>
      <c r="I80" s="143">
        <f>I74*1.2</f>
        <v>3.1194036747234146</v>
      </c>
      <c r="J80" s="745"/>
      <c r="K80" s="143">
        <f>K74*1.2</f>
        <v>3.5635766564346025</v>
      </c>
      <c r="L80" s="745"/>
    </row>
    <row r="81" spans="1:12">
      <c r="A81" s="433" t="s">
        <v>1211</v>
      </c>
      <c r="B81" s="721"/>
      <c r="C81" s="725"/>
      <c r="D81" s="721"/>
      <c r="E81" s="721" t="s">
        <v>77</v>
      </c>
      <c r="F81" s="746" t="s">
        <v>1</v>
      </c>
      <c r="G81" s="438">
        <f>G75</f>
        <v>0</v>
      </c>
      <c r="H81" s="745"/>
      <c r="I81" s="438">
        <f>I75</f>
        <v>0</v>
      </c>
      <c r="J81" s="745"/>
      <c r="K81" s="438">
        <f>K75</f>
        <v>0</v>
      </c>
      <c r="L81" s="745"/>
    </row>
    <row r="82" spans="1:12">
      <c r="A82" s="742"/>
      <c r="B82" s="738"/>
      <c r="C82" s="739"/>
      <c r="D82" s="738"/>
      <c r="E82" s="738"/>
      <c r="F82" s="757"/>
      <c r="G82" s="747"/>
      <c r="H82" s="748"/>
      <c r="I82" s="747"/>
      <c r="J82" s="748"/>
      <c r="K82" s="747"/>
      <c r="L82" s="748"/>
    </row>
    <row r="84" spans="1:12">
      <c r="A84" s="758" t="s">
        <v>1213</v>
      </c>
      <c r="B84" s="719"/>
      <c r="C84" s="719"/>
      <c r="D84" s="719"/>
      <c r="E84" s="719"/>
      <c r="F84" s="719"/>
      <c r="G84" s="721"/>
      <c r="H84" s="759"/>
      <c r="I84" s="717"/>
      <c r="J84" s="717"/>
      <c r="K84" s="717"/>
      <c r="L84" s="87"/>
    </row>
    <row r="85" spans="1:12">
      <c r="A85" s="760" t="s">
        <v>1042</v>
      </c>
      <c r="B85" s="761"/>
      <c r="C85" s="735"/>
      <c r="D85" s="732"/>
      <c r="E85" s="1612" t="s">
        <v>634</v>
      </c>
      <c r="F85" s="1613"/>
    </row>
    <row r="86" spans="1:12">
      <c r="A86" s="762"/>
      <c r="B86" s="763"/>
      <c r="C86" s="422"/>
      <c r="D86" s="149"/>
      <c r="E86" s="642" t="s">
        <v>1237</v>
      </c>
      <c r="F86" s="642" t="s">
        <v>1238</v>
      </c>
    </row>
    <row r="87" spans="1:12">
      <c r="A87" s="764"/>
      <c r="B87" s="765"/>
      <c r="C87" s="743"/>
      <c r="D87" s="740"/>
      <c r="E87" s="1528" t="s">
        <v>34</v>
      </c>
      <c r="F87" s="1528" t="s">
        <v>34</v>
      </c>
    </row>
    <row r="88" spans="1:12">
      <c r="A88" s="762"/>
      <c r="B88" s="763"/>
      <c r="C88" s="422"/>
      <c r="D88" s="149"/>
      <c r="E88" s="1530"/>
      <c r="F88" s="1530"/>
    </row>
    <row r="89" spans="1:12">
      <c r="A89" s="767" t="s">
        <v>1215</v>
      </c>
      <c r="B89" s="768"/>
      <c r="C89" s="725"/>
      <c r="D89" s="725" t="s">
        <v>1</v>
      </c>
      <c r="E89" s="813">
        <f>SUP!B7</f>
        <v>46</v>
      </c>
      <c r="F89" s="813">
        <f>SUP!D7</f>
        <v>46</v>
      </c>
    </row>
    <row r="90" spans="1:12">
      <c r="A90" s="767" t="s">
        <v>121</v>
      </c>
      <c r="B90" s="768"/>
      <c r="C90" s="725"/>
      <c r="D90" s="725" t="s">
        <v>1</v>
      </c>
      <c r="E90" s="776">
        <f>SI!B19</f>
        <v>10.67</v>
      </c>
      <c r="F90" s="776">
        <f>SI!D19</f>
        <v>10.67</v>
      </c>
    </row>
    <row r="91" spans="1:12">
      <c r="A91" s="767" t="s">
        <v>91</v>
      </c>
      <c r="B91" s="768"/>
      <c r="C91" s="725"/>
      <c r="D91" s="725" t="s">
        <v>1</v>
      </c>
      <c r="E91" s="776">
        <f>SI!D40</f>
        <v>9.202</v>
      </c>
      <c r="F91" s="776">
        <f>SI!H40</f>
        <v>9.202</v>
      </c>
    </row>
    <row r="92" spans="1:12">
      <c r="A92" s="767"/>
      <c r="B92" s="768"/>
      <c r="C92" s="725"/>
      <c r="D92" s="725"/>
      <c r="E92" s="776"/>
      <c r="F92" s="776"/>
    </row>
    <row r="93" spans="1:12">
      <c r="A93" s="767" t="s">
        <v>1216</v>
      </c>
      <c r="B93" s="768"/>
      <c r="C93" s="725"/>
      <c r="D93" s="725" t="s">
        <v>1</v>
      </c>
      <c r="E93" s="814">
        <v>4</v>
      </c>
      <c r="F93" s="814">
        <v>8</v>
      </c>
    </row>
    <row r="94" spans="1:12">
      <c r="A94" s="767" t="s">
        <v>1217</v>
      </c>
      <c r="B94" s="768"/>
      <c r="C94" s="725"/>
      <c r="D94" s="725" t="s">
        <v>1</v>
      </c>
      <c r="E94" s="776">
        <f>E93*(1+$C$95)</f>
        <v>4.4390243902439028</v>
      </c>
      <c r="F94" s="776">
        <f>F93*(1+$C$95)</f>
        <v>8.8780487804878057</v>
      </c>
    </row>
    <row r="95" spans="1:12">
      <c r="A95" s="769" t="s">
        <v>1236</v>
      </c>
      <c r="B95" s="721"/>
      <c r="C95" s="555">
        <f>4.5/(6+GEN!I3)</f>
        <v>0.10975609756097561</v>
      </c>
      <c r="D95" s="725"/>
      <c r="E95" s="792"/>
      <c r="F95" s="792"/>
    </row>
    <row r="96" spans="1:12">
      <c r="A96" s="769"/>
      <c r="B96" s="725"/>
      <c r="C96" s="422"/>
      <c r="D96" s="149"/>
      <c r="E96" s="779"/>
      <c r="F96" s="779"/>
    </row>
    <row r="97" spans="1:18">
      <c r="A97" s="771" t="s">
        <v>1218</v>
      </c>
      <c r="B97" s="772"/>
      <c r="C97" s="772"/>
      <c r="D97" s="1529"/>
      <c r="E97" s="797"/>
      <c r="F97" s="797"/>
    </row>
    <row r="98" spans="1:18">
      <c r="A98" s="717"/>
      <c r="B98" s="721"/>
      <c r="C98" s="725"/>
      <c r="D98" s="721"/>
      <c r="E98" s="721"/>
      <c r="F98" s="721"/>
      <c r="G98" s="721"/>
      <c r="H98" s="759"/>
      <c r="I98" s="717"/>
      <c r="J98" s="717"/>
      <c r="K98" s="717"/>
      <c r="L98" s="87"/>
    </row>
    <row r="99" spans="1:18">
      <c r="A99" s="758" t="s">
        <v>1219</v>
      </c>
      <c r="B99" s="719"/>
      <c r="C99" s="719"/>
      <c r="D99" s="816" t="s">
        <v>1239</v>
      </c>
      <c r="E99" s="719"/>
      <c r="F99" s="719"/>
      <c r="G99" s="721"/>
      <c r="H99" s="759"/>
      <c r="I99" s="717"/>
      <c r="J99" s="717"/>
      <c r="K99" s="717"/>
      <c r="L99" s="87"/>
    </row>
    <row r="100" spans="1:18">
      <c r="A100" s="787"/>
      <c r="B100" s="780"/>
      <c r="C100" s="780"/>
      <c r="D100" s="780"/>
      <c r="E100" s="1810" t="s">
        <v>906</v>
      </c>
      <c r="F100" s="1810"/>
      <c r="G100" s="1810"/>
      <c r="H100" s="24"/>
      <c r="I100" s="1811" t="s">
        <v>907</v>
      </c>
      <c r="J100" s="1812"/>
      <c r="K100" s="1813"/>
      <c r="L100" s="36"/>
      <c r="M100" s="796"/>
      <c r="N100" s="36"/>
    </row>
    <row r="101" spans="1:18">
      <c r="A101" s="760" t="s">
        <v>1042</v>
      </c>
      <c r="B101" s="761"/>
      <c r="C101" s="735"/>
      <c r="D101" s="732"/>
      <c r="E101" s="1808" t="s">
        <v>1220</v>
      </c>
      <c r="F101" s="1818" t="s">
        <v>1221</v>
      </c>
      <c r="G101" s="1784" t="s">
        <v>1222</v>
      </c>
      <c r="H101" s="26"/>
      <c r="I101" s="1809" t="s">
        <v>1220</v>
      </c>
      <c r="J101" s="1785" t="s">
        <v>1221</v>
      </c>
      <c r="K101" s="1785" t="s">
        <v>1222</v>
      </c>
      <c r="L101" s="36"/>
      <c r="M101" s="1808" t="s">
        <v>1214</v>
      </c>
      <c r="N101" s="1814" t="s">
        <v>1211</v>
      </c>
      <c r="P101" s="1820" t="s">
        <v>579</v>
      </c>
      <c r="Q101" s="1820"/>
      <c r="R101" s="1820"/>
    </row>
    <row r="102" spans="1:18">
      <c r="A102" s="762"/>
      <c r="B102" s="763"/>
      <c r="C102" s="422"/>
      <c r="D102" s="149"/>
      <c r="E102" s="1816"/>
      <c r="F102" s="1819"/>
      <c r="G102" s="1786"/>
      <c r="H102" s="26"/>
      <c r="I102" s="1816"/>
      <c r="J102" s="1786"/>
      <c r="K102" s="1786"/>
      <c r="L102" s="34"/>
      <c r="M102" s="1816"/>
      <c r="N102" s="1817"/>
      <c r="P102" s="788" t="s">
        <v>1223</v>
      </c>
      <c r="Q102" s="1823" t="s">
        <v>1224</v>
      </c>
      <c r="R102" s="1824"/>
    </row>
    <row r="103" spans="1:18">
      <c r="A103" s="764"/>
      <c r="B103" s="765"/>
      <c r="C103" s="743"/>
      <c r="D103" s="740"/>
      <c r="E103" s="796" t="s">
        <v>34</v>
      </c>
      <c r="F103" s="795" t="s">
        <v>2</v>
      </c>
      <c r="G103" s="794" t="s">
        <v>2</v>
      </c>
      <c r="H103" s="15"/>
      <c r="I103" s="796" t="s">
        <v>34</v>
      </c>
      <c r="J103" s="794" t="s">
        <v>2</v>
      </c>
      <c r="K103" s="794" t="s">
        <v>2</v>
      </c>
      <c r="L103" s="58"/>
      <c r="M103" s="796" t="s">
        <v>77</v>
      </c>
      <c r="N103" s="796" t="s">
        <v>77</v>
      </c>
      <c r="P103" s="712"/>
      <c r="Q103" s="789" t="s">
        <v>1225</v>
      </c>
      <c r="R103" s="790" t="s">
        <v>1226</v>
      </c>
    </row>
    <row r="104" spans="1:18">
      <c r="A104" s="767" t="s">
        <v>1227</v>
      </c>
      <c r="B104" s="768"/>
      <c r="C104" s="725"/>
      <c r="D104" s="725" t="s">
        <v>1</v>
      </c>
      <c r="E104" s="776">
        <f>G79</f>
        <v>11.676014613495402</v>
      </c>
      <c r="F104" s="38">
        <f>M104/E104</f>
        <v>0.92254930279469849</v>
      </c>
      <c r="G104" s="37">
        <f>N104/E104</f>
        <v>0</v>
      </c>
      <c r="H104" s="26"/>
      <c r="I104" s="34"/>
      <c r="J104" s="34"/>
      <c r="K104" s="34"/>
      <c r="L104" s="34"/>
      <c r="M104" s="776">
        <f>G80</f>
        <v>10.771699141100894</v>
      </c>
      <c r="N104" s="776">
        <f>G81</f>
        <v>0</v>
      </c>
      <c r="P104" s="777">
        <v>1.35</v>
      </c>
      <c r="Q104" s="777">
        <v>1</v>
      </c>
      <c r="R104" s="34">
        <v>1</v>
      </c>
    </row>
    <row r="105" spans="1:18">
      <c r="A105" s="767"/>
      <c r="B105" s="768"/>
      <c r="C105" s="725"/>
      <c r="D105" s="725"/>
      <c r="E105" s="776"/>
      <c r="F105" s="38"/>
      <c r="G105" s="37"/>
      <c r="H105" s="26"/>
      <c r="I105" s="34"/>
      <c r="J105" s="34"/>
      <c r="K105" s="34"/>
      <c r="L105" s="34"/>
      <c r="M105" s="776"/>
      <c r="N105" s="792"/>
      <c r="P105" s="777"/>
      <c r="Q105" s="777"/>
      <c r="R105" s="34"/>
    </row>
    <row r="106" spans="1:18">
      <c r="A106" s="767" t="s">
        <v>1215</v>
      </c>
      <c r="B106" s="768"/>
      <c r="C106" s="725"/>
      <c r="D106" s="725" t="s">
        <v>1</v>
      </c>
      <c r="E106" s="776">
        <f>E89</f>
        <v>46</v>
      </c>
      <c r="F106" s="38">
        <f>D31</f>
        <v>0.82573593128807143</v>
      </c>
      <c r="G106" s="37">
        <f>-K31</f>
        <v>-0.5</v>
      </c>
      <c r="H106" s="26"/>
      <c r="I106" s="196">
        <f>F89</f>
        <v>46</v>
      </c>
      <c r="J106" s="37">
        <f>F106</f>
        <v>0.82573593128807143</v>
      </c>
      <c r="K106" s="37">
        <f>L31</f>
        <v>0.5</v>
      </c>
      <c r="L106" s="34"/>
      <c r="M106" s="776">
        <f>E106*F106+I106*J106</f>
        <v>75.967705678502568</v>
      </c>
      <c r="N106" s="776">
        <f>E106*G106+I106*K106</f>
        <v>0</v>
      </c>
      <c r="P106" s="777">
        <v>1.35</v>
      </c>
      <c r="Q106" s="777">
        <v>1</v>
      </c>
      <c r="R106" s="34">
        <v>1</v>
      </c>
    </row>
    <row r="107" spans="1:18">
      <c r="A107" s="767" t="s">
        <v>121</v>
      </c>
      <c r="B107" s="768"/>
      <c r="C107" s="725"/>
      <c r="D107" s="725" t="s">
        <v>1</v>
      </c>
      <c r="E107" s="776">
        <f>E90</f>
        <v>10.67</v>
      </c>
      <c r="F107" s="38">
        <f>F106</f>
        <v>0.82573593128807143</v>
      </c>
      <c r="G107" s="37">
        <f>G106</f>
        <v>-0.5</v>
      </c>
      <c r="H107" s="26"/>
      <c r="I107" s="196">
        <f>F90</f>
        <v>10.67</v>
      </c>
      <c r="J107" s="37">
        <f>F107</f>
        <v>0.82573593128807143</v>
      </c>
      <c r="K107" s="37">
        <f>K106</f>
        <v>0.5</v>
      </c>
      <c r="L107" s="34"/>
      <c r="M107" s="776">
        <f>E107*F107+I107*J107</f>
        <v>17.621204773687445</v>
      </c>
      <c r="N107" s="776">
        <f>E107*G107+I107*K107</f>
        <v>0</v>
      </c>
      <c r="P107" s="777">
        <v>1.35</v>
      </c>
      <c r="Q107" s="777">
        <v>1</v>
      </c>
      <c r="R107" s="34">
        <v>1</v>
      </c>
    </row>
    <row r="108" spans="1:18">
      <c r="A108" s="767" t="s">
        <v>91</v>
      </c>
      <c r="B108" s="768"/>
      <c r="C108" s="725"/>
      <c r="D108" s="725" t="s">
        <v>1</v>
      </c>
      <c r="E108" s="776">
        <f>E91</f>
        <v>9.202</v>
      </c>
      <c r="F108" s="38">
        <f>F107</f>
        <v>0.82573593128807143</v>
      </c>
      <c r="G108" s="37">
        <f>G107</f>
        <v>-0.5</v>
      </c>
      <c r="H108" s="26"/>
      <c r="I108" s="196">
        <f>F91</f>
        <v>9.202</v>
      </c>
      <c r="J108" s="37">
        <f>F108</f>
        <v>0.82573593128807143</v>
      </c>
      <c r="K108" s="37">
        <f>K107</f>
        <v>0.5</v>
      </c>
      <c r="L108" s="34"/>
      <c r="M108" s="776">
        <f>E108*F108+I108*J108</f>
        <v>15.196844079425667</v>
      </c>
      <c r="N108" s="776">
        <f>E108*G108+I108*K108</f>
        <v>0</v>
      </c>
      <c r="P108" s="777">
        <v>1.75</v>
      </c>
      <c r="Q108" s="777">
        <v>1</v>
      </c>
      <c r="R108" s="34">
        <v>1</v>
      </c>
    </row>
    <row r="109" spans="1:18">
      <c r="A109" s="767"/>
      <c r="B109" s="768"/>
      <c r="C109" s="725"/>
      <c r="D109" s="725"/>
      <c r="E109" s="776"/>
      <c r="F109" s="26"/>
      <c r="G109" s="34"/>
      <c r="H109" s="26"/>
      <c r="I109" s="34"/>
      <c r="J109" s="34"/>
      <c r="K109" s="34"/>
      <c r="L109" s="34"/>
      <c r="M109" s="776"/>
      <c r="N109" s="776"/>
      <c r="P109" s="777"/>
      <c r="Q109" s="777"/>
      <c r="R109" s="34"/>
    </row>
    <row r="110" spans="1:18">
      <c r="A110" s="767" t="s">
        <v>1217</v>
      </c>
      <c r="B110" s="768"/>
      <c r="C110" s="725"/>
      <c r="D110" s="725" t="s">
        <v>1</v>
      </c>
      <c r="E110" s="776">
        <f>E94</f>
        <v>4.4390243902439028</v>
      </c>
      <c r="F110" s="38">
        <f>F108</f>
        <v>0.82573593128807143</v>
      </c>
      <c r="G110" s="37">
        <f>G108</f>
        <v>-0.5</v>
      </c>
      <c r="H110" s="26"/>
      <c r="I110" s="815">
        <f>F94</f>
        <v>8.8780487804878057</v>
      </c>
      <c r="J110" s="37">
        <f>F110</f>
        <v>0.82573593128807143</v>
      </c>
      <c r="K110" s="37">
        <f>L31</f>
        <v>0.5</v>
      </c>
      <c r="L110" s="34"/>
      <c r="M110" s="776">
        <f>E110*F110+I110*J110</f>
        <v>10.996385816665537</v>
      </c>
      <c r="N110" s="776">
        <f>E110*G110+I110*K110</f>
        <v>2.2195121951219514</v>
      </c>
      <c r="P110" s="777">
        <v>1.5</v>
      </c>
      <c r="Q110" s="777">
        <v>1</v>
      </c>
      <c r="R110" s="34">
        <v>0</v>
      </c>
    </row>
    <row r="111" spans="1:18">
      <c r="A111" s="770"/>
      <c r="B111" s="739"/>
      <c r="C111" s="743"/>
      <c r="D111" s="740"/>
      <c r="E111" s="791"/>
      <c r="F111" s="15"/>
      <c r="G111" s="58"/>
      <c r="H111" s="15"/>
      <c r="I111" s="58"/>
      <c r="J111" s="58"/>
      <c r="K111" s="58"/>
      <c r="L111" s="58"/>
      <c r="M111" s="791"/>
      <c r="N111" s="791"/>
      <c r="P111" s="778"/>
      <c r="Q111" s="778"/>
      <c r="R111" s="58"/>
    </row>
    <row r="112" spans="1:18">
      <c r="A112" s="632" t="s">
        <v>1228</v>
      </c>
      <c r="B112" s="149"/>
      <c r="C112" s="149"/>
      <c r="D112" s="725"/>
      <c r="E112" s="34"/>
      <c r="F112" s="26"/>
      <c r="G112" s="34"/>
      <c r="H112" s="26"/>
      <c r="I112" s="705"/>
      <c r="J112" s="34"/>
      <c r="K112" s="34"/>
      <c r="L112" s="34"/>
      <c r="M112" s="705"/>
      <c r="N112" s="34"/>
    </row>
    <row r="113" spans="1:18">
      <c r="A113" s="433" t="s">
        <v>1223</v>
      </c>
      <c r="B113" s="721"/>
      <c r="C113" s="725"/>
      <c r="D113" s="721"/>
      <c r="E113" s="825">
        <f>SUMPRODUCT(E104:E108,$P$104:$P$108)+SUMPRODUCT(I104:I108,$P$104:$P$108)+E110*P110+I110*P110</f>
        <v>220.95422948431636</v>
      </c>
      <c r="F113" s="193"/>
      <c r="G113" s="826"/>
      <c r="H113" s="193"/>
      <c r="I113" s="825"/>
      <c r="J113" s="827"/>
      <c r="K113" s="827"/>
      <c r="L113" s="826"/>
      <c r="M113" s="825">
        <f>SUMPRODUCT(M104:M108,$P$104:$P$108)+M110*P110</f>
        <v>183.97587881493592</v>
      </c>
      <c r="N113" s="825">
        <f>SUMPRODUCT(N104:N108,$P$104:$P$108)+N110*P110</f>
        <v>3.3292682926829271</v>
      </c>
    </row>
    <row r="114" spans="1:18">
      <c r="A114" s="433" t="s">
        <v>1229</v>
      </c>
      <c r="B114" s="721"/>
      <c r="C114" s="725"/>
      <c r="D114" s="721"/>
      <c r="E114" s="825">
        <f>SUMPRODUCT(E104:E108,$Q$104:$Q$108)+SUMPRODUCT(I104:I108,$Q$104:$Q$108)+E110*Q110+I110*Q110</f>
        <v>156.7370877842271</v>
      </c>
      <c r="F114" s="193"/>
      <c r="G114" s="826"/>
      <c r="H114" s="193"/>
      <c r="I114" s="825"/>
      <c r="J114" s="827"/>
      <c r="K114" s="827"/>
      <c r="L114" s="826"/>
      <c r="M114" s="825">
        <f>SUMPRODUCT(M104:M108,$Q$104:$Q$108)+M110*Q110</f>
        <v>130.55383948938211</v>
      </c>
      <c r="N114" s="825">
        <f>SUMPRODUCT(N104:N108,$Q$104:$Q$108)+N110*Q110</f>
        <v>2.2195121951219514</v>
      </c>
    </row>
    <row r="115" spans="1:18">
      <c r="A115" s="433" t="s">
        <v>1230</v>
      </c>
      <c r="B115" s="721"/>
      <c r="C115" s="725"/>
      <c r="D115" s="721"/>
      <c r="E115" s="825">
        <f>SUMPRODUCT(E104:E108,$R$104:$R$108)+SUMPRODUCT(I104:I108,$R$104:$R$108)+E110*R110+I110*R110</f>
        <v>143.4200146134954</v>
      </c>
      <c r="F115" s="193"/>
      <c r="G115" s="826"/>
      <c r="H115" s="193"/>
      <c r="I115" s="825"/>
      <c r="J115" s="827"/>
      <c r="K115" s="827"/>
      <c r="L115" s="826"/>
      <c r="M115" s="825">
        <f>SUMPRODUCT(M104:M108,$R$104:$R$108)+M110*R110</f>
        <v>119.55745367271658</v>
      </c>
      <c r="N115" s="825">
        <f>SUMPRODUCT(N104:N108,$R$104:$R$108)+N110*R110</f>
        <v>0</v>
      </c>
    </row>
    <row r="116" spans="1:18">
      <c r="A116" s="742"/>
      <c r="B116" s="738"/>
      <c r="C116" s="739"/>
      <c r="D116" s="738"/>
      <c r="E116" s="779"/>
      <c r="F116" s="15"/>
      <c r="G116" s="58"/>
      <c r="H116" s="15"/>
      <c r="I116" s="779"/>
      <c r="J116" s="793"/>
      <c r="K116" s="793"/>
      <c r="L116" s="58"/>
      <c r="M116" s="779"/>
      <c r="N116" s="58"/>
    </row>
    <row r="117" spans="1:18">
      <c r="A117" s="717"/>
      <c r="B117" s="721"/>
      <c r="C117" s="725"/>
      <c r="D117" s="721"/>
      <c r="E117" s="721"/>
      <c r="F117" s="721"/>
      <c r="G117" s="721"/>
      <c r="H117" s="759"/>
      <c r="I117" s="717"/>
      <c r="J117" s="717"/>
      <c r="K117" s="717"/>
      <c r="L117" s="87"/>
    </row>
    <row r="118" spans="1:18">
      <c r="A118" s="758" t="s">
        <v>1231</v>
      </c>
      <c r="B118" s="721"/>
      <c r="C118" s="725"/>
      <c r="D118" s="816" t="s">
        <v>1239</v>
      </c>
      <c r="E118" s="721"/>
      <c r="F118" s="721"/>
      <c r="G118" s="721"/>
      <c r="H118" s="759"/>
      <c r="I118" s="717"/>
      <c r="J118" s="717"/>
      <c r="K118" s="717"/>
      <c r="L118" s="87"/>
    </row>
    <row r="119" spans="1:18">
      <c r="A119" s="30"/>
      <c r="B119" s="780"/>
      <c r="C119" s="780"/>
      <c r="D119" s="780"/>
      <c r="E119" s="1810" t="s">
        <v>906</v>
      </c>
      <c r="F119" s="1810"/>
      <c r="G119" s="1810"/>
      <c r="H119" s="24"/>
      <c r="I119" s="1810" t="s">
        <v>907</v>
      </c>
      <c r="J119" s="1810"/>
      <c r="K119" s="1810"/>
      <c r="L119" s="36"/>
      <c r="M119" s="810"/>
      <c r="N119" s="36"/>
    </row>
    <row r="120" spans="1:18">
      <c r="A120" s="760" t="s">
        <v>1042</v>
      </c>
      <c r="B120" s="761"/>
      <c r="C120" s="735"/>
      <c r="D120" s="732"/>
      <c r="E120" s="1808" t="s">
        <v>1220</v>
      </c>
      <c r="F120" s="1591" t="s">
        <v>1221</v>
      </c>
      <c r="G120" s="1784" t="s">
        <v>1222</v>
      </c>
      <c r="H120" s="26"/>
      <c r="I120" s="1808" t="s">
        <v>1220</v>
      </c>
      <c r="J120" s="1784" t="s">
        <v>1221</v>
      </c>
      <c r="K120" s="1592" t="s">
        <v>1222</v>
      </c>
      <c r="L120" s="26"/>
      <c r="M120" s="1808" t="s">
        <v>1214</v>
      </c>
      <c r="N120" s="1814" t="s">
        <v>1211</v>
      </c>
      <c r="P120" s="1820" t="s">
        <v>579</v>
      </c>
      <c r="Q120" s="1820"/>
      <c r="R120" s="1820"/>
    </row>
    <row r="121" spans="1:18">
      <c r="A121" s="762"/>
      <c r="B121" s="763"/>
      <c r="C121" s="422"/>
      <c r="D121" s="149"/>
      <c r="E121" s="1809"/>
      <c r="F121" s="1593"/>
      <c r="G121" s="1786"/>
      <c r="H121" s="26"/>
      <c r="I121" s="1809"/>
      <c r="J121" s="1786"/>
      <c r="K121" s="1594"/>
      <c r="L121" s="26"/>
      <c r="M121" s="1809"/>
      <c r="N121" s="1815"/>
      <c r="P121" s="1821" t="s">
        <v>1223</v>
      </c>
      <c r="Q121" s="1823" t="s">
        <v>1224</v>
      </c>
      <c r="R121" s="1824"/>
    </row>
    <row r="122" spans="1:18">
      <c r="A122" s="764"/>
      <c r="B122" s="765"/>
      <c r="C122" s="743"/>
      <c r="D122" s="740"/>
      <c r="E122" s="810" t="s">
        <v>34</v>
      </c>
      <c r="F122" s="803" t="s">
        <v>2</v>
      </c>
      <c r="G122" s="801" t="s">
        <v>2</v>
      </c>
      <c r="H122" s="15"/>
      <c r="I122" s="810" t="s">
        <v>34</v>
      </c>
      <c r="J122" s="801" t="s">
        <v>2</v>
      </c>
      <c r="K122" s="800" t="s">
        <v>2</v>
      </c>
      <c r="L122" s="15"/>
      <c r="M122" s="773" t="s">
        <v>77</v>
      </c>
      <c r="N122" s="773" t="s">
        <v>77</v>
      </c>
      <c r="P122" s="1822"/>
      <c r="Q122" s="774" t="s">
        <v>1225</v>
      </c>
      <c r="R122" s="775" t="s">
        <v>1226</v>
      </c>
    </row>
    <row r="123" spans="1:18">
      <c r="A123" s="767" t="s">
        <v>1227</v>
      </c>
      <c r="B123" s="768"/>
      <c r="C123" s="725"/>
      <c r="D123" s="725" t="s">
        <v>1</v>
      </c>
      <c r="E123" s="776">
        <f>I79</f>
        <v>5.754944844654899</v>
      </c>
      <c r="F123" s="76">
        <f>M123/E123</f>
        <v>0.54203884814303083</v>
      </c>
      <c r="G123" s="37">
        <f>N123/E123</f>
        <v>0</v>
      </c>
      <c r="H123" s="26"/>
      <c r="I123" s="776"/>
      <c r="J123" s="34"/>
      <c r="K123" s="27"/>
      <c r="L123" s="26"/>
      <c r="M123" s="776">
        <f>I80</f>
        <v>3.1194036747234146</v>
      </c>
      <c r="N123" s="776">
        <f>I81</f>
        <v>0</v>
      </c>
      <c r="P123" s="777">
        <v>1.35</v>
      </c>
      <c r="Q123" s="777">
        <v>1</v>
      </c>
      <c r="R123" s="34">
        <v>1</v>
      </c>
    </row>
    <row r="124" spans="1:18">
      <c r="A124" s="767"/>
      <c r="B124" s="768"/>
      <c r="C124" s="725"/>
      <c r="D124" s="725"/>
      <c r="E124" s="776"/>
      <c r="F124" s="38"/>
      <c r="G124" s="37"/>
      <c r="H124" s="26"/>
      <c r="I124" s="776"/>
      <c r="J124" s="34"/>
      <c r="K124" s="27"/>
      <c r="L124" s="26"/>
      <c r="M124" s="776"/>
      <c r="N124" s="776"/>
      <c r="P124" s="777"/>
      <c r="Q124" s="777"/>
      <c r="R124" s="34"/>
    </row>
    <row r="125" spans="1:18">
      <c r="A125" s="767" t="s">
        <v>1215</v>
      </c>
      <c r="B125" s="768"/>
      <c r="C125" s="725"/>
      <c r="D125" s="725" t="s">
        <v>1</v>
      </c>
      <c r="E125" s="776">
        <f>E106</f>
        <v>46</v>
      </c>
      <c r="F125" s="38">
        <f>D31-F30</f>
        <v>-7.4264068711928588E-2</v>
      </c>
      <c r="G125" s="37">
        <f>-K31</f>
        <v>-0.5</v>
      </c>
      <c r="H125" s="26"/>
      <c r="I125" s="776">
        <f>I106</f>
        <v>46</v>
      </c>
      <c r="J125" s="37">
        <f>F125</f>
        <v>-7.4264068711928588E-2</v>
      </c>
      <c r="K125" s="756">
        <f>L31</f>
        <v>0.5</v>
      </c>
      <c r="L125" s="26"/>
      <c r="M125" s="776">
        <f>E125*F125+I125*J125</f>
        <v>-6.8322943214974305</v>
      </c>
      <c r="N125" s="776">
        <f>E125*G125+I125*K125</f>
        <v>0</v>
      </c>
      <c r="P125" s="777">
        <v>1.35</v>
      </c>
      <c r="Q125" s="777">
        <v>1</v>
      </c>
      <c r="R125" s="34">
        <v>1</v>
      </c>
    </row>
    <row r="126" spans="1:18">
      <c r="A126" s="767" t="s">
        <v>121</v>
      </c>
      <c r="B126" s="768"/>
      <c r="C126" s="725"/>
      <c r="D126" s="725" t="s">
        <v>1</v>
      </c>
      <c r="E126" s="776">
        <f>E107</f>
        <v>10.67</v>
      </c>
      <c r="F126" s="38">
        <f>F125</f>
        <v>-7.4264068711928588E-2</v>
      </c>
      <c r="G126" s="34">
        <f>G125</f>
        <v>-0.5</v>
      </c>
      <c r="H126" s="26"/>
      <c r="I126" s="776">
        <f>I107</f>
        <v>10.67</v>
      </c>
      <c r="J126" s="37">
        <f>J125</f>
        <v>-7.4264068711928588E-2</v>
      </c>
      <c r="K126" s="27">
        <f>K125</f>
        <v>0.5</v>
      </c>
      <c r="L126" s="26"/>
      <c r="M126" s="776">
        <f>E126*F126+I126*J126</f>
        <v>-1.584795226312556</v>
      </c>
      <c r="N126" s="776">
        <f>E126*G126+I126*K126</f>
        <v>0</v>
      </c>
      <c r="P126" s="777">
        <v>1.35</v>
      </c>
      <c r="Q126" s="777">
        <v>1</v>
      </c>
      <c r="R126" s="34">
        <v>1</v>
      </c>
    </row>
    <row r="127" spans="1:18">
      <c r="A127" s="767" t="s">
        <v>91</v>
      </c>
      <c r="B127" s="768"/>
      <c r="C127" s="725"/>
      <c r="D127" s="725" t="s">
        <v>1</v>
      </c>
      <c r="E127" s="776">
        <f>E108</f>
        <v>9.202</v>
      </c>
      <c r="F127" s="38">
        <f>F126</f>
        <v>-7.4264068711928588E-2</v>
      </c>
      <c r="G127" s="34">
        <f>G126</f>
        <v>-0.5</v>
      </c>
      <c r="H127" s="26"/>
      <c r="I127" s="776">
        <f>I108</f>
        <v>9.202</v>
      </c>
      <c r="J127" s="37">
        <f>J126</f>
        <v>-7.4264068711928588E-2</v>
      </c>
      <c r="K127" s="27">
        <f>K126</f>
        <v>0.5</v>
      </c>
      <c r="L127" s="26"/>
      <c r="M127" s="776">
        <f>E127*F127+I127*J127</f>
        <v>-1.3667559205743338</v>
      </c>
      <c r="N127" s="776">
        <f>E127*G127+I127*K127</f>
        <v>0</v>
      </c>
      <c r="P127" s="777">
        <v>1.75</v>
      </c>
      <c r="Q127" s="777">
        <v>1</v>
      </c>
      <c r="R127" s="34">
        <v>1</v>
      </c>
    </row>
    <row r="128" spans="1:18">
      <c r="A128" s="767"/>
      <c r="B128" s="768"/>
      <c r="C128" s="725"/>
      <c r="D128" s="725"/>
      <c r="E128" s="776"/>
      <c r="F128" s="26"/>
      <c r="G128" s="34"/>
      <c r="H128" s="26"/>
      <c r="I128" s="776"/>
      <c r="J128" s="34"/>
      <c r="K128" s="27"/>
      <c r="L128" s="26"/>
      <c r="M128" s="776"/>
      <c r="N128" s="776"/>
      <c r="P128" s="777"/>
      <c r="Q128" s="777"/>
      <c r="R128" s="34"/>
    </row>
    <row r="129" spans="1:18">
      <c r="A129" s="767" t="s">
        <v>1217</v>
      </c>
      <c r="B129" s="768"/>
      <c r="C129" s="725"/>
      <c r="D129" s="725" t="s">
        <v>1</v>
      </c>
      <c r="E129" s="776">
        <f>E110</f>
        <v>4.4390243902439028</v>
      </c>
      <c r="F129" s="38">
        <f>F127</f>
        <v>-7.4264068711928588E-2</v>
      </c>
      <c r="G129" s="34">
        <f>G127</f>
        <v>-0.5</v>
      </c>
      <c r="H129" s="26"/>
      <c r="I129" s="776">
        <f>I110</f>
        <v>8.8780487804878057</v>
      </c>
      <c r="J129" s="37">
        <f>J127</f>
        <v>-7.4264068711928588E-2</v>
      </c>
      <c r="K129" s="27">
        <f>K127</f>
        <v>0.5</v>
      </c>
      <c r="L129" s="26"/>
      <c r="M129" s="776">
        <f>E129*F129+I129*J129</f>
        <v>-0.98898003699300041</v>
      </c>
      <c r="N129" s="776">
        <f>E129*G129+I129*K129</f>
        <v>2.2195121951219514</v>
      </c>
      <c r="P129" s="777">
        <v>1.5</v>
      </c>
      <c r="Q129" s="777">
        <v>1</v>
      </c>
      <c r="R129" s="34">
        <v>0</v>
      </c>
    </row>
    <row r="130" spans="1:18">
      <c r="A130" s="770"/>
      <c r="B130" s="739"/>
      <c r="C130" s="743"/>
      <c r="D130" s="740"/>
      <c r="E130" s="779"/>
      <c r="F130" s="15"/>
      <c r="G130" s="58"/>
      <c r="H130" s="15"/>
      <c r="I130" s="779"/>
      <c r="J130" s="58"/>
      <c r="K130" s="22"/>
      <c r="L130" s="15"/>
      <c r="M130" s="779"/>
      <c r="N130" s="779"/>
      <c r="P130" s="778"/>
      <c r="Q130" s="778"/>
      <c r="R130" s="58"/>
    </row>
    <row r="131" spans="1:18">
      <c r="A131" s="632" t="s">
        <v>1228</v>
      </c>
      <c r="B131" s="149"/>
      <c r="C131" s="149"/>
      <c r="D131" s="725"/>
      <c r="E131" s="34"/>
      <c r="F131" s="26"/>
      <c r="G131" s="34"/>
      <c r="H131" s="26"/>
      <c r="I131" s="705"/>
      <c r="J131" s="34"/>
      <c r="K131" s="34"/>
      <c r="L131" s="34"/>
      <c r="M131" s="705"/>
      <c r="N131" s="34"/>
    </row>
    <row r="132" spans="1:18">
      <c r="A132" s="433" t="s">
        <v>1223</v>
      </c>
      <c r="B132" s="721"/>
      <c r="C132" s="725"/>
      <c r="D132" s="721"/>
      <c r="E132" s="825">
        <f>SUMPRODUCT(E123:E127,$P$123:$P$127)+SUMPRODUCT(I123:I127,$P$123:$P$127)+E129*P129+I129*P129</f>
        <v>212.96078529638166</v>
      </c>
      <c r="F132" s="193"/>
      <c r="G132" s="826"/>
      <c r="H132" s="193"/>
      <c r="I132" s="825"/>
      <c r="J132" s="827"/>
      <c r="K132" s="827"/>
      <c r="L132" s="826"/>
      <c r="M132" s="825">
        <f>SUMPRODUCT(M123:M127,$P$123:$P$127)+M129*P129</f>
        <v>-11.027168845161459</v>
      </c>
      <c r="N132" s="825">
        <f>SUMPRODUCT(N123:N127,$P$123:$P$127)+N129*P129</f>
        <v>3.3292682926829271</v>
      </c>
    </row>
    <row r="133" spans="1:18">
      <c r="A133" s="433" t="s">
        <v>1229</v>
      </c>
      <c r="B133" s="721"/>
      <c r="C133" s="725"/>
      <c r="D133" s="721"/>
      <c r="E133" s="825">
        <f>SUMPRODUCT(E123:E127,$Q$123:$Q$127)+SUMPRODUCT(I123:I127,$Q$123:$Q$127)+E129*Q129+I129*Q129</f>
        <v>150.81601801538659</v>
      </c>
      <c r="F133" s="193"/>
      <c r="G133" s="826"/>
      <c r="H133" s="193"/>
      <c r="I133" s="825"/>
      <c r="J133" s="827"/>
      <c r="K133" s="827"/>
      <c r="L133" s="826"/>
      <c r="M133" s="825">
        <f>SUMPRODUCT(M123:M127,$Q$123:$Q$127)+M129*Q129</f>
        <v>-7.6534218306539055</v>
      </c>
      <c r="N133" s="825">
        <f>SUMPRODUCT(N123:N127,$Q$123:$Q$127)+N129*Q129</f>
        <v>2.2195121951219514</v>
      </c>
    </row>
    <row r="134" spans="1:18">
      <c r="A134" s="433" t="s">
        <v>1230</v>
      </c>
      <c r="B134" s="721"/>
      <c r="C134" s="725"/>
      <c r="D134" s="721"/>
      <c r="E134" s="825">
        <f>SUMPRODUCT(E123:E127,$R$123:$R$127)+SUMPRODUCT(I123:I127,$R$123:$R$127)+E129*R129+I129*R129</f>
        <v>137.49894484465489</v>
      </c>
      <c r="F134" s="193"/>
      <c r="G134" s="826"/>
      <c r="H134" s="193"/>
      <c r="I134" s="825"/>
      <c r="J134" s="827"/>
      <c r="K134" s="827"/>
      <c r="L134" s="826"/>
      <c r="M134" s="825">
        <f>SUMPRODUCT(M123:M127,$R$123:$R$127)+M129*R129</f>
        <v>-6.6644417936609051</v>
      </c>
      <c r="N134" s="825">
        <f>SUMPRODUCT(N123:N127,$R$123:$R$127)+N129*R129</f>
        <v>0</v>
      </c>
    </row>
    <row r="135" spans="1:18">
      <c r="A135" s="742"/>
      <c r="B135" s="738"/>
      <c r="C135" s="739"/>
      <c r="D135" s="738"/>
      <c r="E135" s="779"/>
      <c r="F135" s="15"/>
      <c r="G135" s="58"/>
      <c r="H135" s="15"/>
      <c r="I135" s="779"/>
      <c r="J135" s="793"/>
      <c r="K135" s="793"/>
      <c r="L135" s="58"/>
      <c r="M135" s="779"/>
      <c r="N135" s="58"/>
    </row>
    <row r="136" spans="1:18">
      <c r="A136" s="717"/>
      <c r="B136" s="721"/>
      <c r="C136" s="725"/>
      <c r="D136" s="721"/>
      <c r="E136" s="721"/>
      <c r="F136" s="721"/>
      <c r="G136" s="721"/>
      <c r="H136" s="721"/>
      <c r="I136" s="721"/>
      <c r="J136" s="721"/>
      <c r="K136" s="721"/>
      <c r="L136" s="721"/>
    </row>
    <row r="137" spans="1:18">
      <c r="A137" s="758" t="s">
        <v>1232</v>
      </c>
      <c r="B137" s="719"/>
      <c r="C137" s="719"/>
      <c r="D137" s="816" t="s">
        <v>1239</v>
      </c>
      <c r="E137" s="719"/>
      <c r="F137" s="719"/>
      <c r="G137" s="721"/>
      <c r="H137" s="759"/>
      <c r="I137" s="717"/>
      <c r="J137" s="717"/>
      <c r="K137" s="717"/>
      <c r="L137" s="87"/>
    </row>
    <row r="138" spans="1:18">
      <c r="A138" s="30"/>
      <c r="B138" s="780"/>
      <c r="C138" s="780"/>
      <c r="D138" s="780"/>
      <c r="E138" s="1810" t="s">
        <v>906</v>
      </c>
      <c r="F138" s="1810"/>
      <c r="G138" s="1810"/>
      <c r="H138" s="24"/>
      <c r="I138" s="1810" t="s">
        <v>907</v>
      </c>
      <c r="J138" s="1810"/>
      <c r="K138" s="1810"/>
      <c r="L138" s="36"/>
      <c r="M138" s="810"/>
      <c r="N138" s="36"/>
    </row>
    <row r="139" spans="1:18">
      <c r="A139" s="760" t="s">
        <v>1042</v>
      </c>
      <c r="B139" s="761"/>
      <c r="C139" s="735"/>
      <c r="D139" s="732"/>
      <c r="E139" s="1808" t="s">
        <v>1220</v>
      </c>
      <c r="F139" s="1591" t="s">
        <v>1221</v>
      </c>
      <c r="G139" s="1784" t="s">
        <v>1222</v>
      </c>
      <c r="H139" s="26"/>
      <c r="I139" s="1808" t="s">
        <v>1220</v>
      </c>
      <c r="J139" s="1591" t="s">
        <v>1221</v>
      </c>
      <c r="K139" s="1784" t="s">
        <v>1222</v>
      </c>
      <c r="L139" s="26"/>
      <c r="M139" s="1808" t="s">
        <v>1214</v>
      </c>
      <c r="N139" s="1814" t="s">
        <v>1211</v>
      </c>
      <c r="P139" s="1820" t="s">
        <v>579</v>
      </c>
      <c r="Q139" s="1820"/>
      <c r="R139" s="1820"/>
    </row>
    <row r="140" spans="1:18">
      <c r="A140" s="762"/>
      <c r="B140" s="763"/>
      <c r="C140" s="422"/>
      <c r="D140" s="149"/>
      <c r="E140" s="1809"/>
      <c r="F140" s="1593"/>
      <c r="G140" s="1786"/>
      <c r="H140" s="26"/>
      <c r="I140" s="1809"/>
      <c r="J140" s="1593"/>
      <c r="K140" s="1786"/>
      <c r="L140" s="26"/>
      <c r="M140" s="1809"/>
      <c r="N140" s="1815"/>
      <c r="P140" s="1821" t="s">
        <v>1223</v>
      </c>
      <c r="Q140" s="1823" t="s">
        <v>1224</v>
      </c>
      <c r="R140" s="1824"/>
    </row>
    <row r="141" spans="1:18">
      <c r="A141" s="764"/>
      <c r="B141" s="765"/>
      <c r="C141" s="743"/>
      <c r="D141" s="740"/>
      <c r="E141" s="773" t="s">
        <v>34</v>
      </c>
      <c r="F141" s="31" t="s">
        <v>2</v>
      </c>
      <c r="G141" s="33" t="s">
        <v>2</v>
      </c>
      <c r="H141" s="15"/>
      <c r="I141" s="773" t="s">
        <v>34</v>
      </c>
      <c r="J141" s="31" t="s">
        <v>2</v>
      </c>
      <c r="K141" s="33" t="s">
        <v>2</v>
      </c>
      <c r="L141" s="15"/>
      <c r="M141" s="773" t="s">
        <v>77</v>
      </c>
      <c r="N141" s="773" t="s">
        <v>77</v>
      </c>
      <c r="P141" s="1822"/>
      <c r="Q141" s="774" t="s">
        <v>1225</v>
      </c>
      <c r="R141" s="775" t="s">
        <v>1226</v>
      </c>
    </row>
    <row r="142" spans="1:18">
      <c r="A142" s="767" t="s">
        <v>1227</v>
      </c>
      <c r="B142" s="768"/>
      <c r="C142" s="725"/>
      <c r="D142" s="725" t="s">
        <v>1</v>
      </c>
      <c r="E142" s="776">
        <f>K79</f>
        <v>6.2088339754430466</v>
      </c>
      <c r="F142" s="76">
        <f>M142/E142</f>
        <v>0.57395264079038522</v>
      </c>
      <c r="G142" s="37">
        <f>N142/E142</f>
        <v>0</v>
      </c>
      <c r="H142" s="26"/>
      <c r="I142" s="776"/>
      <c r="J142" s="76"/>
      <c r="K142" s="37"/>
      <c r="L142" s="26"/>
      <c r="M142" s="776">
        <f>K80</f>
        <v>3.5635766564346025</v>
      </c>
      <c r="N142" s="776">
        <f>K81</f>
        <v>0</v>
      </c>
      <c r="P142" s="777">
        <v>1.35</v>
      </c>
      <c r="Q142" s="777">
        <v>1</v>
      </c>
      <c r="R142" s="34">
        <v>1</v>
      </c>
    </row>
    <row r="143" spans="1:18">
      <c r="A143" s="767"/>
      <c r="B143" s="768"/>
      <c r="C143" s="725"/>
      <c r="D143" s="725"/>
      <c r="E143" s="776"/>
      <c r="F143" s="38"/>
      <c r="G143" s="37"/>
      <c r="H143" s="26"/>
      <c r="I143" s="776"/>
      <c r="J143" s="38"/>
      <c r="K143" s="37"/>
      <c r="L143" s="26"/>
      <c r="M143" s="776"/>
      <c r="N143" s="776"/>
      <c r="P143" s="777"/>
      <c r="Q143" s="777"/>
      <c r="R143" s="34"/>
    </row>
    <row r="144" spans="1:18">
      <c r="A144" s="767" t="s">
        <v>1215</v>
      </c>
      <c r="B144" s="768"/>
      <c r="C144" s="725"/>
      <c r="D144" s="725" t="s">
        <v>1</v>
      </c>
      <c r="E144" s="776">
        <f>E125</f>
        <v>46</v>
      </c>
      <c r="F144" s="77">
        <v>0</v>
      </c>
      <c r="G144" s="37">
        <f>-K31</f>
        <v>-0.5</v>
      </c>
      <c r="H144" s="26"/>
      <c r="I144" s="776">
        <f>I125</f>
        <v>46</v>
      </c>
      <c r="J144" s="77">
        <v>0</v>
      </c>
      <c r="K144" s="37">
        <f>L31</f>
        <v>0.5</v>
      </c>
      <c r="L144" s="26"/>
      <c r="M144" s="776">
        <f>E144*F144+I144*J144</f>
        <v>0</v>
      </c>
      <c r="N144" s="776">
        <f>E144*G144+I144*K144</f>
        <v>0</v>
      </c>
      <c r="P144" s="777">
        <v>1.35</v>
      </c>
      <c r="Q144" s="777">
        <v>1</v>
      </c>
      <c r="R144" s="34">
        <v>1</v>
      </c>
    </row>
    <row r="145" spans="1:18">
      <c r="A145" s="767" t="s">
        <v>121</v>
      </c>
      <c r="B145" s="768"/>
      <c r="C145" s="725"/>
      <c r="D145" s="725" t="s">
        <v>1</v>
      </c>
      <c r="E145" s="776">
        <f>E126</f>
        <v>10.67</v>
      </c>
      <c r="F145" s="77">
        <v>0</v>
      </c>
      <c r="G145" s="34">
        <f>G144</f>
        <v>-0.5</v>
      </c>
      <c r="H145" s="26"/>
      <c r="I145" s="776">
        <f>I126</f>
        <v>10.67</v>
      </c>
      <c r="J145" s="77">
        <v>0</v>
      </c>
      <c r="K145" s="34">
        <f>K144</f>
        <v>0.5</v>
      </c>
      <c r="L145" s="26"/>
      <c r="M145" s="776">
        <f>E145*F145+I145*J145</f>
        <v>0</v>
      </c>
      <c r="N145" s="776">
        <f>E145*G145+I145*K145</f>
        <v>0</v>
      </c>
      <c r="P145" s="777">
        <v>1.35</v>
      </c>
      <c r="Q145" s="777">
        <v>1</v>
      </c>
      <c r="R145" s="34">
        <v>1</v>
      </c>
    </row>
    <row r="146" spans="1:18">
      <c r="A146" s="767" t="s">
        <v>91</v>
      </c>
      <c r="B146" s="768"/>
      <c r="C146" s="725"/>
      <c r="D146" s="725" t="s">
        <v>1</v>
      </c>
      <c r="E146" s="776">
        <f>E127</f>
        <v>9.202</v>
      </c>
      <c r="F146" s="77">
        <v>0</v>
      </c>
      <c r="G146" s="34">
        <f>G145</f>
        <v>-0.5</v>
      </c>
      <c r="H146" s="26"/>
      <c r="I146" s="776">
        <f>I127</f>
        <v>9.202</v>
      </c>
      <c r="J146" s="77">
        <v>0</v>
      </c>
      <c r="K146" s="34">
        <f>K145</f>
        <v>0.5</v>
      </c>
      <c r="L146" s="26"/>
      <c r="M146" s="776">
        <f>E146*F146+I146*J146</f>
        <v>0</v>
      </c>
      <c r="N146" s="776">
        <f>E146*G146+I146*K146</f>
        <v>0</v>
      </c>
      <c r="P146" s="777">
        <v>1.75</v>
      </c>
      <c r="Q146" s="777">
        <v>1</v>
      </c>
      <c r="R146" s="34">
        <v>1</v>
      </c>
    </row>
    <row r="147" spans="1:18">
      <c r="A147" s="767"/>
      <c r="B147" s="768"/>
      <c r="C147" s="725"/>
      <c r="D147" s="725"/>
      <c r="E147" s="776"/>
      <c r="F147" s="26"/>
      <c r="G147" s="34"/>
      <c r="H147" s="26"/>
      <c r="I147" s="776"/>
      <c r="J147" s="26"/>
      <c r="K147" s="34"/>
      <c r="L147" s="26"/>
      <c r="M147" s="776"/>
      <c r="N147" s="776"/>
      <c r="P147" s="777"/>
      <c r="Q147" s="777"/>
      <c r="R147" s="34"/>
    </row>
    <row r="148" spans="1:18">
      <c r="A148" s="767" t="s">
        <v>1217</v>
      </c>
      <c r="B148" s="768"/>
      <c r="C148" s="725"/>
      <c r="D148" s="725" t="s">
        <v>1</v>
      </c>
      <c r="E148" s="776">
        <f>E129</f>
        <v>4.4390243902439028</v>
      </c>
      <c r="F148" s="77">
        <v>0</v>
      </c>
      <c r="G148" s="34">
        <f>G146</f>
        <v>-0.5</v>
      </c>
      <c r="H148" s="26"/>
      <c r="I148" s="776">
        <f>I129</f>
        <v>8.8780487804878057</v>
      </c>
      <c r="J148" s="77">
        <v>0</v>
      </c>
      <c r="K148" s="34">
        <f>K146</f>
        <v>0.5</v>
      </c>
      <c r="L148" s="26"/>
      <c r="M148" s="776">
        <f>E148*F148+I148*J148</f>
        <v>0</v>
      </c>
      <c r="N148" s="776">
        <f>E148*G148+I148*K148</f>
        <v>2.2195121951219514</v>
      </c>
      <c r="P148" s="777">
        <v>1.5</v>
      </c>
      <c r="Q148" s="777">
        <v>1</v>
      </c>
      <c r="R148" s="34">
        <v>0</v>
      </c>
    </row>
    <row r="149" spans="1:18">
      <c r="A149" s="769"/>
      <c r="B149" s="725"/>
      <c r="C149" s="422"/>
      <c r="D149" s="149"/>
      <c r="E149" s="776"/>
      <c r="F149" s="26"/>
      <c r="G149" s="34"/>
      <c r="H149" s="26"/>
      <c r="I149" s="776"/>
      <c r="J149" s="26"/>
      <c r="K149" s="34"/>
      <c r="L149" s="26"/>
      <c r="M149" s="823"/>
      <c r="N149" s="823"/>
      <c r="P149" s="778"/>
      <c r="Q149" s="778"/>
      <c r="R149" s="58"/>
    </row>
    <row r="150" spans="1:18">
      <c r="A150" s="392" t="s">
        <v>1228</v>
      </c>
      <c r="B150" s="732"/>
      <c r="C150" s="732"/>
      <c r="D150" s="1532"/>
      <c r="E150" s="36"/>
      <c r="F150" s="24"/>
      <c r="G150" s="36"/>
      <c r="H150" s="24"/>
      <c r="I150" s="1573"/>
      <c r="J150" s="36"/>
      <c r="K150" s="36"/>
      <c r="L150" s="36"/>
      <c r="M150" s="1573"/>
      <c r="N150" s="36"/>
    </row>
    <row r="151" spans="1:18">
      <c r="A151" s="433" t="s">
        <v>1223</v>
      </c>
      <c r="B151" s="721"/>
      <c r="C151" s="725"/>
      <c r="D151" s="721"/>
      <c r="E151" s="825">
        <f>SUMPRODUCT(E142:E146,$P$142:$P$146)+SUMPRODUCT(I142:I146,$P$142:$P$146)+E148*P148+I148*P148</f>
        <v>213.57353562294568</v>
      </c>
      <c r="F151" s="193"/>
      <c r="G151" s="826"/>
      <c r="H151" s="193"/>
      <c r="I151" s="825"/>
      <c r="J151" s="827"/>
      <c r="K151" s="827"/>
      <c r="L151" s="826"/>
      <c r="M151" s="825">
        <f>SUMPRODUCT(M142:M146,$P$142:$P$146)+M148*P148</f>
        <v>4.8108284861867139</v>
      </c>
      <c r="N151" s="825">
        <f>SUMPRODUCT(N142:N146,$P$142:$P$146)+N148*P148</f>
        <v>3.3292682926829271</v>
      </c>
    </row>
    <row r="152" spans="1:18">
      <c r="A152" s="433" t="s">
        <v>1229</v>
      </c>
      <c r="B152" s="721"/>
      <c r="C152" s="725"/>
      <c r="D152" s="721"/>
      <c r="E152" s="825">
        <f>SUMPRODUCT(E142:E146,$Q$142:$Q$146)+SUMPRODUCT(I142:I146,$Q$142:$Q$146)+E148*Q148+I148*Q148</f>
        <v>151.26990714617477</v>
      </c>
      <c r="F152" s="193"/>
      <c r="G152" s="826"/>
      <c r="H152" s="193"/>
      <c r="I152" s="825"/>
      <c r="J152" s="827"/>
      <c r="K152" s="827"/>
      <c r="L152" s="826"/>
      <c r="M152" s="825">
        <f>SUMPRODUCT(M142:M146,$Q$142:$Q$146)+M148*Q148</f>
        <v>3.5635766564346025</v>
      </c>
      <c r="N152" s="825">
        <f>SUMPRODUCT(N142:N146,$Q$142:$Q$146)+N148*Q148</f>
        <v>2.2195121951219514</v>
      </c>
    </row>
    <row r="153" spans="1:18">
      <c r="A153" s="433" t="s">
        <v>1230</v>
      </c>
      <c r="B153" s="721"/>
      <c r="C153" s="725"/>
      <c r="D153" s="721"/>
      <c r="E153" s="825">
        <f>SUMPRODUCT(E142:E146,$R$142:$R$146)+SUMPRODUCT(I142:I146,$R$142:$R$146)+E148*R148+I148*R148</f>
        <v>137.95283397544307</v>
      </c>
      <c r="F153" s="193"/>
      <c r="G153" s="826"/>
      <c r="H153" s="193"/>
      <c r="I153" s="825"/>
      <c r="J153" s="827"/>
      <c r="K153" s="827"/>
      <c r="L153" s="826"/>
      <c r="M153" s="825">
        <f>SUMPRODUCT(M142:M146,$R$142:$R$146)+M148*R148</f>
        <v>3.5635766564346025</v>
      </c>
      <c r="N153" s="825">
        <f>SUMPRODUCT(N142:N146,$R$142:$R$146)+N148*R148</f>
        <v>0</v>
      </c>
    </row>
    <row r="154" spans="1:18">
      <c r="A154" s="742"/>
      <c r="B154" s="738"/>
      <c r="C154" s="1533"/>
      <c r="D154" s="738"/>
      <c r="E154" s="779"/>
      <c r="F154" s="15"/>
      <c r="G154" s="58"/>
      <c r="H154" s="15"/>
      <c r="I154" s="779"/>
      <c r="J154" s="793"/>
      <c r="K154" s="793"/>
      <c r="L154" s="58"/>
      <c r="M154" s="779"/>
      <c r="N154" s="58"/>
    </row>
    <row r="155" spans="1:18">
      <c r="A155" s="717"/>
      <c r="B155" s="721"/>
      <c r="C155" s="725"/>
      <c r="D155" s="721"/>
      <c r="E155" s="721"/>
      <c r="F155" s="721"/>
      <c r="G155" s="721"/>
      <c r="H155" s="759"/>
      <c r="I155" s="717"/>
      <c r="J155" s="717"/>
      <c r="K155" s="717"/>
      <c r="L155" s="87"/>
    </row>
    <row r="156" spans="1:18">
      <c r="A156" s="717"/>
      <c r="B156" s="721"/>
      <c r="C156" s="725"/>
      <c r="D156" s="721"/>
      <c r="E156" s="721"/>
      <c r="F156" s="721"/>
      <c r="G156" s="721"/>
      <c r="H156" s="759"/>
      <c r="I156" s="717"/>
      <c r="J156" s="717"/>
      <c r="K156" s="717"/>
      <c r="L156" s="87"/>
    </row>
    <row r="157" spans="1:18">
      <c r="A157" s="717"/>
      <c r="B157" s="721"/>
      <c r="C157" s="725"/>
      <c r="D157" s="721"/>
      <c r="E157" s="721"/>
      <c r="F157" s="721"/>
      <c r="G157" s="721"/>
      <c r="H157" s="759"/>
      <c r="I157" s="717"/>
      <c r="J157" s="717"/>
      <c r="K157" s="717"/>
      <c r="L157" s="87"/>
    </row>
    <row r="158" spans="1:18">
      <c r="A158" s="717"/>
      <c r="B158" s="721"/>
      <c r="C158" s="725"/>
      <c r="D158" s="721"/>
      <c r="E158" s="721"/>
      <c r="F158" s="721"/>
      <c r="G158" s="721"/>
      <c r="H158" s="759"/>
      <c r="I158" s="717"/>
      <c r="J158" s="717"/>
      <c r="K158" s="717"/>
      <c r="L158" s="87"/>
    </row>
    <row r="159" spans="1:18">
      <c r="A159" s="717"/>
      <c r="B159" s="721"/>
      <c r="C159" s="725"/>
      <c r="D159" s="721"/>
      <c r="E159" s="721"/>
      <c r="F159" s="721"/>
      <c r="G159" s="721"/>
      <c r="H159" s="759"/>
      <c r="I159" s="717"/>
      <c r="J159" s="717"/>
      <c r="K159" s="717"/>
      <c r="L159" s="87"/>
    </row>
  </sheetData>
  <mergeCells count="39">
    <mergeCell ref="P139:R139"/>
    <mergeCell ref="P140:P141"/>
    <mergeCell ref="Q140:R140"/>
    <mergeCell ref="P101:R101"/>
    <mergeCell ref="Q102:R102"/>
    <mergeCell ref="P120:R120"/>
    <mergeCell ref="P121:P122"/>
    <mergeCell ref="Q121:R121"/>
    <mergeCell ref="N139:N140"/>
    <mergeCell ref="N120:N121"/>
    <mergeCell ref="M101:M102"/>
    <mergeCell ref="N101:N102"/>
    <mergeCell ref="E101:E102"/>
    <mergeCell ref="F101:F102"/>
    <mergeCell ref="G101:G102"/>
    <mergeCell ref="I119:K119"/>
    <mergeCell ref="I120:I121"/>
    <mergeCell ref="J120:J121"/>
    <mergeCell ref="K120:K121"/>
    <mergeCell ref="I101:I102"/>
    <mergeCell ref="K139:K140"/>
    <mergeCell ref="M139:M140"/>
    <mergeCell ref="G139:G140"/>
    <mergeCell ref="E120:E121"/>
    <mergeCell ref="E139:E140"/>
    <mergeCell ref="F139:F140"/>
    <mergeCell ref="I138:K138"/>
    <mergeCell ref="I139:I140"/>
    <mergeCell ref="J139:J140"/>
    <mergeCell ref="E85:F85"/>
    <mergeCell ref="F120:F121"/>
    <mergeCell ref="M120:M121"/>
    <mergeCell ref="G120:G121"/>
    <mergeCell ref="E138:G138"/>
    <mergeCell ref="E100:G100"/>
    <mergeCell ref="I100:K100"/>
    <mergeCell ref="K101:K102"/>
    <mergeCell ref="E119:G119"/>
    <mergeCell ref="J101:J102"/>
  </mergeCells>
  <pageMargins left="0.75" right="0.25" top="0.75" bottom="0.25" header="0.31496062992126" footer="0.31496062992126"/>
  <pageSetup paperSize="9" scale="85" orientation="landscape" blackAndWhite="1" r:id="rId1"/>
  <rowBreaks count="2" manualBreakCount="2">
    <brk id="42" max="17" man="1"/>
    <brk id="117" max="17" man="1"/>
  </rowBreaks>
  <drawing r:id="rId2"/>
</worksheet>
</file>

<file path=xl/worksheets/sheet49.xml><?xml version="1.0" encoding="utf-8"?>
<worksheet xmlns="http://schemas.openxmlformats.org/spreadsheetml/2006/main" xmlns:r="http://schemas.openxmlformats.org/officeDocument/2006/relationships">
  <sheetPr codeName="Sheet46"/>
  <dimension ref="A1:Y247"/>
  <sheetViews>
    <sheetView view="pageBreakPreview" topLeftCell="A229" zoomScale="85" zoomScaleSheetLayoutView="85" workbookViewId="0">
      <selection activeCell="U20" sqref="U20:U24"/>
    </sheetView>
  </sheetViews>
  <sheetFormatPr defaultColWidth="7.7109375" defaultRowHeight="15"/>
  <cols>
    <col min="1" max="6" width="7.7109375" style="1"/>
    <col min="7" max="12" width="7.7109375" style="1" customWidth="1"/>
    <col min="13" max="13" width="7.7109375" style="1"/>
    <col min="14" max="14" width="12.85546875" style="1" bestFit="1" customWidth="1"/>
    <col min="15" max="16" width="7.7109375" style="1"/>
    <col min="17" max="17" width="7.7109375" style="1" customWidth="1"/>
    <col min="18" max="20" width="7.7109375" style="1"/>
    <col min="21" max="21" width="7.7109375" style="1" customWidth="1"/>
    <col min="22" max="16384" width="7.7109375" style="1"/>
  </cols>
  <sheetData>
    <row r="1" spans="1:24">
      <c r="A1" s="9" t="s">
        <v>1240</v>
      </c>
    </row>
    <row r="2" spans="1:24">
      <c r="A2" s="84" t="s">
        <v>1241</v>
      </c>
    </row>
    <row r="3" spans="1:24" s="351" customFormat="1">
      <c r="A3" s="768" t="s">
        <v>1242</v>
      </c>
      <c r="B3" s="768"/>
      <c r="C3" s="768"/>
      <c r="D3" s="768"/>
      <c r="F3" s="768" t="s">
        <v>1243</v>
      </c>
      <c r="G3" s="828">
        <f>GEN!H19</f>
        <v>35</v>
      </c>
      <c r="H3" s="768" t="s">
        <v>144</v>
      </c>
      <c r="I3" s="768"/>
      <c r="J3" s="351" t="s">
        <v>1244</v>
      </c>
    </row>
    <row r="4" spans="1:24" s="351" customFormat="1">
      <c r="A4" s="768" t="s">
        <v>20</v>
      </c>
      <c r="B4" s="768"/>
      <c r="C4" s="768"/>
      <c r="D4" s="768"/>
      <c r="F4" s="768" t="s">
        <v>1245</v>
      </c>
      <c r="G4" s="828">
        <f>GEN!H27</f>
        <v>500</v>
      </c>
      <c r="H4" s="768" t="s">
        <v>144</v>
      </c>
      <c r="I4" s="768"/>
      <c r="J4" s="768" t="s">
        <v>1246</v>
      </c>
      <c r="K4" s="768"/>
      <c r="L4" s="768"/>
      <c r="M4" s="768"/>
    </row>
    <row r="5" spans="1:24" s="351" customFormat="1">
      <c r="A5" s="351" t="s">
        <v>740</v>
      </c>
      <c r="B5" s="768" t="s">
        <v>1</v>
      </c>
      <c r="C5" s="768" t="s">
        <v>1247</v>
      </c>
      <c r="D5" s="768"/>
      <c r="F5" s="768" t="s">
        <v>1</v>
      </c>
      <c r="G5" s="828">
        <f>G4*0.8</f>
        <v>400</v>
      </c>
      <c r="H5" s="768" t="s">
        <v>144</v>
      </c>
      <c r="I5" s="768"/>
      <c r="J5" s="820" t="s">
        <v>1248</v>
      </c>
      <c r="K5" s="821"/>
      <c r="L5" s="821"/>
      <c r="M5" s="820" t="s">
        <v>1249</v>
      </c>
      <c r="N5" s="821"/>
      <c r="O5" s="821"/>
      <c r="P5" s="822"/>
    </row>
    <row r="6" spans="1:24" s="351" customFormat="1">
      <c r="A6" s="768" t="s">
        <v>606</v>
      </c>
      <c r="B6" s="768"/>
      <c r="C6" s="768"/>
      <c r="D6" s="768"/>
      <c r="F6" s="768" t="s">
        <v>1</v>
      </c>
      <c r="G6" s="829">
        <v>40</v>
      </c>
      <c r="H6" s="768" t="s">
        <v>5</v>
      </c>
      <c r="I6" s="11"/>
      <c r="J6" s="767" t="s">
        <v>1229</v>
      </c>
      <c r="K6" s="768"/>
      <c r="L6" s="768"/>
      <c r="M6" s="767" t="s">
        <v>1250</v>
      </c>
      <c r="N6" s="768" t="s">
        <v>1</v>
      </c>
      <c r="O6" s="768">
        <f>0.48*G3</f>
        <v>16.8</v>
      </c>
      <c r="P6" s="830" t="s">
        <v>293</v>
      </c>
    </row>
    <row r="7" spans="1:24" s="351" customFormat="1">
      <c r="A7" s="768" t="s">
        <v>1251</v>
      </c>
      <c r="B7" s="768"/>
      <c r="C7" s="768"/>
      <c r="D7" s="768" t="s">
        <v>294</v>
      </c>
      <c r="F7" s="768" t="s">
        <v>1</v>
      </c>
      <c r="G7" s="828">
        <f>GEN!H30</f>
        <v>200000</v>
      </c>
      <c r="H7" s="768" t="s">
        <v>293</v>
      </c>
      <c r="J7" s="767" t="s">
        <v>1233</v>
      </c>
      <c r="K7" s="768"/>
      <c r="L7" s="768"/>
      <c r="M7" s="767" t="s">
        <v>1252</v>
      </c>
      <c r="N7" s="768" t="s">
        <v>1</v>
      </c>
      <c r="O7" s="768">
        <f>0.36*G3</f>
        <v>12.6</v>
      </c>
      <c r="P7" s="830" t="s">
        <v>293</v>
      </c>
    </row>
    <row r="8" spans="1:24" s="351" customFormat="1">
      <c r="A8" s="768" t="s">
        <v>452</v>
      </c>
      <c r="B8" s="768"/>
      <c r="C8" s="768"/>
      <c r="D8" s="768" t="s">
        <v>451</v>
      </c>
      <c r="F8" s="768" t="s">
        <v>1</v>
      </c>
      <c r="G8" s="828">
        <f>GEN!H41</f>
        <v>32308.249722965833</v>
      </c>
      <c r="H8" s="768" t="s">
        <v>293</v>
      </c>
      <c r="J8" s="766"/>
      <c r="K8" s="831"/>
      <c r="L8" s="831"/>
      <c r="M8" s="766"/>
      <c r="N8" s="831"/>
      <c r="O8" s="831"/>
      <c r="P8" s="832"/>
    </row>
    <row r="9" spans="1:24" s="351" customFormat="1">
      <c r="A9" s="768" t="s">
        <v>453</v>
      </c>
      <c r="B9" s="768"/>
      <c r="C9" s="768"/>
      <c r="D9" s="768" t="s">
        <v>454</v>
      </c>
      <c r="F9" s="768" t="s">
        <v>1</v>
      </c>
      <c r="G9" s="828">
        <f>GEN!G66</f>
        <v>11086.325596102257</v>
      </c>
      <c r="H9" s="768" t="s">
        <v>293</v>
      </c>
      <c r="J9" s="11"/>
      <c r="K9" s="536"/>
      <c r="L9" s="11"/>
      <c r="M9" s="768"/>
    </row>
    <row r="10" spans="1:24" s="351" customFormat="1">
      <c r="A10" s="768"/>
      <c r="B10" s="768"/>
      <c r="C10" s="768"/>
      <c r="D10" s="768"/>
      <c r="F10" s="768"/>
      <c r="G10" s="828"/>
      <c r="H10" s="768"/>
      <c r="J10" s="11"/>
      <c r="K10" s="536"/>
      <c r="L10" s="11"/>
      <c r="M10" s="768"/>
    </row>
    <row r="11" spans="1:24" s="351" customFormat="1">
      <c r="A11" s="1" t="s">
        <v>1253</v>
      </c>
      <c r="F11" s="768" t="s">
        <v>1</v>
      </c>
      <c r="G11" s="833">
        <f>GEN!H24</f>
        <v>2.7712675746635549</v>
      </c>
      <c r="H11" s="768" t="s">
        <v>293</v>
      </c>
      <c r="I11" s="150"/>
      <c r="J11" s="768" t="s">
        <v>1254</v>
      </c>
      <c r="K11" s="768"/>
      <c r="L11" s="768"/>
      <c r="M11" s="768"/>
      <c r="N11" s="351" t="s">
        <v>1</v>
      </c>
      <c r="O11" s="836">
        <v>300</v>
      </c>
      <c r="P11" s="351" t="s">
        <v>293</v>
      </c>
      <c r="V11" s="1958">
        <v>0.26</v>
      </c>
      <c r="W11" s="1115" t="s">
        <v>352</v>
      </c>
      <c r="X11" s="1958" t="s">
        <v>1552</v>
      </c>
    </row>
    <row r="12" spans="1:24" s="351" customFormat="1">
      <c r="A12" s="768" t="s">
        <v>331</v>
      </c>
      <c r="B12" s="768"/>
      <c r="C12" s="768"/>
      <c r="D12" s="768"/>
      <c r="F12" s="768" t="s">
        <v>1</v>
      </c>
      <c r="G12" s="833">
        <f>GEN!H22</f>
        <v>15.633333333333335</v>
      </c>
      <c r="H12" s="768" t="s">
        <v>293</v>
      </c>
      <c r="I12" s="26"/>
      <c r="J12" s="26"/>
      <c r="K12" s="26"/>
      <c r="L12" s="26"/>
      <c r="M12" s="26"/>
      <c r="N12" s="26"/>
      <c r="O12" s="26"/>
      <c r="P12" s="26"/>
      <c r="Q12" s="26"/>
      <c r="V12" s="1958"/>
      <c r="W12" s="597" t="s">
        <v>295</v>
      </c>
      <c r="X12" s="1958"/>
    </row>
    <row r="13" spans="1:24" s="351" customFormat="1">
      <c r="A13" s="351" t="s">
        <v>1255</v>
      </c>
      <c r="B13" s="768"/>
      <c r="C13" s="834" t="s">
        <v>60</v>
      </c>
      <c r="D13" s="768"/>
      <c r="F13" s="768" t="s">
        <v>1</v>
      </c>
      <c r="G13" s="833">
        <f>GEN!G65</f>
        <v>1.9142432668877056</v>
      </c>
      <c r="H13" s="768"/>
      <c r="R13" s="351" t="s">
        <v>1551</v>
      </c>
      <c r="S13" s="597" t="s">
        <v>1</v>
      </c>
      <c r="T13" s="1127" t="s">
        <v>1554</v>
      </c>
    </row>
    <row r="14" spans="1:24" s="351" customFormat="1" ht="18">
      <c r="A14" s="768" t="s">
        <v>416</v>
      </c>
      <c r="B14" s="768"/>
      <c r="C14" s="768"/>
      <c r="D14" s="768"/>
      <c r="F14" s="768" t="s">
        <v>1</v>
      </c>
      <c r="G14" s="768">
        <f>0.002+G4/2/10^5</f>
        <v>4.5000000000000005E-3</v>
      </c>
      <c r="H14" s="768"/>
      <c r="I14" s="768"/>
      <c r="J14" s="351" t="s">
        <v>1256</v>
      </c>
      <c r="V14" s="1127" t="s">
        <v>1553</v>
      </c>
    </row>
    <row r="15" spans="1:24" s="351" customFormat="1">
      <c r="A15" s="768" t="s">
        <v>386</v>
      </c>
      <c r="B15" s="768"/>
      <c r="C15" s="768"/>
      <c r="D15" s="768"/>
      <c r="F15" s="768" t="s">
        <v>1</v>
      </c>
      <c r="G15" s="835">
        <f>G14*0.9</f>
        <v>4.0500000000000006E-3</v>
      </c>
      <c r="H15" s="768"/>
      <c r="J15" s="351" t="s">
        <v>1257</v>
      </c>
      <c r="N15" s="351" t="s">
        <v>1</v>
      </c>
      <c r="O15" s="836">
        <v>0.3</v>
      </c>
      <c r="P15" s="351" t="s">
        <v>5</v>
      </c>
    </row>
    <row r="16" spans="1:24" s="351" customFormat="1" ht="18">
      <c r="A16" s="768" t="s">
        <v>417</v>
      </c>
      <c r="B16" s="768"/>
      <c r="C16" s="768"/>
      <c r="D16" s="768"/>
      <c r="F16" s="768" t="s">
        <v>1</v>
      </c>
      <c r="G16" s="768">
        <f>IF($G3&lt;65,0.35,(2.6+35*((90-0.8*$G3)/100)^4)/10)%</f>
        <v>3.4999999999999996E-3</v>
      </c>
      <c r="H16" s="768"/>
      <c r="I16" s="11"/>
    </row>
    <row r="17" spans="1:25" s="351" customFormat="1" ht="18">
      <c r="A17" s="768" t="s">
        <v>415</v>
      </c>
      <c r="B17" s="768"/>
      <c r="C17" s="768"/>
      <c r="D17" s="768"/>
      <c r="F17" s="768" t="s">
        <v>1</v>
      </c>
      <c r="G17" s="835">
        <f>G16/(G16+G15)</f>
        <v>0.46357615894039728</v>
      </c>
      <c r="H17" s="768"/>
      <c r="I17" s="11"/>
    </row>
    <row r="18" spans="1:25" s="351" customFormat="1">
      <c r="I18" s="11"/>
    </row>
    <row r="19" spans="1:25" s="351" customFormat="1">
      <c r="A19" s="837" t="s">
        <v>1258</v>
      </c>
      <c r="J19" s="11"/>
      <c r="K19" s="536"/>
      <c r="L19" s="11"/>
      <c r="O19" s="11"/>
      <c r="P19" s="1"/>
      <c r="Q19" s="1"/>
      <c r="R19" s="1"/>
      <c r="S19" s="1"/>
      <c r="T19" s="1"/>
      <c r="U19" s="1"/>
    </row>
    <row r="20" spans="1:25" s="351" customFormat="1">
      <c r="A20" s="1837" t="s">
        <v>1259</v>
      </c>
      <c r="B20" s="1837"/>
      <c r="C20" s="1845" t="s">
        <v>1260</v>
      </c>
      <c r="D20" s="1825" t="s">
        <v>435</v>
      </c>
      <c r="E20" s="1808" t="s">
        <v>1261</v>
      </c>
      <c r="F20" s="1825" t="s">
        <v>61</v>
      </c>
      <c r="G20" s="1810" t="s">
        <v>777</v>
      </c>
      <c r="H20" s="1810"/>
      <c r="I20" s="1810"/>
      <c r="J20" s="1810"/>
      <c r="K20" s="1845" t="s">
        <v>1262</v>
      </c>
      <c r="L20" s="1858" t="s">
        <v>1263</v>
      </c>
      <c r="M20" s="1825" t="s">
        <v>125</v>
      </c>
      <c r="N20" s="1858" t="s">
        <v>1264</v>
      </c>
      <c r="O20" s="1858" t="s">
        <v>1452</v>
      </c>
      <c r="P20" s="1858" t="s">
        <v>1453</v>
      </c>
      <c r="Q20" s="773" t="s">
        <v>125</v>
      </c>
      <c r="R20" s="1825" t="s">
        <v>1265</v>
      </c>
      <c r="S20" s="773" t="s">
        <v>125</v>
      </c>
      <c r="T20" s="1599" t="s">
        <v>1266</v>
      </c>
      <c r="U20" s="1808" t="s">
        <v>1267</v>
      </c>
      <c r="V20" s="1839" t="s">
        <v>1268</v>
      </c>
      <c r="W20" s="1850" t="s">
        <v>1269</v>
      </c>
      <c r="X20" s="1852" t="s">
        <v>1270</v>
      </c>
      <c r="Y20" s="839" t="s">
        <v>125</v>
      </c>
    </row>
    <row r="21" spans="1:25" s="351" customFormat="1">
      <c r="A21" s="1837"/>
      <c r="B21" s="1837"/>
      <c r="C21" s="1846"/>
      <c r="D21" s="1826"/>
      <c r="E21" s="1809"/>
      <c r="F21" s="1826"/>
      <c r="G21" s="1810"/>
      <c r="H21" s="1810"/>
      <c r="I21" s="1810"/>
      <c r="J21" s="1810"/>
      <c r="K21" s="1846"/>
      <c r="L21" s="1859"/>
      <c r="M21" s="1826"/>
      <c r="N21" s="1859"/>
      <c r="O21" s="1859"/>
      <c r="P21" s="1859"/>
      <c r="Q21" s="1853" t="s">
        <v>1271</v>
      </c>
      <c r="R21" s="1846"/>
      <c r="S21" s="1856" t="s">
        <v>1272</v>
      </c>
      <c r="T21" s="1599"/>
      <c r="U21" s="1809"/>
      <c r="V21" s="1839"/>
      <c r="W21" s="1851"/>
      <c r="X21" s="1852"/>
      <c r="Y21" s="1848" t="s">
        <v>1273</v>
      </c>
    </row>
    <row r="22" spans="1:25" s="351" customFormat="1">
      <c r="A22" s="1837"/>
      <c r="B22" s="1837"/>
      <c r="C22" s="1846"/>
      <c r="D22" s="1826"/>
      <c r="E22" s="1809"/>
      <c r="F22" s="1826"/>
      <c r="G22" s="1810"/>
      <c r="H22" s="1810"/>
      <c r="I22" s="1810"/>
      <c r="J22" s="1810"/>
      <c r="K22" s="1846"/>
      <c r="L22" s="1859"/>
      <c r="M22" s="1826"/>
      <c r="N22" s="1859"/>
      <c r="O22" s="1859"/>
      <c r="P22" s="1859"/>
      <c r="Q22" s="1854"/>
      <c r="R22" s="1846"/>
      <c r="S22" s="1856"/>
      <c r="T22" s="1599"/>
      <c r="U22" s="1809"/>
      <c r="V22" s="1839"/>
      <c r="W22" s="1851"/>
      <c r="X22" s="1852"/>
      <c r="Y22" s="1848"/>
    </row>
    <row r="23" spans="1:25" s="351" customFormat="1">
      <c r="A23" s="1837"/>
      <c r="B23" s="1837"/>
      <c r="C23" s="1846"/>
      <c r="D23" s="1826"/>
      <c r="E23" s="1809"/>
      <c r="F23" s="1826"/>
      <c r="G23" s="1810" t="s">
        <v>1274</v>
      </c>
      <c r="H23" s="1810" t="s">
        <v>604</v>
      </c>
      <c r="I23" s="1810" t="s">
        <v>561</v>
      </c>
      <c r="J23" s="1837" t="s">
        <v>1275</v>
      </c>
      <c r="K23" s="1846"/>
      <c r="L23" s="1859"/>
      <c r="M23" s="1826"/>
      <c r="N23" s="1859"/>
      <c r="O23" s="1859"/>
      <c r="P23" s="1859"/>
      <c r="Q23" s="1854"/>
      <c r="R23" s="1846"/>
      <c r="S23" s="1856"/>
      <c r="T23" s="1599"/>
      <c r="U23" s="1809"/>
      <c r="V23" s="1839"/>
      <c r="W23" s="1851"/>
      <c r="X23" s="1852"/>
      <c r="Y23" s="1848"/>
    </row>
    <row r="24" spans="1:25" s="351" customFormat="1">
      <c r="A24" s="1837"/>
      <c r="B24" s="1837"/>
      <c r="C24" s="1847"/>
      <c r="D24" s="1827"/>
      <c r="E24" s="1816"/>
      <c r="F24" s="1827"/>
      <c r="G24" s="1810"/>
      <c r="H24" s="1810"/>
      <c r="I24" s="1810"/>
      <c r="J24" s="1837"/>
      <c r="K24" s="1847"/>
      <c r="L24" s="1860"/>
      <c r="M24" s="1827"/>
      <c r="N24" s="1860"/>
      <c r="O24" s="1860"/>
      <c r="P24" s="1860"/>
      <c r="Q24" s="1854"/>
      <c r="R24" s="1847"/>
      <c r="S24" s="1856"/>
      <c r="T24" s="1599"/>
      <c r="U24" s="1816"/>
      <c r="V24" s="1839"/>
      <c r="W24" s="1851"/>
      <c r="X24" s="1852"/>
      <c r="Y24" s="1848"/>
    </row>
    <row r="25" spans="1:25" s="351" customFormat="1" ht="17.25">
      <c r="A25" s="1837"/>
      <c r="B25" s="1837"/>
      <c r="C25" s="822" t="s">
        <v>77</v>
      </c>
      <c r="D25" s="773" t="s">
        <v>5</v>
      </c>
      <c r="E25" s="773" t="s">
        <v>5</v>
      </c>
      <c r="F25" s="773" t="s">
        <v>5</v>
      </c>
      <c r="G25" s="810" t="s">
        <v>5</v>
      </c>
      <c r="H25" s="810" t="s">
        <v>1276</v>
      </c>
      <c r="I25" s="810" t="s">
        <v>5</v>
      </c>
      <c r="J25" s="773" t="s">
        <v>1277</v>
      </c>
      <c r="K25" s="822" t="s">
        <v>5</v>
      </c>
      <c r="L25" s="840" t="s">
        <v>5</v>
      </c>
      <c r="M25" s="841"/>
      <c r="N25" s="840" t="s">
        <v>1277</v>
      </c>
      <c r="O25" s="840" t="s">
        <v>1277</v>
      </c>
      <c r="P25" s="840" t="s">
        <v>1277</v>
      </c>
      <c r="Q25" s="1855"/>
      <c r="R25" s="841" t="s">
        <v>1277</v>
      </c>
      <c r="S25" s="1857"/>
      <c r="T25" s="820" t="s">
        <v>51</v>
      </c>
      <c r="U25" s="810" t="s">
        <v>2</v>
      </c>
      <c r="V25" s="822" t="s">
        <v>51</v>
      </c>
      <c r="W25" s="773" t="s">
        <v>77</v>
      </c>
      <c r="X25" s="842" t="s">
        <v>577</v>
      </c>
      <c r="Y25" s="1848"/>
    </row>
    <row r="26" spans="1:25" s="351" customFormat="1">
      <c r="A26" s="805"/>
      <c r="B26" s="843"/>
      <c r="C26" s="840"/>
      <c r="D26" s="844"/>
      <c r="E26" s="844"/>
      <c r="F26" s="844"/>
      <c r="G26" s="844"/>
      <c r="H26" s="844"/>
      <c r="I26" s="844"/>
      <c r="J26" s="812"/>
      <c r="K26" s="768"/>
      <c r="L26" s="840"/>
      <c r="M26" s="841"/>
      <c r="N26" s="840"/>
      <c r="O26" s="840"/>
      <c r="P26" s="840"/>
      <c r="Q26" s="845"/>
      <c r="R26" s="841"/>
      <c r="S26" s="846"/>
      <c r="T26" s="767"/>
      <c r="U26" s="844"/>
      <c r="V26" s="830"/>
      <c r="W26" s="36"/>
      <c r="X26" s="34"/>
      <c r="Y26" s="21"/>
    </row>
    <row r="27" spans="1:25" s="351" customFormat="1">
      <c r="A27" s="847" t="s">
        <v>1278</v>
      </c>
      <c r="B27" s="848"/>
      <c r="C27" s="844"/>
      <c r="D27" s="844"/>
      <c r="E27" s="844"/>
      <c r="F27" s="844"/>
      <c r="G27" s="844"/>
      <c r="H27" s="844"/>
      <c r="I27" s="844"/>
      <c r="J27" s="812"/>
      <c r="K27" s="768"/>
      <c r="L27" s="844"/>
      <c r="M27" s="768"/>
      <c r="N27" s="844"/>
      <c r="O27" s="844"/>
      <c r="P27" s="844"/>
      <c r="Q27" s="812"/>
      <c r="R27" s="768"/>
      <c r="S27" s="849"/>
      <c r="T27" s="767"/>
      <c r="U27" s="844"/>
      <c r="V27" s="830"/>
      <c r="W27" s="34"/>
      <c r="X27" s="34"/>
      <c r="Y27" s="27"/>
    </row>
    <row r="28" spans="1:25" s="351" customFormat="1">
      <c r="A28" s="767" t="s">
        <v>1279</v>
      </c>
      <c r="B28" s="768"/>
      <c r="C28" s="850">
        <f>Piercap!M113</f>
        <v>183.97587881493592</v>
      </c>
      <c r="D28" s="844">
        <f>Piercap!G53*1000</f>
        <v>2500</v>
      </c>
      <c r="E28" s="844">
        <f>Piercap!G54*1000</f>
        <v>1000</v>
      </c>
      <c r="F28" s="851">
        <f>E28-$G$6-G28-32-32/2</f>
        <v>887</v>
      </c>
      <c r="G28" s="852">
        <v>25</v>
      </c>
      <c r="H28" s="852">
        <v>20</v>
      </c>
      <c r="I28" s="853">
        <f>(D28-$G$6*2-G28)/(H28-1)</f>
        <v>126.05263157894737</v>
      </c>
      <c r="J28" s="844">
        <f>PI()/4*G28^2*H28+PI()/4*G29^2*H29+PI()/4*G30^2*H30</f>
        <v>19634.954084936209</v>
      </c>
      <c r="K28" s="854">
        <f>$G$17*F28</f>
        <v>411.19205298013236</v>
      </c>
      <c r="L28" s="705">
        <f>0.87*$G$4*J28/0.362/$G$3/D28</f>
        <v>269.65130313961328</v>
      </c>
      <c r="M28" s="855" t="str">
        <f>IF(L28&lt;K28,"UR, OK","OR,Revise")</f>
        <v>UR, OK</v>
      </c>
      <c r="N28" s="480">
        <f>C28*10^7/(0.87*$G$4*(F28-0.416*L28))</f>
        <v>5458.4328480104696</v>
      </c>
      <c r="O28" s="196">
        <f>N240</f>
        <v>60.420054200542026</v>
      </c>
      <c r="P28" s="196">
        <f>N28+O28</f>
        <v>5518.8529022110115</v>
      </c>
      <c r="Q28" s="856" t="str">
        <f>IF(J28&gt;P28,"OK","Revise")</f>
        <v>OK</v>
      </c>
      <c r="R28" s="768">
        <f>MAX((0.26*($G$11/$G$4)*D28*F28),0.0013*D28*F28)</f>
        <v>3195.5486403445452</v>
      </c>
      <c r="S28" s="856" t="str">
        <f>IF(J28&gt;R28,"OK","Revise")</f>
        <v>OK</v>
      </c>
      <c r="T28" s="857">
        <f>Q186</f>
        <v>111.08131528416359</v>
      </c>
      <c r="U28" s="844">
        <f>F28-0.416*L28</f>
        <v>774.82505789392087</v>
      </c>
      <c r="V28" s="27">
        <f>C28/(U28/1000)+T28</f>
        <v>348.52314417261903</v>
      </c>
      <c r="W28" s="851">
        <f>0.87*$G$4*J28*(F28-0.416*L28)/10^7</f>
        <v>661.79396794882518</v>
      </c>
      <c r="X28" s="34">
        <f>W28/(U28/1000)</f>
        <v>854.12050269472513</v>
      </c>
      <c r="Y28" s="557" t="str">
        <f>IF(V28&lt;X28,"OK","REVISE")</f>
        <v>OK</v>
      </c>
    </row>
    <row r="29" spans="1:25" s="351" customFormat="1">
      <c r="A29" s="767"/>
      <c r="B29" s="768"/>
      <c r="C29" s="859"/>
      <c r="D29" s="844"/>
      <c r="E29" s="844"/>
      <c r="F29" s="851"/>
      <c r="G29" s="852">
        <v>25</v>
      </c>
      <c r="H29" s="852">
        <f>H28</f>
        <v>20</v>
      </c>
      <c r="I29" s="853"/>
      <c r="J29" s="844"/>
      <c r="K29" s="854"/>
      <c r="L29" s="705"/>
      <c r="M29" s="855"/>
      <c r="N29" s="1117"/>
      <c r="O29" s="34"/>
      <c r="P29" s="34"/>
      <c r="Q29" s="856"/>
      <c r="R29" s="768"/>
      <c r="S29" s="856"/>
      <c r="T29" s="857"/>
      <c r="U29" s="844"/>
      <c r="V29" s="27"/>
      <c r="W29" s="851"/>
      <c r="X29" s="34"/>
      <c r="Y29" s="557"/>
    </row>
    <row r="30" spans="1:25" s="351" customFormat="1">
      <c r="A30" s="767"/>
      <c r="B30" s="768"/>
      <c r="C30" s="859"/>
      <c r="D30" s="844"/>
      <c r="E30" s="844"/>
      <c r="F30" s="851"/>
      <c r="G30" s="852">
        <v>0</v>
      </c>
      <c r="H30" s="852">
        <f>H29</f>
        <v>20</v>
      </c>
      <c r="I30" s="853"/>
      <c r="J30" s="844"/>
      <c r="K30" s="854"/>
      <c r="L30" s="705"/>
      <c r="M30" s="855"/>
      <c r="N30" s="1222"/>
      <c r="O30" s="34"/>
      <c r="P30" s="34"/>
      <c r="Q30" s="856"/>
      <c r="R30" s="768"/>
      <c r="S30" s="856"/>
      <c r="T30" s="857"/>
      <c r="U30" s="844"/>
      <c r="V30" s="27"/>
      <c r="W30" s="851"/>
      <c r="X30" s="34"/>
      <c r="Y30" s="557"/>
    </row>
    <row r="31" spans="1:25" s="351" customFormat="1">
      <c r="A31" s="847" t="s">
        <v>1280</v>
      </c>
      <c r="B31" s="768"/>
      <c r="C31" s="859"/>
      <c r="D31" s="844"/>
      <c r="E31" s="844"/>
      <c r="F31" s="851"/>
      <c r="G31" s="844"/>
      <c r="H31" s="844"/>
      <c r="I31" s="851"/>
      <c r="J31" s="844"/>
      <c r="K31" s="854"/>
      <c r="L31" s="705"/>
      <c r="M31" s="82"/>
      <c r="N31" s="1117"/>
      <c r="O31" s="34"/>
      <c r="P31" s="34"/>
      <c r="Q31" s="136"/>
      <c r="R31" s="768"/>
      <c r="S31" s="860"/>
      <c r="T31" s="857"/>
      <c r="U31" s="844"/>
      <c r="V31" s="27"/>
      <c r="W31" s="851"/>
      <c r="X31" s="34"/>
      <c r="Y31" s="27"/>
    </row>
    <row r="32" spans="1:25" s="351" customFormat="1">
      <c r="A32" s="767" t="s">
        <v>1279</v>
      </c>
      <c r="B32" s="768"/>
      <c r="C32" s="850">
        <f>Piercap!M132</f>
        <v>-11.027168845161459</v>
      </c>
      <c r="D32" s="844">
        <f>Piercap!I53*1000</f>
        <v>2500</v>
      </c>
      <c r="E32" s="851">
        <f>Piercap!I54*1000</f>
        <v>805.26925114328992</v>
      </c>
      <c r="F32" s="851">
        <f>E32-$G$6-G32-32-32/2</f>
        <v>692.26925114328992</v>
      </c>
      <c r="G32" s="852">
        <f t="shared" ref="G32:H34" si="0">G28</f>
        <v>25</v>
      </c>
      <c r="H32" s="852">
        <f t="shared" si="0"/>
        <v>20</v>
      </c>
      <c r="I32" s="853">
        <f>(D32-$G$6*2-G32)/(H32-1)</f>
        <v>126.05263157894737</v>
      </c>
      <c r="J32" s="844">
        <f>PI()/4*G32^2*H32+PI()/4*G33^2*H33+PI()/4*G34^2*H34</f>
        <v>19634.954084936209</v>
      </c>
      <c r="K32" s="854">
        <f>$G$17*F32</f>
        <v>320.91952039755159</v>
      </c>
      <c r="L32" s="705">
        <f>0.87*$G$4*J32/0.362/$G$3/D32</f>
        <v>269.65130313961328</v>
      </c>
      <c r="M32" s="1128" t="s">
        <v>115</v>
      </c>
      <c r="N32" s="480">
        <f>C32*10^7/(0.87*$G$4*(F32-0.416*L32))</f>
        <v>-436.9946927979031</v>
      </c>
      <c r="O32" s="196">
        <f>N243</f>
        <v>75.711224275932821</v>
      </c>
      <c r="P32" s="196">
        <f>N32+O32</f>
        <v>-361.28346852197029</v>
      </c>
      <c r="Q32" s="856" t="str">
        <f>IF(J32&gt;P32,"OK","Revise")</f>
        <v>OK</v>
      </c>
      <c r="R32" s="768">
        <f>MAX((0.26*($G$11/$G$4)*D32*F32),0.0013*D32*F32)</f>
        <v>2494.0023272190265</v>
      </c>
      <c r="S32" s="856" t="str">
        <f>IF(J32&gt;R32,"OK","Revise")</f>
        <v>OK</v>
      </c>
      <c r="T32" s="857">
        <f>Q189</f>
        <v>107.09007185694905</v>
      </c>
      <c r="U32" s="844">
        <f>F32-0.416*L32</f>
        <v>580.09430903721079</v>
      </c>
      <c r="V32" s="27">
        <f>C32/(U32/1000)+T32</f>
        <v>88.080802720240271</v>
      </c>
      <c r="W32" s="851">
        <f>0.87*$G$4*J32*(F32-0.416*L32)/10^7</f>
        <v>495.47044284521172</v>
      </c>
      <c r="X32" s="34">
        <f>W32/(U32/1000)</f>
        <v>854.12050269472513</v>
      </c>
      <c r="Y32" s="557" t="str">
        <f>IF(V32&lt;X32,"OK","REVISE")</f>
        <v>OK</v>
      </c>
    </row>
    <row r="33" spans="1:25" s="351" customFormat="1">
      <c r="A33" s="767"/>
      <c r="B33" s="768"/>
      <c r="C33" s="859"/>
      <c r="D33" s="844"/>
      <c r="E33" s="851"/>
      <c r="F33" s="851"/>
      <c r="G33" s="852">
        <f t="shared" si="0"/>
        <v>25</v>
      </c>
      <c r="H33" s="852">
        <f t="shared" si="0"/>
        <v>20</v>
      </c>
      <c r="I33" s="853"/>
      <c r="J33" s="844"/>
      <c r="K33" s="854"/>
      <c r="L33" s="705"/>
      <c r="M33" s="855"/>
      <c r="N33" s="1117"/>
      <c r="O33" s="34"/>
      <c r="P33" s="34"/>
      <c r="Q33" s="856"/>
      <c r="R33" s="861"/>
      <c r="S33" s="856"/>
      <c r="T33" s="857"/>
      <c r="U33" s="844"/>
      <c r="V33" s="27"/>
      <c r="W33" s="851"/>
      <c r="X33" s="34"/>
      <c r="Y33" s="557"/>
    </row>
    <row r="34" spans="1:25" s="351" customFormat="1">
      <c r="A34" s="767"/>
      <c r="B34" s="768"/>
      <c r="C34" s="859"/>
      <c r="D34" s="844"/>
      <c r="E34" s="851"/>
      <c r="F34" s="851"/>
      <c r="G34" s="852">
        <f t="shared" si="0"/>
        <v>0</v>
      </c>
      <c r="H34" s="852">
        <f t="shared" si="0"/>
        <v>20</v>
      </c>
      <c r="I34" s="853"/>
      <c r="J34" s="844"/>
      <c r="K34" s="854"/>
      <c r="L34" s="705"/>
      <c r="M34" s="855"/>
      <c r="N34" s="1222"/>
      <c r="O34" s="34"/>
      <c r="P34" s="34"/>
      <c r="Q34" s="856"/>
      <c r="R34" s="861"/>
      <c r="S34" s="856"/>
      <c r="T34" s="857"/>
      <c r="U34" s="844"/>
      <c r="V34" s="27"/>
      <c r="W34" s="851"/>
      <c r="X34" s="34"/>
      <c r="Y34" s="557"/>
    </row>
    <row r="35" spans="1:25" s="351" customFormat="1">
      <c r="A35" s="847" t="s">
        <v>1281</v>
      </c>
      <c r="B35" s="768"/>
      <c r="C35" s="859"/>
      <c r="D35" s="844"/>
      <c r="E35" s="844"/>
      <c r="F35" s="851"/>
      <c r="G35" s="844"/>
      <c r="H35" s="844"/>
      <c r="I35" s="851"/>
      <c r="J35" s="844"/>
      <c r="K35" s="854"/>
      <c r="L35" s="705"/>
      <c r="M35" s="82"/>
      <c r="N35" s="1117"/>
      <c r="O35" s="34"/>
      <c r="P35" s="34"/>
      <c r="Q35" s="862"/>
      <c r="R35" s="768"/>
      <c r="S35" s="862"/>
      <c r="T35" s="857"/>
      <c r="U35" s="844"/>
      <c r="V35" s="27"/>
      <c r="W35" s="844"/>
      <c r="X35" s="34"/>
      <c r="Y35" s="191"/>
    </row>
    <row r="36" spans="1:25" s="351" customFormat="1" ht="15" customHeight="1">
      <c r="A36" s="767" t="s">
        <v>1279</v>
      </c>
      <c r="B36" s="768"/>
      <c r="C36" s="850">
        <f>Piercap!M151</f>
        <v>4.8108284861867139</v>
      </c>
      <c r="D36" s="844">
        <f>Piercap!K53*1000</f>
        <v>2500</v>
      </c>
      <c r="E36" s="851">
        <f>Piercap!K54*1000</f>
        <v>824.55124809451672</v>
      </c>
      <c r="F36" s="851">
        <f>E36-$G$6-G36-32-32/2</f>
        <v>711.55124809451672</v>
      </c>
      <c r="G36" s="852">
        <f t="shared" ref="G36:H38" si="1">G32</f>
        <v>25</v>
      </c>
      <c r="H36" s="852">
        <f t="shared" si="1"/>
        <v>20</v>
      </c>
      <c r="I36" s="853">
        <f>(D36-$G$6*2-G36)/(H36-1)</f>
        <v>126.05263157894737</v>
      </c>
      <c r="J36" s="844">
        <f>PI()/4*G36^2*H36+PI()/4*G37^2*H37+PI()/4*G38^2*H38</f>
        <v>19634.954084936209</v>
      </c>
      <c r="K36" s="854">
        <f>$G$17*F36</f>
        <v>329.85819448090172</v>
      </c>
      <c r="L36" s="705">
        <f>0.87*$G$4*J36/0.362/$G$3/D36</f>
        <v>269.65130313961328</v>
      </c>
      <c r="M36" s="1128" t="s">
        <v>115</v>
      </c>
      <c r="N36" s="480">
        <f>C36*10^7/(0.87*$G$4*(F36-0.416*L36))</f>
        <v>184.514731727277</v>
      </c>
      <c r="O36" s="196">
        <f>N246</f>
        <v>73.865316382002362</v>
      </c>
      <c r="P36" s="196">
        <f>N36+O36</f>
        <v>258.38004810927936</v>
      </c>
      <c r="Q36" s="856" t="str">
        <f>IF(J36&gt;P36,"OK","Revise")</f>
        <v>OK</v>
      </c>
      <c r="R36" s="768">
        <f>MAX((0.26*($G$11/$G$4)*D36*F36),0.0013*D36*F36)</f>
        <v>2563.468572022432</v>
      </c>
      <c r="S36" s="856" t="str">
        <f>IF(J36&gt;R36,"OK","Revise")</f>
        <v>OK</v>
      </c>
      <c r="T36" s="857">
        <f>Q192</f>
        <v>107.3958251996096</v>
      </c>
      <c r="U36" s="844">
        <f>F36-0.416*L36</f>
        <v>599.37630598843759</v>
      </c>
      <c r="V36" s="27">
        <f>C36/(U36/1000)+T36</f>
        <v>115.42221602974615</v>
      </c>
      <c r="W36" s="851">
        <f>0.87*$G$4*J36*(F36-0.416*L36)/10^7</f>
        <v>511.93959177415172</v>
      </c>
      <c r="X36" s="34">
        <f>W36/(U36/1000)</f>
        <v>854.12050269472513</v>
      </c>
      <c r="Y36" s="557" t="str">
        <f>IF(V36&lt;X36,"OK","REVISE")</f>
        <v>OK</v>
      </c>
    </row>
    <row r="37" spans="1:25" s="351" customFormat="1" ht="15" customHeight="1">
      <c r="A37" s="767"/>
      <c r="B37" s="768"/>
      <c r="C37" s="859"/>
      <c r="D37" s="844"/>
      <c r="E37" s="851"/>
      <c r="F37" s="851"/>
      <c r="G37" s="852">
        <f t="shared" si="1"/>
        <v>25</v>
      </c>
      <c r="H37" s="852">
        <f t="shared" si="1"/>
        <v>20</v>
      </c>
      <c r="I37" s="853"/>
      <c r="J37" s="844"/>
      <c r="K37" s="854"/>
      <c r="L37" s="705"/>
      <c r="M37" s="855"/>
      <c r="N37" s="34"/>
      <c r="O37" s="34"/>
      <c r="P37" s="34"/>
      <c r="Q37" s="856"/>
      <c r="R37" s="861"/>
      <c r="S37" s="856"/>
      <c r="T37" s="857"/>
      <c r="U37" s="844"/>
      <c r="V37" s="27"/>
      <c r="W37" s="851"/>
      <c r="X37" s="34"/>
      <c r="Y37" s="557"/>
    </row>
    <row r="38" spans="1:25" s="351" customFormat="1" ht="15" customHeight="1">
      <c r="A38" s="767"/>
      <c r="B38" s="768"/>
      <c r="C38" s="859"/>
      <c r="D38" s="844"/>
      <c r="E38" s="851"/>
      <c r="F38" s="851"/>
      <c r="G38" s="852">
        <f t="shared" si="1"/>
        <v>0</v>
      </c>
      <c r="H38" s="852">
        <f t="shared" si="1"/>
        <v>20</v>
      </c>
      <c r="I38" s="853"/>
      <c r="J38" s="844"/>
      <c r="K38" s="854"/>
      <c r="L38" s="705"/>
      <c r="M38" s="855"/>
      <c r="N38" s="34"/>
      <c r="O38" s="34"/>
      <c r="P38" s="34"/>
      <c r="Q38" s="856"/>
      <c r="R38" s="861"/>
      <c r="S38" s="856"/>
      <c r="T38" s="857"/>
      <c r="U38" s="844"/>
      <c r="V38" s="27"/>
      <c r="W38" s="851"/>
      <c r="X38" s="34"/>
      <c r="Y38" s="557"/>
    </row>
    <row r="39" spans="1:25" s="351" customFormat="1" ht="15" customHeight="1">
      <c r="A39" s="767"/>
      <c r="B39" s="768"/>
      <c r="C39" s="859"/>
      <c r="D39" s="844"/>
      <c r="E39" s="844"/>
      <c r="F39" s="844"/>
      <c r="G39" s="844"/>
      <c r="H39" s="844"/>
      <c r="I39" s="844"/>
      <c r="J39" s="844"/>
      <c r="K39" s="863"/>
      <c r="L39" s="705"/>
      <c r="M39" s="82"/>
      <c r="N39" s="34"/>
      <c r="O39" s="34"/>
      <c r="P39" s="34"/>
      <c r="Q39" s="862"/>
      <c r="R39" s="768"/>
      <c r="S39" s="862"/>
      <c r="T39" s="857"/>
      <c r="U39" s="844"/>
      <c r="V39" s="27"/>
      <c r="W39" s="844"/>
      <c r="X39" s="34"/>
      <c r="Y39" s="191"/>
    </row>
    <row r="40" spans="1:25" s="351" customFormat="1" ht="15" customHeight="1">
      <c r="A40" s="864"/>
      <c r="B40" s="831"/>
      <c r="C40" s="865"/>
      <c r="D40" s="866"/>
      <c r="E40" s="866"/>
      <c r="F40" s="866"/>
      <c r="G40" s="866"/>
      <c r="H40" s="866"/>
      <c r="I40" s="866"/>
      <c r="J40" s="137"/>
      <c r="K40" s="831"/>
      <c r="L40" s="379"/>
      <c r="M40" s="20"/>
      <c r="N40" s="599"/>
      <c r="O40" s="599"/>
      <c r="P40" s="599"/>
      <c r="Q40" s="137"/>
      <c r="R40" s="831"/>
      <c r="S40" s="137"/>
      <c r="T40" s="766"/>
      <c r="U40" s="866"/>
      <c r="V40" s="22"/>
      <c r="W40" s="58"/>
      <c r="X40" s="58"/>
      <c r="Y40" s="22"/>
    </row>
    <row r="41" spans="1:25" s="351" customFormat="1" ht="15" customHeight="1">
      <c r="A41" s="867"/>
      <c r="B41" s="768"/>
      <c r="C41" s="539"/>
      <c r="D41" s="768"/>
      <c r="E41" s="149"/>
      <c r="F41" s="82"/>
      <c r="G41" s="11"/>
      <c r="H41" s="804"/>
      <c r="I41" s="804"/>
      <c r="J41" s="768"/>
      <c r="K41" s="804"/>
      <c r="L41" s="804"/>
      <c r="N41" s="26"/>
      <c r="O41" s="26"/>
      <c r="P41" s="1"/>
      <c r="Q41" s="1"/>
      <c r="R41" s="1"/>
      <c r="S41" s="1"/>
      <c r="T41" s="1"/>
      <c r="U41" s="1"/>
      <c r="W41" s="26"/>
      <c r="X41" s="858"/>
      <c r="Y41" s="858"/>
    </row>
    <row r="42" spans="1:25" s="351" customFormat="1">
      <c r="A42" s="837" t="s">
        <v>1282</v>
      </c>
      <c r="N42" s="26"/>
    </row>
    <row r="43" spans="1:25" s="351" customFormat="1">
      <c r="A43" s="868" t="s">
        <v>1283</v>
      </c>
      <c r="J43" s="23" t="s">
        <v>500</v>
      </c>
      <c r="K43" s="24"/>
      <c r="L43" s="24"/>
      <c r="M43" s="24"/>
      <c r="N43" s="24"/>
      <c r="O43" s="24"/>
      <c r="P43" s="24"/>
      <c r="Q43" s="24"/>
      <c r="R43" s="24"/>
      <c r="S43" s="24"/>
      <c r="T43" s="21"/>
    </row>
    <row r="44" spans="1:25" s="351" customFormat="1" ht="18.75">
      <c r="B44" s="26" t="s">
        <v>471</v>
      </c>
      <c r="C44" s="768" t="s">
        <v>1</v>
      </c>
      <c r="D44" s="15" t="s">
        <v>469</v>
      </c>
      <c r="E44" s="831"/>
      <c r="F44" s="768" t="s">
        <v>1</v>
      </c>
      <c r="G44" s="11">
        <f>$G$8*(C61+G46)/(G46+(1+$G$13)*C61)</f>
        <v>11735.613710071084</v>
      </c>
      <c r="H44" s="26" t="s">
        <v>144</v>
      </c>
      <c r="J44" s="23" t="s">
        <v>480</v>
      </c>
      <c r="K44" s="24"/>
      <c r="L44" s="24"/>
      <c r="M44" s="24"/>
      <c r="N44" s="23" t="s">
        <v>1</v>
      </c>
      <c r="O44" s="360" t="s">
        <v>481</v>
      </c>
      <c r="P44" s="31"/>
      <c r="Q44" s="31"/>
      <c r="R44" s="31"/>
      <c r="S44" s="31"/>
      <c r="T44" s="21"/>
    </row>
    <row r="45" spans="1:25" s="351" customFormat="1" ht="17.25" customHeight="1">
      <c r="A45" s="768"/>
      <c r="B45" s="768"/>
      <c r="C45" s="768"/>
      <c r="D45" s="26" t="s">
        <v>470</v>
      </c>
      <c r="E45" s="768"/>
      <c r="F45" s="768"/>
      <c r="G45" s="768"/>
      <c r="H45" s="768"/>
      <c r="J45" s="25"/>
      <c r="K45" s="26"/>
      <c r="L45" s="26"/>
      <c r="M45" s="26"/>
      <c r="N45" s="25"/>
      <c r="O45" s="26"/>
      <c r="P45" s="26"/>
      <c r="Q45" s="26" t="s">
        <v>435</v>
      </c>
      <c r="R45" s="26"/>
      <c r="S45" s="26"/>
      <c r="T45" s="27"/>
    </row>
    <row r="46" spans="1:25" s="351" customFormat="1" ht="17.25" customHeight="1">
      <c r="A46" s="768"/>
      <c r="B46" s="26" t="s">
        <v>446</v>
      </c>
      <c r="C46" s="768" t="s">
        <v>1</v>
      </c>
      <c r="D46" s="26" t="s">
        <v>1284</v>
      </c>
      <c r="E46" s="768"/>
      <c r="F46" s="768" t="s">
        <v>1</v>
      </c>
      <c r="G46" s="539">
        <f>C59-C61</f>
        <v>10.996385816665537</v>
      </c>
      <c r="H46" s="768" t="s">
        <v>77</v>
      </c>
      <c r="J46" s="25" t="s">
        <v>483</v>
      </c>
      <c r="K46" s="26" t="s">
        <v>485</v>
      </c>
      <c r="L46" s="26"/>
      <c r="M46" s="26"/>
      <c r="N46" s="25" t="s">
        <v>1</v>
      </c>
      <c r="O46" s="26" t="s">
        <v>489</v>
      </c>
      <c r="P46" s="26"/>
      <c r="Q46" s="26"/>
      <c r="R46" s="26"/>
      <c r="S46" s="26"/>
      <c r="T46" s="27"/>
      <c r="V46" s="365"/>
      <c r="W46" s="26"/>
      <c r="X46" s="858"/>
      <c r="Y46" s="858"/>
    </row>
    <row r="47" spans="1:25" s="351" customFormat="1" ht="15.75" customHeight="1">
      <c r="A47" s="768"/>
      <c r="B47" s="768" t="s">
        <v>2</v>
      </c>
      <c r="C47" s="26" t="s">
        <v>1</v>
      </c>
      <c r="D47" s="26" t="s">
        <v>477</v>
      </c>
      <c r="E47" s="419"/>
      <c r="F47" s="768" t="s">
        <v>1</v>
      </c>
      <c r="G47" s="539">
        <f>$G$7/G44</f>
        <v>17.042142400134317</v>
      </c>
      <c r="H47" s="26" t="s">
        <v>144</v>
      </c>
      <c r="J47" s="25"/>
      <c r="K47" s="26"/>
      <c r="L47" s="26"/>
      <c r="M47" s="26"/>
      <c r="N47" s="25"/>
      <c r="O47" s="26"/>
      <c r="P47" s="26"/>
      <c r="Q47" s="26"/>
      <c r="R47" s="26"/>
      <c r="S47" s="26"/>
      <c r="T47" s="27"/>
      <c r="V47" s="365"/>
      <c r="W47" s="26"/>
      <c r="X47" s="858"/>
      <c r="Y47" s="858"/>
    </row>
    <row r="48" spans="1:25" s="351" customFormat="1" ht="16.5" customHeight="1">
      <c r="A48" s="768"/>
      <c r="B48" s="768"/>
      <c r="C48" s="26"/>
      <c r="D48" s="26"/>
      <c r="E48" s="419"/>
      <c r="F48" s="768"/>
      <c r="G48" s="546"/>
      <c r="H48" s="26"/>
      <c r="J48" s="25" t="s">
        <v>486</v>
      </c>
      <c r="K48" s="26"/>
      <c r="L48" s="26"/>
      <c r="M48" s="26"/>
      <c r="N48" s="25" t="s">
        <v>1</v>
      </c>
      <c r="O48" s="26" t="s">
        <v>487</v>
      </c>
      <c r="P48" s="26"/>
      <c r="Q48" s="26"/>
      <c r="R48" s="26"/>
      <c r="S48" s="26"/>
      <c r="T48" s="27"/>
      <c r="V48" s="365"/>
      <c r="W48" s="26"/>
      <c r="X48" s="858"/>
      <c r="Y48" s="858"/>
    </row>
    <row r="49" spans="1:25" s="351" customFormat="1" ht="15.75" customHeight="1">
      <c r="A49" s="868" t="s">
        <v>1285</v>
      </c>
      <c r="B49" s="768"/>
      <c r="C49" s="26"/>
      <c r="D49" s="26"/>
      <c r="E49" s="419"/>
      <c r="F49" s="768"/>
      <c r="G49" s="546"/>
      <c r="H49" s="26"/>
      <c r="J49" s="25" t="s">
        <v>490</v>
      </c>
      <c r="K49" s="26"/>
      <c r="L49" s="26"/>
      <c r="M49" s="26"/>
      <c r="N49" s="25" t="s">
        <v>1</v>
      </c>
      <c r="O49" s="26" t="s">
        <v>488</v>
      </c>
      <c r="P49" s="26"/>
      <c r="Q49" s="26"/>
      <c r="R49" s="26"/>
      <c r="S49" s="26"/>
      <c r="T49" s="27"/>
      <c r="V49" s="365"/>
      <c r="W49" s="26"/>
      <c r="X49" s="858"/>
      <c r="Y49" s="858"/>
    </row>
    <row r="50" spans="1:25" s="351" customFormat="1">
      <c r="B50" s="768" t="s">
        <v>2</v>
      </c>
      <c r="C50" s="26" t="s">
        <v>1</v>
      </c>
      <c r="D50" s="26" t="s">
        <v>1286</v>
      </c>
      <c r="E50" s="26"/>
      <c r="F50" s="26" t="s">
        <v>1</v>
      </c>
      <c r="G50" s="539">
        <f>$G$7/$G$9</f>
        <v>18.040242302672063</v>
      </c>
      <c r="H50" s="26" t="s">
        <v>144</v>
      </c>
      <c r="J50" s="28"/>
      <c r="K50" s="15"/>
      <c r="L50" s="15"/>
      <c r="M50" s="15"/>
      <c r="N50" s="28"/>
      <c r="O50" s="15"/>
      <c r="P50" s="15"/>
      <c r="Q50" s="15"/>
      <c r="R50" s="15"/>
      <c r="S50" s="15"/>
      <c r="T50" s="22"/>
      <c r="V50" s="365"/>
      <c r="W50" s="26"/>
      <c r="X50" s="858"/>
      <c r="Y50" s="858"/>
    </row>
    <row r="51" spans="1:25" s="351" customFormat="1">
      <c r="A51" s="868"/>
      <c r="B51" s="768"/>
      <c r="C51" s="768"/>
      <c r="D51" s="26"/>
      <c r="E51" s="26"/>
      <c r="F51" s="26"/>
      <c r="G51" s="26"/>
      <c r="H51" s="768"/>
      <c r="I51" s="26"/>
      <c r="J51" s="768"/>
      <c r="K51" s="768"/>
      <c r="L51" s="768"/>
      <c r="M51" s="768"/>
      <c r="N51" s="26"/>
      <c r="O51" s="26"/>
      <c r="P51" s="26"/>
      <c r="Q51" s="365"/>
      <c r="R51" s="365"/>
      <c r="S51" s="365"/>
      <c r="T51" s="365"/>
      <c r="U51" s="365"/>
      <c r="V51" s="365"/>
      <c r="W51" s="26"/>
      <c r="X51" s="858"/>
      <c r="Y51" s="858"/>
    </row>
    <row r="52" spans="1:25" s="351" customFormat="1">
      <c r="A52" s="868" t="s">
        <v>1287</v>
      </c>
      <c r="B52" s="768"/>
      <c r="C52" s="768"/>
      <c r="D52" s="26"/>
      <c r="E52" s="26"/>
      <c r="F52" s="26"/>
      <c r="G52" s="26"/>
      <c r="H52" s="768"/>
      <c r="I52" s="26"/>
      <c r="J52" s="768"/>
      <c r="K52" s="768"/>
      <c r="L52" s="768"/>
      <c r="M52" s="768"/>
      <c r="N52" s="26"/>
      <c r="O52" s="26"/>
      <c r="P52" s="26"/>
      <c r="Q52" s="365"/>
      <c r="R52" s="365"/>
      <c r="S52" s="365"/>
      <c r="T52" s="365"/>
      <c r="U52" s="365"/>
      <c r="V52" s="365"/>
      <c r="W52" s="26"/>
      <c r="X52" s="858"/>
      <c r="Y52" s="858"/>
    </row>
    <row r="53" spans="1:25" s="351" customFormat="1" ht="18" customHeight="1">
      <c r="A53" s="1837" t="s">
        <v>1259</v>
      </c>
      <c r="B53" s="1837"/>
      <c r="C53" s="840" t="s">
        <v>849</v>
      </c>
      <c r="D53" s="1825" t="s">
        <v>435</v>
      </c>
      <c r="E53" s="1825" t="s">
        <v>61</v>
      </c>
      <c r="F53" s="1808" t="s">
        <v>1275</v>
      </c>
      <c r="G53" s="1806" t="s">
        <v>1288</v>
      </c>
      <c r="H53" s="1837" t="s">
        <v>1289</v>
      </c>
      <c r="I53" s="1796" t="s">
        <v>483</v>
      </c>
      <c r="J53" s="1862" t="s">
        <v>1290</v>
      </c>
      <c r="K53" s="1865" t="s">
        <v>1291</v>
      </c>
      <c r="L53" s="1616" t="s">
        <v>125</v>
      </c>
      <c r="M53" s="1818" t="s">
        <v>1292</v>
      </c>
      <c r="N53" s="1870" t="s">
        <v>1293</v>
      </c>
      <c r="O53" s="1618" t="s">
        <v>125</v>
      </c>
      <c r="P53" s="26"/>
      <c r="S53" s="365"/>
      <c r="T53" s="365"/>
    </row>
    <row r="54" spans="1:25" s="351" customFormat="1" ht="18" customHeight="1">
      <c r="A54" s="1837"/>
      <c r="B54" s="1837"/>
      <c r="C54" s="844"/>
      <c r="D54" s="1826"/>
      <c r="E54" s="1826"/>
      <c r="F54" s="1809"/>
      <c r="G54" s="1849"/>
      <c r="H54" s="1837"/>
      <c r="I54" s="1797"/>
      <c r="J54" s="1863"/>
      <c r="K54" s="1866"/>
      <c r="L54" s="1868"/>
      <c r="M54" s="1869"/>
      <c r="N54" s="1871"/>
      <c r="O54" s="1861"/>
      <c r="P54" s="26"/>
      <c r="S54" s="365"/>
      <c r="T54" s="365"/>
    </row>
    <row r="55" spans="1:25" s="351" customFormat="1">
      <c r="A55" s="1837"/>
      <c r="B55" s="1837"/>
      <c r="C55" s="866"/>
      <c r="D55" s="1827"/>
      <c r="E55" s="1827"/>
      <c r="F55" s="1816"/>
      <c r="G55" s="1849"/>
      <c r="H55" s="1837"/>
      <c r="I55" s="1798"/>
      <c r="J55" s="1864"/>
      <c r="K55" s="1867"/>
      <c r="L55" s="1868"/>
      <c r="M55" s="1819"/>
      <c r="N55" s="1872"/>
      <c r="O55" s="1861"/>
      <c r="P55" s="26"/>
      <c r="S55" s="365"/>
      <c r="T55" s="365"/>
    </row>
    <row r="56" spans="1:25" s="351" customFormat="1" ht="17.25">
      <c r="A56" s="806"/>
      <c r="B56" s="871"/>
      <c r="C56" s="866" t="s">
        <v>1294</v>
      </c>
      <c r="D56" s="773" t="s">
        <v>5</v>
      </c>
      <c r="E56" s="773" t="s">
        <v>5</v>
      </c>
      <c r="F56" s="773" t="s">
        <v>1277</v>
      </c>
      <c r="G56" s="1807"/>
      <c r="H56" s="808" t="s">
        <v>5</v>
      </c>
      <c r="I56" s="866" t="s">
        <v>1295</v>
      </c>
      <c r="J56" s="872" t="s">
        <v>1296</v>
      </c>
      <c r="K56" s="873" t="s">
        <v>1296</v>
      </c>
      <c r="L56" s="1617"/>
      <c r="M56" s="831" t="s">
        <v>293</v>
      </c>
      <c r="N56" s="1116" t="s">
        <v>293</v>
      </c>
      <c r="O56" s="1619"/>
      <c r="P56" s="26"/>
      <c r="S56" s="365"/>
      <c r="T56" s="365"/>
    </row>
    <row r="57" spans="1:25" s="351" customFormat="1">
      <c r="A57" s="874"/>
      <c r="B57" s="848"/>
      <c r="C57" s="844"/>
      <c r="D57" s="844"/>
      <c r="E57" s="844"/>
      <c r="F57" s="844"/>
      <c r="G57" s="875"/>
      <c r="H57" s="809"/>
      <c r="I57" s="844"/>
      <c r="J57" s="876"/>
      <c r="K57" s="877"/>
      <c r="L57" s="844"/>
      <c r="M57" s="768"/>
      <c r="N57" s="844"/>
      <c r="O57" s="830"/>
      <c r="P57" s="26"/>
      <c r="S57" s="365"/>
      <c r="T57" s="365"/>
    </row>
    <row r="58" spans="1:25" s="351" customFormat="1">
      <c r="A58" s="847" t="s">
        <v>1278</v>
      </c>
      <c r="B58" s="725"/>
      <c r="C58" s="844"/>
      <c r="D58" s="844"/>
      <c r="E58" s="844"/>
      <c r="F58" s="844"/>
      <c r="G58" s="875"/>
      <c r="H58" s="809"/>
      <c r="I58" s="844"/>
      <c r="J58" s="876"/>
      <c r="K58" s="877"/>
      <c r="L58" s="844"/>
      <c r="M58" s="768"/>
      <c r="N58" s="844"/>
      <c r="O58" s="830"/>
      <c r="P58" s="26"/>
      <c r="S58" s="365"/>
      <c r="T58" s="365"/>
    </row>
    <row r="59" spans="1:25" s="351" customFormat="1">
      <c r="A59" s="767" t="s">
        <v>1297</v>
      </c>
      <c r="B59" s="768"/>
      <c r="C59" s="878">
        <f>Piercap!M114</f>
        <v>130.55383948938211</v>
      </c>
      <c r="D59" s="879">
        <f>D28</f>
        <v>2500</v>
      </c>
      <c r="E59" s="879">
        <f>F28</f>
        <v>887</v>
      </c>
      <c r="F59" s="844">
        <f>J28</f>
        <v>19634.954084936209</v>
      </c>
      <c r="G59" s="539">
        <f>$G$7/($G$8*(C61+(C59-C61))/((C59-C61)+(1+$G$13)*C61))</f>
        <v>17.042142400134317</v>
      </c>
      <c r="H59" s="844">
        <f>(-G59*F59 + SQRT(G59^2*F59^2 +2*G59*F59*(E59)*(1*1000)))/(1*1000)</f>
        <v>505.37268411476697</v>
      </c>
      <c r="I59" s="880">
        <f>(D59*H59^3/3+G59*F59*(E59-H59)^2)</f>
        <v>156294909616.34113</v>
      </c>
      <c r="J59" s="879">
        <f>C59*10^7*H59/I59</f>
        <v>4.2214007126780571</v>
      </c>
      <c r="K59" s="144">
        <f>O6</f>
        <v>16.8</v>
      </c>
      <c r="L59" s="881" t="str">
        <f>IF(K59&lt;J59,"Revise","OK")</f>
        <v>OK</v>
      </c>
      <c r="M59" s="539">
        <f>G59*C59*10^7*(E59-H59)/I59</f>
        <v>54.32609110420109</v>
      </c>
      <c r="N59" s="136">
        <f>O11</f>
        <v>300</v>
      </c>
      <c r="O59" s="357" t="str">
        <f>IF(N59&lt;M59,"Revise","OK")</f>
        <v>OK</v>
      </c>
      <c r="P59" s="26"/>
      <c r="S59" s="365"/>
      <c r="T59" s="365"/>
    </row>
    <row r="60" spans="1:25" s="351" customFormat="1">
      <c r="A60" s="767"/>
      <c r="B60" s="768"/>
      <c r="C60" s="879"/>
      <c r="D60" s="879"/>
      <c r="E60" s="879"/>
      <c r="F60" s="844"/>
      <c r="G60" s="539"/>
      <c r="H60" s="844"/>
      <c r="I60" s="882"/>
      <c r="J60" s="879"/>
      <c r="K60" s="883"/>
      <c r="L60" s="144"/>
      <c r="M60" s="539"/>
      <c r="N60" s="136"/>
      <c r="O60" s="141"/>
      <c r="P60" s="26"/>
      <c r="Q60" s="365"/>
      <c r="R60" s="365"/>
      <c r="S60" s="365"/>
      <c r="T60" s="365"/>
    </row>
    <row r="61" spans="1:25" s="351" customFormat="1">
      <c r="A61" s="767" t="s">
        <v>1298</v>
      </c>
      <c r="B61" s="768"/>
      <c r="C61" s="878">
        <f>Piercap!M115</f>
        <v>119.55745367271658</v>
      </c>
      <c r="D61" s="879">
        <f>D59</f>
        <v>2500</v>
      </c>
      <c r="E61" s="879">
        <f>E59</f>
        <v>887</v>
      </c>
      <c r="F61" s="844">
        <f>F59</f>
        <v>19634.954084936209</v>
      </c>
      <c r="G61" s="539">
        <f>$G$7/$G$9</f>
        <v>18.040242302672063</v>
      </c>
      <c r="H61" s="844">
        <f>(-G61*F61 + SQRT(G61^2*F61^2 +2*G61*F61*(E61)*(1*1000)))/(1*1000)</f>
        <v>514.02972680287496</v>
      </c>
      <c r="I61" s="880">
        <f>(D61*H61^3/3+G61*F61*(E61-H61)^2)</f>
        <v>162457914866.39386</v>
      </c>
      <c r="J61" s="879">
        <f>C61*10^7*H61/I61</f>
        <v>3.7828926524863773</v>
      </c>
      <c r="K61" s="144">
        <f>O7</f>
        <v>12.6</v>
      </c>
      <c r="L61" s="881" t="str">
        <f>IF(K61&lt;J61,"Revise","OK")</f>
        <v>OK</v>
      </c>
      <c r="M61" s="539">
        <f>G61*C61*10^7*(E61-H61)/I61</f>
        <v>49.516776771431203</v>
      </c>
      <c r="N61" s="136">
        <f>O11</f>
        <v>300</v>
      </c>
      <c r="O61" s="357" t="str">
        <f>IF(N61&lt;M61,"Revise","OK")</f>
        <v>OK</v>
      </c>
      <c r="T61" s="365"/>
    </row>
    <row r="62" spans="1:25" s="351" customFormat="1">
      <c r="A62" s="767"/>
      <c r="B62" s="768"/>
      <c r="C62" s="879"/>
      <c r="D62" s="879"/>
      <c r="E62" s="879"/>
      <c r="F62" s="844"/>
      <c r="G62" s="539"/>
      <c r="H62" s="844"/>
      <c r="I62" s="882"/>
      <c r="J62" s="879"/>
      <c r="K62" s="82"/>
      <c r="L62" s="144"/>
      <c r="M62" s="539"/>
      <c r="N62" s="136"/>
      <c r="O62" s="141"/>
      <c r="T62" s="365"/>
    </row>
    <row r="63" spans="1:25" s="351" customFormat="1">
      <c r="A63" s="847" t="s">
        <v>1280</v>
      </c>
      <c r="B63" s="725"/>
      <c r="C63" s="844"/>
      <c r="D63" s="844"/>
      <c r="E63" s="844"/>
      <c r="F63" s="844"/>
      <c r="G63" s="875"/>
      <c r="H63" s="809"/>
      <c r="I63" s="844"/>
      <c r="J63" s="876"/>
      <c r="K63" s="877"/>
      <c r="L63" s="844"/>
      <c r="M63" s="768"/>
      <c r="N63" s="1118"/>
      <c r="O63" s="830"/>
      <c r="T63" s="365"/>
    </row>
    <row r="64" spans="1:25" s="351" customFormat="1">
      <c r="A64" s="767" t="s">
        <v>1297</v>
      </c>
      <c r="B64" s="768"/>
      <c r="C64" s="878">
        <f>Piercap!M133</f>
        <v>-7.6534218306539055</v>
      </c>
      <c r="D64" s="879">
        <f>D32</f>
        <v>2500</v>
      </c>
      <c r="E64" s="879">
        <f>F32</f>
        <v>692.26925114328992</v>
      </c>
      <c r="F64" s="844">
        <f>J32</f>
        <v>19634.954084936209</v>
      </c>
      <c r="G64" s="539">
        <f>$G$7/($G$8*(C66+(C64-C66))/((C64-C66)+(1+$G$13)*C66))</f>
        <v>16.508994187147728</v>
      </c>
      <c r="H64" s="844">
        <f>(-G64*F64 + SQRT(G64^2*F64^2 +2*G64*F64*(E64)*(1*1000)))/(1*1000)</f>
        <v>420.07657693504711</v>
      </c>
      <c r="I64" s="880">
        <f>(D64*H64^3/3+G64*F64*(E64-H64)^2)</f>
        <v>85789925595.105865</v>
      </c>
      <c r="J64" s="879">
        <f>C64*10^7*H64/I64</f>
        <v>-0.37475533661547611</v>
      </c>
      <c r="K64" s="144">
        <f>K59</f>
        <v>16.8</v>
      </c>
      <c r="L64" s="881" t="str">
        <f>IF(K64&lt;J64,"Revise","OK")</f>
        <v>OK</v>
      </c>
      <c r="M64" s="539">
        <f>G64*C64*10^7*(E64-H64)/I64</f>
        <v>-4.0088186178735858</v>
      </c>
      <c r="N64" s="136">
        <f>N59</f>
        <v>300</v>
      </c>
      <c r="O64" s="357" t="str">
        <f>IF(N64&lt;M64,"Revise","OK")</f>
        <v>OK</v>
      </c>
      <c r="T64" s="365"/>
    </row>
    <row r="65" spans="1:25" s="351" customFormat="1">
      <c r="A65" s="767"/>
      <c r="B65" s="768"/>
      <c r="C65" s="879"/>
      <c r="D65" s="879"/>
      <c r="E65" s="879"/>
      <c r="F65" s="844"/>
      <c r="G65" s="539"/>
      <c r="H65" s="844"/>
      <c r="I65" s="882"/>
      <c r="J65" s="879"/>
      <c r="K65" s="883"/>
      <c r="L65" s="144"/>
      <c r="M65" s="539"/>
      <c r="N65" s="136"/>
      <c r="O65" s="141"/>
      <c r="T65" s="365"/>
    </row>
    <row r="66" spans="1:25" s="351" customFormat="1">
      <c r="A66" s="767" t="s">
        <v>1298</v>
      </c>
      <c r="B66" s="768"/>
      <c r="C66" s="878">
        <f>Piercap!M134</f>
        <v>-6.6644417936609051</v>
      </c>
      <c r="D66" s="879">
        <f>D64</f>
        <v>2500</v>
      </c>
      <c r="E66" s="879">
        <f>E64</f>
        <v>692.26925114328992</v>
      </c>
      <c r="F66" s="844">
        <f>F64</f>
        <v>19634.954084936209</v>
      </c>
      <c r="G66" s="539">
        <f>$G$7/$G$9</f>
        <v>18.040242302672063</v>
      </c>
      <c r="H66" s="879">
        <f>(-G66*F66 + SQRT(G66^2*F66^2 +2*G66*F66*(E66)*(1*1000)))/(1*1000)</f>
        <v>430.57467737731105</v>
      </c>
      <c r="I66" s="880">
        <f>(D66*H66^3/3+G66*F66*(E66-H66)^2)</f>
        <v>90780207368.876663</v>
      </c>
      <c r="J66" s="879">
        <f>C66*10^7*H66/I66</f>
        <v>-0.3160975237196047</v>
      </c>
      <c r="K66" s="144">
        <f>K61</f>
        <v>12.6</v>
      </c>
      <c r="L66" s="881" t="str">
        <f>IF(K66&lt;J66,"Revise","OK")</f>
        <v>OK</v>
      </c>
      <c r="M66" s="539">
        <f>G66*C66*10^7*(E66-H66)/I66</f>
        <v>-3.4658494414242962</v>
      </c>
      <c r="N66" s="136">
        <f>N61</f>
        <v>300</v>
      </c>
      <c r="O66" s="357" t="str">
        <f>IF(N66&lt;M66,"Revise","OK")</f>
        <v>OK</v>
      </c>
      <c r="T66" s="365"/>
    </row>
    <row r="67" spans="1:25" s="351" customFormat="1">
      <c r="A67" s="767"/>
      <c r="B67" s="768"/>
      <c r="C67" s="879"/>
      <c r="D67" s="879"/>
      <c r="E67" s="879"/>
      <c r="F67" s="844"/>
      <c r="G67" s="539"/>
      <c r="H67" s="879"/>
      <c r="I67" s="880"/>
      <c r="J67" s="879"/>
      <c r="K67" s="82"/>
      <c r="L67" s="144"/>
      <c r="M67" s="539"/>
      <c r="N67" s="136"/>
      <c r="O67" s="141"/>
      <c r="T67" s="365"/>
    </row>
    <row r="68" spans="1:25" s="351" customFormat="1">
      <c r="A68" s="847" t="s">
        <v>1281</v>
      </c>
      <c r="B68" s="725"/>
      <c r="C68" s="844"/>
      <c r="D68" s="844"/>
      <c r="E68" s="844"/>
      <c r="F68" s="844"/>
      <c r="G68" s="875"/>
      <c r="H68" s="809"/>
      <c r="I68" s="844"/>
      <c r="J68" s="876"/>
      <c r="K68" s="877"/>
      <c r="L68" s="844"/>
      <c r="M68" s="768"/>
      <c r="N68" s="1118"/>
      <c r="O68" s="830"/>
      <c r="T68" s="365"/>
    </row>
    <row r="69" spans="1:25" s="351" customFormat="1">
      <c r="A69" s="767" t="s">
        <v>1297</v>
      </c>
      <c r="B69" s="768"/>
      <c r="C69" s="878">
        <f>Piercap!M152</f>
        <v>3.5635766564346025</v>
      </c>
      <c r="D69" s="879">
        <f>D36</f>
        <v>2500</v>
      </c>
      <c r="E69" s="879">
        <f>F36</f>
        <v>711.55124809451672</v>
      </c>
      <c r="F69" s="844">
        <f>J36</f>
        <v>19634.954084936209</v>
      </c>
      <c r="G69" s="539">
        <f>$G$7/($G$8*(C71+(C69-C71))/((C69-C71)+(1+$G$13)*C71))</f>
        <v>18.040242302672059</v>
      </c>
      <c r="H69" s="844">
        <f>(-G69*F69 + SQRT(G69^2*F69^2 +2*G69*F69*(E69)*(1*1000)))/(1*1000)</f>
        <v>439.22994127232715</v>
      </c>
      <c r="I69" s="880">
        <f>(D69*H69^3/3+G69*F69*(E69-H69)^2)</f>
        <v>96883123898.202667</v>
      </c>
      <c r="J69" s="879">
        <f>C69*10^7*H69/I69</f>
        <v>0.16155853594995856</v>
      </c>
      <c r="K69" s="144">
        <f>K64</f>
        <v>16.8</v>
      </c>
      <c r="L69" s="881" t="str">
        <f>IF(K69&lt;J69,"Revise","OK")</f>
        <v>OK</v>
      </c>
      <c r="M69" s="539">
        <f>G69*C69*10^7*(E69-H69)/I69</f>
        <v>1.8070158440498847</v>
      </c>
      <c r="N69" s="136">
        <f>N64</f>
        <v>300</v>
      </c>
      <c r="O69" s="357" t="str">
        <f>IF(N69&lt;M69,"Revise","OK")</f>
        <v>OK</v>
      </c>
      <c r="T69" s="365"/>
    </row>
    <row r="70" spans="1:25" s="351" customFormat="1">
      <c r="A70" s="767"/>
      <c r="B70" s="768"/>
      <c r="C70" s="879"/>
      <c r="D70" s="879"/>
      <c r="E70" s="879"/>
      <c r="F70" s="844"/>
      <c r="G70" s="539"/>
      <c r="H70" s="844"/>
      <c r="I70" s="882"/>
      <c r="J70" s="879"/>
      <c r="K70" s="883"/>
      <c r="L70" s="144"/>
      <c r="M70" s="539"/>
      <c r="N70" s="136"/>
      <c r="O70" s="141"/>
      <c r="T70" s="365"/>
    </row>
    <row r="71" spans="1:25" s="351" customFormat="1">
      <c r="A71" s="767" t="s">
        <v>1298</v>
      </c>
      <c r="B71" s="768"/>
      <c r="C71" s="878">
        <f>Piercap!M153</f>
        <v>3.5635766564346025</v>
      </c>
      <c r="D71" s="879">
        <f>D69</f>
        <v>2500</v>
      </c>
      <c r="E71" s="879">
        <f>E69</f>
        <v>711.55124809451672</v>
      </c>
      <c r="F71" s="844">
        <f>F69</f>
        <v>19634.954084936209</v>
      </c>
      <c r="G71" s="539">
        <f>$G$7/$G$9</f>
        <v>18.040242302672063</v>
      </c>
      <c r="H71" s="879">
        <f>(-G71*F71 + SQRT(G71^2*F71^2 +2*G71*F71*(E71)*(1*1000)))/(1*1000)</f>
        <v>439.22994127232721</v>
      </c>
      <c r="I71" s="880">
        <f>(D71*H71^3/3+G71*F71*(E71-H71)^2)</f>
        <v>96883123898.202713</v>
      </c>
      <c r="J71" s="879">
        <f>C71*10^7*H71/I71</f>
        <v>0.1615585359499585</v>
      </c>
      <c r="K71" s="144">
        <f>K66</f>
        <v>12.6</v>
      </c>
      <c r="L71" s="881" t="str">
        <f>IF(K71&lt;J71,"Revise","OK")</f>
        <v>OK</v>
      </c>
      <c r="M71" s="539">
        <f>G71*C71*10^7*(E71-H71)/I71</f>
        <v>1.8070158440498838</v>
      </c>
      <c r="N71" s="136">
        <f>N66</f>
        <v>300</v>
      </c>
      <c r="O71" s="357" t="str">
        <f>IF(N71&lt;M71,"Revise","OK")</f>
        <v>OK</v>
      </c>
      <c r="T71" s="365"/>
    </row>
    <row r="72" spans="1:25" s="351" customFormat="1">
      <c r="A72" s="766"/>
      <c r="B72" s="831"/>
      <c r="C72" s="865"/>
      <c r="D72" s="865"/>
      <c r="E72" s="865"/>
      <c r="F72" s="865"/>
      <c r="G72" s="884"/>
      <c r="H72" s="866"/>
      <c r="I72" s="885"/>
      <c r="J72" s="865"/>
      <c r="K72" s="886"/>
      <c r="L72" s="104"/>
      <c r="M72" s="884"/>
      <c r="N72" s="137"/>
      <c r="O72" s="148"/>
      <c r="T72" s="365"/>
    </row>
    <row r="73" spans="1:25" s="351" customFormat="1">
      <c r="A73" s="867"/>
      <c r="B73" s="768"/>
      <c r="C73" s="539"/>
      <c r="D73" s="539"/>
      <c r="E73" s="768"/>
      <c r="F73" s="887"/>
      <c r="G73" s="539"/>
      <c r="H73" s="11"/>
      <c r="I73" s="82"/>
      <c r="J73" s="539"/>
      <c r="K73" s="11"/>
      <c r="L73" s="82"/>
      <c r="M73" s="768"/>
      <c r="N73" s="924"/>
      <c r="O73" s="450"/>
      <c r="T73" s="365"/>
      <c r="U73" s="365"/>
      <c r="V73" s="365"/>
      <c r="W73" s="38"/>
      <c r="X73" s="26"/>
      <c r="Y73" s="26"/>
    </row>
    <row r="74" spans="1:25" s="351" customFormat="1">
      <c r="A74" s="763" t="s">
        <v>1299</v>
      </c>
      <c r="B74" s="768"/>
      <c r="C74" s="539"/>
      <c r="D74" s="539"/>
      <c r="E74" s="768"/>
      <c r="F74" s="887"/>
      <c r="G74" s="539"/>
      <c r="H74" s="11"/>
      <c r="I74" s="82"/>
      <c r="J74" s="539"/>
      <c r="K74" s="11"/>
      <c r="L74" s="82"/>
      <c r="N74" s="450"/>
      <c r="O74" s="450"/>
      <c r="T74" s="365"/>
      <c r="U74" s="365"/>
      <c r="V74" s="1"/>
      <c r="W74" s="1"/>
      <c r="X74" s="1"/>
      <c r="Y74" s="1"/>
    </row>
    <row r="75" spans="1:25" s="351" customFormat="1" ht="15" customHeight="1">
      <c r="A75" s="763" t="s">
        <v>1300</v>
      </c>
      <c r="B75" s="768"/>
      <c r="C75" s="365"/>
      <c r="D75" s="365"/>
      <c r="E75" s="365"/>
      <c r="F75" s="365"/>
      <c r="G75" s="365"/>
      <c r="H75" s="365"/>
      <c r="I75" s="365"/>
      <c r="J75" s="365"/>
      <c r="K75" s="365"/>
      <c r="T75" s="26"/>
      <c r="U75" s="26"/>
      <c r="V75" s="1"/>
      <c r="Y75" s="1"/>
    </row>
    <row r="76" spans="1:25" s="351" customFormat="1" ht="15" customHeight="1">
      <c r="A76" s="763" t="s">
        <v>1555</v>
      </c>
      <c r="B76" s="768"/>
      <c r="C76" s="365" t="s">
        <v>1</v>
      </c>
      <c r="D76" s="365" t="s">
        <v>1556</v>
      </c>
      <c r="E76" s="365" t="s">
        <v>1557</v>
      </c>
      <c r="F76" s="365">
        <v>2.9</v>
      </c>
      <c r="G76" s="365" t="s">
        <v>116</v>
      </c>
      <c r="H76" s="365" t="s">
        <v>293</v>
      </c>
      <c r="I76" s="365"/>
      <c r="J76" s="365"/>
      <c r="K76" s="365"/>
      <c r="T76" s="26"/>
      <c r="U76" s="26"/>
      <c r="V76" s="1"/>
      <c r="Y76" s="1"/>
    </row>
    <row r="77" spans="1:25" s="351" customFormat="1" ht="15" customHeight="1">
      <c r="A77" s="763"/>
      <c r="B77" s="768"/>
      <c r="C77" s="365" t="s">
        <v>1</v>
      </c>
      <c r="D77" s="365">
        <f>MAX(G11,F76)</f>
        <v>2.9</v>
      </c>
      <c r="E77" s="365" t="s">
        <v>293</v>
      </c>
      <c r="F77" s="365"/>
      <c r="G77" s="365"/>
      <c r="H77" s="365"/>
      <c r="I77" s="365"/>
      <c r="J77" s="365"/>
      <c r="K77" s="365"/>
      <c r="T77" s="26"/>
      <c r="U77" s="26"/>
      <c r="V77" s="1"/>
      <c r="Y77" s="1"/>
    </row>
    <row r="78" spans="1:25" s="351" customFormat="1" ht="15" customHeight="1">
      <c r="A78" s="763"/>
      <c r="B78" s="768"/>
      <c r="C78" s="365"/>
      <c r="D78" s="365"/>
      <c r="E78" s="365"/>
      <c r="F78" s="365"/>
      <c r="G78" s="365"/>
      <c r="H78" s="365"/>
      <c r="I78" s="365"/>
      <c r="J78" s="365"/>
      <c r="K78" s="365"/>
      <c r="T78" s="26"/>
      <c r="U78" s="26"/>
      <c r="V78" s="1"/>
      <c r="Y78" s="1"/>
    </row>
    <row r="79" spans="1:25" s="351" customFormat="1" ht="18" customHeight="1">
      <c r="A79" s="1808" t="s">
        <v>1259</v>
      </c>
      <c r="B79" s="888" t="s">
        <v>435</v>
      </c>
      <c r="C79" s="889" t="s">
        <v>169</v>
      </c>
      <c r="D79" s="822" t="s">
        <v>61</v>
      </c>
      <c r="E79" s="888" t="s">
        <v>1301</v>
      </c>
      <c r="F79" s="821"/>
      <c r="G79" s="33" t="s">
        <v>1302</v>
      </c>
      <c r="H79" s="1796" t="s">
        <v>424</v>
      </c>
      <c r="I79" s="1796" t="s">
        <v>510</v>
      </c>
      <c r="J79" s="1591" t="s">
        <v>1303</v>
      </c>
      <c r="K79" s="1818"/>
      <c r="L79" s="1784" t="s">
        <v>1304</v>
      </c>
      <c r="M79" s="1825" t="s">
        <v>1305</v>
      </c>
      <c r="V79" s="1"/>
      <c r="Y79" s="1"/>
    </row>
    <row r="80" spans="1:25" s="351" customFormat="1" ht="17.25">
      <c r="A80" s="1809"/>
      <c r="B80" s="820" t="s">
        <v>5</v>
      </c>
      <c r="C80" s="773" t="s">
        <v>5</v>
      </c>
      <c r="D80" s="822" t="s">
        <v>5</v>
      </c>
      <c r="E80" s="766" t="s">
        <v>1277</v>
      </c>
      <c r="F80" s="831"/>
      <c r="G80" s="865" t="s">
        <v>293</v>
      </c>
      <c r="H80" s="1797"/>
      <c r="I80" s="1797"/>
      <c r="J80" s="1593"/>
      <c r="K80" s="1819"/>
      <c r="L80" s="1786"/>
      <c r="M80" s="1826"/>
      <c r="V80" s="1"/>
      <c r="Y80" s="1"/>
    </row>
    <row r="81" spans="1:25" s="351" customFormat="1" ht="17.25">
      <c r="A81" s="1816"/>
      <c r="B81" s="820" t="s">
        <v>5</v>
      </c>
      <c r="C81" s="773" t="s">
        <v>5</v>
      </c>
      <c r="D81" s="822" t="s">
        <v>5</v>
      </c>
      <c r="E81" s="766" t="s">
        <v>1277</v>
      </c>
      <c r="F81" s="831"/>
      <c r="G81" s="865" t="s">
        <v>293</v>
      </c>
      <c r="H81" s="1798"/>
      <c r="I81" s="1798"/>
      <c r="J81" s="1838" t="s">
        <v>570</v>
      </c>
      <c r="K81" s="1839"/>
      <c r="L81" s="890" t="s">
        <v>570</v>
      </c>
      <c r="M81" s="1827"/>
      <c r="V81" s="1"/>
      <c r="Y81" s="1"/>
    </row>
    <row r="82" spans="1:25" s="351" customFormat="1">
      <c r="A82" s="847" t="s">
        <v>1278</v>
      </c>
      <c r="B82" s="767"/>
      <c r="C82" s="844"/>
      <c r="D82" s="830"/>
      <c r="E82" s="767"/>
      <c r="F82" s="768"/>
      <c r="G82" s="844"/>
      <c r="H82" s="844"/>
      <c r="I82" s="768"/>
      <c r="J82" s="767"/>
      <c r="K82" s="768"/>
      <c r="L82" s="844"/>
      <c r="M82" s="844"/>
      <c r="V82" s="1"/>
      <c r="Y82" s="1"/>
    </row>
    <row r="83" spans="1:25" s="351" customFormat="1">
      <c r="A83" s="767" t="s">
        <v>1233</v>
      </c>
      <c r="B83" s="891">
        <f>D28</f>
        <v>2500</v>
      </c>
      <c r="C83" s="892">
        <f>E28</f>
        <v>1000</v>
      </c>
      <c r="D83" s="893">
        <f>F28-70</f>
        <v>817</v>
      </c>
      <c r="E83" s="767">
        <f>B83*C83/2</f>
        <v>1250000</v>
      </c>
      <c r="F83" s="768"/>
      <c r="G83" s="879">
        <f>G4</f>
        <v>500</v>
      </c>
      <c r="H83" s="879">
        <f>data_polation(C83/1000,$P$84:$Q$87,2)</f>
        <v>0.65</v>
      </c>
      <c r="I83" s="77">
        <v>0.4</v>
      </c>
      <c r="J83" s="767"/>
      <c r="K83" s="149">
        <f>I83*H83*$D$77*E83/G83</f>
        <v>1885</v>
      </c>
      <c r="L83" s="844">
        <f>J28</f>
        <v>19634.954084936209</v>
      </c>
      <c r="M83" s="881" t="str">
        <f>IF(K83&lt;L83,"OK","Revise")</f>
        <v>OK</v>
      </c>
      <c r="P83" s="810" t="s">
        <v>169</v>
      </c>
      <c r="Q83" s="810" t="s">
        <v>424</v>
      </c>
      <c r="V83" s="1"/>
      <c r="Y83" s="1"/>
    </row>
    <row r="84" spans="1:25" s="351" customFormat="1">
      <c r="A84" s="767"/>
      <c r="B84" s="767"/>
      <c r="C84" s="844"/>
      <c r="D84" s="830"/>
      <c r="E84" s="767"/>
      <c r="F84" s="768"/>
      <c r="G84" s="879"/>
      <c r="H84" s="879"/>
      <c r="I84" s="894"/>
      <c r="J84" s="767"/>
      <c r="K84" s="422"/>
      <c r="L84" s="844"/>
      <c r="M84" s="144"/>
      <c r="P84" s="801">
        <v>0</v>
      </c>
      <c r="Q84" s="801">
        <v>1</v>
      </c>
      <c r="V84" s="7"/>
      <c r="Y84" s="7"/>
    </row>
    <row r="85" spans="1:25" s="351" customFormat="1">
      <c r="A85" s="847" t="s">
        <v>1280</v>
      </c>
      <c r="B85" s="767"/>
      <c r="C85" s="844"/>
      <c r="D85" s="830"/>
      <c r="E85" s="767"/>
      <c r="F85" s="768"/>
      <c r="G85" s="879"/>
      <c r="H85" s="879"/>
      <c r="I85" s="894"/>
      <c r="J85" s="767"/>
      <c r="K85" s="422"/>
      <c r="L85" s="844"/>
      <c r="M85" s="144"/>
      <c r="P85" s="801">
        <v>0.3</v>
      </c>
      <c r="Q85" s="801">
        <v>1</v>
      </c>
      <c r="V85" s="7"/>
      <c r="Y85" s="7"/>
    </row>
    <row r="86" spans="1:25" s="351" customFormat="1">
      <c r="A86" s="767" t="s">
        <v>1233</v>
      </c>
      <c r="B86" s="891">
        <f>D32</f>
        <v>2500</v>
      </c>
      <c r="C86" s="895">
        <f>E32</f>
        <v>805.26925114328992</v>
      </c>
      <c r="D86" s="896">
        <f>F32-70</f>
        <v>622.26925114328992</v>
      </c>
      <c r="E86" s="767">
        <f>B86*C86/2</f>
        <v>1006586.5639291124</v>
      </c>
      <c r="F86" s="768"/>
      <c r="G86" s="879">
        <f>G4</f>
        <v>500</v>
      </c>
      <c r="H86" s="879">
        <f>data_polation(C86/1000,$P$84:$Q$87,2)</f>
        <v>0.65</v>
      </c>
      <c r="I86" s="77">
        <v>0.4</v>
      </c>
      <c r="J86" s="767"/>
      <c r="K86" s="149">
        <f>I86*H86*$D$77*E86/G86</f>
        <v>1517.9325384051015</v>
      </c>
      <c r="L86" s="844">
        <f>J32</f>
        <v>19634.954084936209</v>
      </c>
      <c r="M86" s="881" t="str">
        <f>IF(K86&lt;L86,"OK","Revise")</f>
        <v>OK</v>
      </c>
      <c r="P86" s="801">
        <v>0.8</v>
      </c>
      <c r="Q86" s="801">
        <v>0.65</v>
      </c>
      <c r="V86" s="7"/>
      <c r="Y86" s="7"/>
    </row>
    <row r="87" spans="1:25" s="351" customFormat="1">
      <c r="A87" s="767"/>
      <c r="B87" s="767"/>
      <c r="C87" s="844"/>
      <c r="D87" s="830"/>
      <c r="E87" s="767"/>
      <c r="F87" s="768"/>
      <c r="G87" s="879"/>
      <c r="H87" s="879"/>
      <c r="I87" s="894"/>
      <c r="J87" s="767"/>
      <c r="K87" s="422"/>
      <c r="L87" s="844"/>
      <c r="M87" s="144"/>
      <c r="P87" s="801">
        <v>3</v>
      </c>
      <c r="Q87" s="801">
        <v>0.65</v>
      </c>
      <c r="V87" s="7"/>
      <c r="Y87" s="7"/>
    </row>
    <row r="88" spans="1:25" s="351" customFormat="1">
      <c r="A88" s="847" t="s">
        <v>1281</v>
      </c>
      <c r="B88" s="767"/>
      <c r="C88" s="844"/>
      <c r="D88" s="830"/>
      <c r="E88" s="767"/>
      <c r="F88" s="768"/>
      <c r="G88" s="879"/>
      <c r="H88" s="879"/>
      <c r="I88" s="894"/>
      <c r="J88" s="767"/>
      <c r="K88" s="422"/>
      <c r="L88" s="844"/>
      <c r="M88" s="144"/>
      <c r="P88" s="801"/>
      <c r="Q88" s="801"/>
      <c r="V88" s="7"/>
      <c r="Y88" s="7"/>
    </row>
    <row r="89" spans="1:25" s="351" customFormat="1">
      <c r="A89" s="767" t="s">
        <v>1233</v>
      </c>
      <c r="B89" s="891">
        <f>D36</f>
        <v>2500</v>
      </c>
      <c r="C89" s="895">
        <f>E36</f>
        <v>824.55124809451672</v>
      </c>
      <c r="D89" s="896">
        <f>F36-70</f>
        <v>641.55124809451672</v>
      </c>
      <c r="E89" s="767">
        <f>B89*C89/2</f>
        <v>1030689.0601181459</v>
      </c>
      <c r="F89" s="768"/>
      <c r="G89" s="879">
        <f>G4</f>
        <v>500</v>
      </c>
      <c r="H89" s="879">
        <f>data_polation(C89/1000,$P$84:$Q$87,2)</f>
        <v>0.65</v>
      </c>
      <c r="I89" s="77">
        <v>0.4</v>
      </c>
      <c r="J89" s="767"/>
      <c r="K89" s="149">
        <f>I89*H89*$D$77*E89/G89</f>
        <v>1554.279102658164</v>
      </c>
      <c r="L89" s="844">
        <f>J36</f>
        <v>19634.954084936209</v>
      </c>
      <c r="M89" s="881" t="str">
        <f>IF(K89&lt;L89,"OK","Revise")</f>
        <v>OK</v>
      </c>
      <c r="V89" s="7"/>
      <c r="Y89" s="7"/>
    </row>
    <row r="90" spans="1:25" s="351" customFormat="1">
      <c r="A90" s="767"/>
      <c r="B90" s="767"/>
      <c r="C90" s="844"/>
      <c r="D90" s="830"/>
      <c r="E90" s="767"/>
      <c r="F90" s="768"/>
      <c r="G90" s="879"/>
      <c r="H90" s="879"/>
      <c r="I90" s="894"/>
      <c r="J90" s="767"/>
      <c r="K90" s="422"/>
      <c r="L90" s="879"/>
      <c r="M90" s="144"/>
      <c r="V90" s="7"/>
      <c r="Y90" s="7"/>
    </row>
    <row r="91" spans="1:25" s="351" customFormat="1">
      <c r="A91" s="864"/>
      <c r="B91" s="766"/>
      <c r="C91" s="866"/>
      <c r="D91" s="832"/>
      <c r="E91" s="766"/>
      <c r="F91" s="831"/>
      <c r="G91" s="866"/>
      <c r="H91" s="866"/>
      <c r="I91" s="866"/>
      <c r="J91" s="766"/>
      <c r="K91" s="831"/>
      <c r="L91" s="866"/>
      <c r="M91" s="866"/>
      <c r="V91" s="1"/>
      <c r="Y91" s="1"/>
    </row>
    <row r="92" spans="1:25" s="351" customFormat="1">
      <c r="G92" s="539"/>
      <c r="T92" s="1"/>
      <c r="U92" s="1"/>
      <c r="V92" s="1"/>
      <c r="W92" s="1"/>
      <c r="X92" s="1"/>
      <c r="Y92" s="1"/>
    </row>
    <row r="93" spans="1:25" ht="18" customHeight="1">
      <c r="A93" s="62" t="s">
        <v>1306</v>
      </c>
      <c r="B93" s="351"/>
      <c r="C93" s="351"/>
      <c r="D93" s="351"/>
      <c r="E93" s="351"/>
      <c r="F93" s="351"/>
      <c r="L93" s="26"/>
      <c r="N93" s="26"/>
    </row>
    <row r="94" spans="1:25" ht="18" customHeight="1">
      <c r="A94" s="1837" t="s">
        <v>1259</v>
      </c>
      <c r="B94" s="1837"/>
      <c r="C94" s="1784" t="s">
        <v>528</v>
      </c>
      <c r="D94" s="1784" t="s">
        <v>1307</v>
      </c>
      <c r="E94" s="1838" t="s">
        <v>529</v>
      </c>
      <c r="F94" s="1839"/>
      <c r="G94" s="1825" t="s">
        <v>1305</v>
      </c>
    </row>
    <row r="95" spans="1:25">
      <c r="A95" s="1837"/>
      <c r="B95" s="1837"/>
      <c r="C95" s="1786"/>
      <c r="D95" s="1786"/>
      <c r="E95" s="897" t="s">
        <v>1308</v>
      </c>
      <c r="F95" s="898" t="s">
        <v>1309</v>
      </c>
      <c r="G95" s="1826"/>
    </row>
    <row r="96" spans="1:25">
      <c r="A96" s="899"/>
      <c r="B96" s="32"/>
      <c r="C96" s="890" t="s">
        <v>1310</v>
      </c>
      <c r="D96" s="890" t="s">
        <v>1178</v>
      </c>
      <c r="E96" s="900" t="s">
        <v>5</v>
      </c>
      <c r="F96" s="900" t="s">
        <v>5</v>
      </c>
      <c r="G96" s="1827"/>
    </row>
    <row r="97" spans="1:16">
      <c r="A97" s="847" t="s">
        <v>1278</v>
      </c>
      <c r="B97" s="27"/>
      <c r="C97" s="844"/>
      <c r="D97" s="844"/>
      <c r="E97" s="844"/>
      <c r="F97" s="844"/>
      <c r="G97" s="844"/>
    </row>
    <row r="98" spans="1:16">
      <c r="A98" s="767" t="s">
        <v>1233</v>
      </c>
      <c r="B98" s="27"/>
      <c r="C98" s="901">
        <f>G28</f>
        <v>25</v>
      </c>
      <c r="D98" s="902">
        <f>G6</f>
        <v>40</v>
      </c>
      <c r="E98" s="859">
        <f>I28</f>
        <v>126.05263157894737</v>
      </c>
      <c r="F98" s="859">
        <f>5*(D98+C98/2)</f>
        <v>262.5</v>
      </c>
      <c r="G98" s="881" t="str">
        <f>IF(F98&gt;E98,"OK","Revise")</f>
        <v>OK</v>
      </c>
    </row>
    <row r="99" spans="1:16">
      <c r="A99" s="847"/>
      <c r="B99" s="191"/>
      <c r="C99" s="903"/>
      <c r="D99" s="904"/>
      <c r="E99" s="859"/>
      <c r="F99" s="859"/>
      <c r="G99" s="144"/>
    </row>
    <row r="100" spans="1:16">
      <c r="A100" s="847" t="s">
        <v>1280</v>
      </c>
      <c r="B100" s="191"/>
      <c r="C100" s="903"/>
      <c r="D100" s="904"/>
      <c r="E100" s="859"/>
      <c r="F100" s="859"/>
      <c r="G100" s="144"/>
    </row>
    <row r="101" spans="1:16">
      <c r="A101" s="767" t="s">
        <v>1233</v>
      </c>
      <c r="B101" s="191"/>
      <c r="C101" s="903">
        <f>C98</f>
        <v>25</v>
      </c>
      <c r="D101" s="904">
        <f>G6</f>
        <v>40</v>
      </c>
      <c r="E101" s="859">
        <f>I28</f>
        <v>126.05263157894737</v>
      </c>
      <c r="F101" s="859">
        <f>5*(D101+C101/2)</f>
        <v>262.5</v>
      </c>
      <c r="G101" s="881" t="str">
        <f>IF(F101&gt;E101,"OK","Revise")</f>
        <v>OK</v>
      </c>
    </row>
    <row r="102" spans="1:16">
      <c r="A102" s="767"/>
      <c r="B102" s="191"/>
      <c r="C102" s="903"/>
      <c r="D102" s="904"/>
      <c r="E102" s="859"/>
      <c r="F102" s="859"/>
      <c r="G102" s="144"/>
    </row>
    <row r="103" spans="1:16">
      <c r="A103" s="847" t="s">
        <v>1281</v>
      </c>
      <c r="B103" s="191"/>
      <c r="C103" s="903"/>
      <c r="D103" s="904"/>
      <c r="E103" s="859"/>
      <c r="F103" s="859"/>
      <c r="G103" s="144"/>
    </row>
    <row r="104" spans="1:16">
      <c r="A104" s="767" t="s">
        <v>1233</v>
      </c>
      <c r="B104" s="191"/>
      <c r="C104" s="903">
        <f>G28</f>
        <v>25</v>
      </c>
      <c r="D104" s="904">
        <f>G6</f>
        <v>40</v>
      </c>
      <c r="E104" s="859">
        <f>I28</f>
        <v>126.05263157894737</v>
      </c>
      <c r="F104" s="859">
        <f>5*(D104+C104/2)</f>
        <v>262.5</v>
      </c>
      <c r="G104" s="881" t="str">
        <f>IF(F104&gt;E104,"OK","Revise")</f>
        <v>OK</v>
      </c>
    </row>
    <row r="105" spans="1:16">
      <c r="A105" s="864"/>
      <c r="B105" s="22"/>
      <c r="C105" s="865"/>
      <c r="D105" s="865"/>
      <c r="E105" s="865"/>
      <c r="F105" s="865"/>
      <c r="G105" s="866"/>
    </row>
    <row r="106" spans="1:16">
      <c r="I106" s="26"/>
      <c r="J106" s="351"/>
      <c r="K106" s="351"/>
      <c r="L106" s="351"/>
    </row>
    <row r="107" spans="1:16">
      <c r="A107" s="763" t="s">
        <v>1311</v>
      </c>
    </row>
    <row r="108" spans="1:16">
      <c r="A108" s="1837" t="s">
        <v>1259</v>
      </c>
      <c r="B108" s="1837"/>
      <c r="C108" s="1591" t="s">
        <v>1312</v>
      </c>
      <c r="D108" s="1592"/>
      <c r="E108" s="1795" t="s">
        <v>1313</v>
      </c>
      <c r="F108" s="1837" t="s">
        <v>1314</v>
      </c>
      <c r="G108" s="1828" t="s">
        <v>1315</v>
      </c>
      <c r="H108" s="1876" t="s">
        <v>1316</v>
      </c>
      <c r="I108" s="1742" t="s">
        <v>538</v>
      </c>
      <c r="J108" s="1892" t="s">
        <v>1317</v>
      </c>
      <c r="K108" s="1742" t="s">
        <v>542</v>
      </c>
      <c r="L108" s="1837" t="s">
        <v>1318</v>
      </c>
      <c r="M108" s="1893" t="s">
        <v>1319</v>
      </c>
      <c r="N108" s="1894"/>
      <c r="O108" s="1742" t="s">
        <v>1320</v>
      </c>
      <c r="P108" s="1810" t="s">
        <v>1305</v>
      </c>
    </row>
    <row r="109" spans="1:16">
      <c r="A109" s="1837"/>
      <c r="B109" s="1837"/>
      <c r="C109" s="1840"/>
      <c r="D109" s="1841"/>
      <c r="E109" s="1795"/>
      <c r="F109" s="1837"/>
      <c r="G109" s="1828"/>
      <c r="H109" s="1877"/>
      <c r="I109" s="1742"/>
      <c r="J109" s="1892"/>
      <c r="K109" s="1742"/>
      <c r="L109" s="1837"/>
      <c r="M109" s="1895"/>
      <c r="N109" s="1896"/>
      <c r="O109" s="1742"/>
      <c r="P109" s="1810"/>
    </row>
    <row r="110" spans="1:16">
      <c r="A110" s="1837"/>
      <c r="B110" s="1837"/>
      <c r="C110" s="1840"/>
      <c r="D110" s="1841"/>
      <c r="E110" s="1795"/>
      <c r="F110" s="1837"/>
      <c r="G110" s="1828"/>
      <c r="H110" s="1877"/>
      <c r="I110" s="1742"/>
      <c r="J110" s="1892"/>
      <c r="K110" s="1742"/>
      <c r="L110" s="1837"/>
      <c r="M110" s="1895"/>
      <c r="N110" s="1896"/>
      <c r="O110" s="1742"/>
      <c r="P110" s="1810"/>
    </row>
    <row r="111" spans="1:16">
      <c r="A111" s="1837"/>
      <c r="B111" s="1837"/>
      <c r="C111" s="1593"/>
      <c r="D111" s="1594"/>
      <c r="E111" s="1795"/>
      <c r="F111" s="1837"/>
      <c r="G111" s="1828"/>
      <c r="H111" s="1878"/>
      <c r="I111" s="1742"/>
      <c r="J111" s="1892"/>
      <c r="K111" s="1742"/>
      <c r="L111" s="1837"/>
      <c r="M111" s="1897"/>
      <c r="N111" s="1898"/>
      <c r="O111" s="1742"/>
      <c r="P111" s="1810"/>
    </row>
    <row r="112" spans="1:16" ht="17.25">
      <c r="A112" s="899"/>
      <c r="B112" s="32"/>
      <c r="C112" s="30"/>
      <c r="D112" s="822" t="s">
        <v>5</v>
      </c>
      <c r="E112" s="832" t="s">
        <v>1277</v>
      </c>
      <c r="F112" s="866" t="s">
        <v>1277</v>
      </c>
      <c r="G112" s="905"/>
      <c r="H112" s="822" t="s">
        <v>5</v>
      </c>
      <c r="I112" s="58" t="s">
        <v>293</v>
      </c>
      <c r="J112" s="33" t="s">
        <v>5</v>
      </c>
      <c r="K112" s="33"/>
      <c r="L112" s="30"/>
      <c r="M112" s="906"/>
      <c r="N112" s="21"/>
      <c r="O112" s="830"/>
      <c r="P112" s="844"/>
    </row>
    <row r="113" spans="1:16">
      <c r="A113" s="805"/>
      <c r="B113" s="21"/>
      <c r="C113" s="25"/>
      <c r="D113" s="830"/>
      <c r="E113" s="907"/>
      <c r="F113" s="34"/>
      <c r="G113" s="840"/>
      <c r="H113" s="27"/>
      <c r="I113" s="844"/>
      <c r="J113" s="27"/>
      <c r="K113" s="34"/>
      <c r="L113" s="25"/>
      <c r="M113" s="906"/>
      <c r="N113" s="21"/>
      <c r="O113" s="907"/>
      <c r="P113" s="840"/>
    </row>
    <row r="114" spans="1:16">
      <c r="A114" s="847" t="s">
        <v>1278</v>
      </c>
      <c r="B114" s="27"/>
      <c r="C114" s="25"/>
      <c r="D114" s="830"/>
      <c r="E114" s="830"/>
      <c r="F114" s="34"/>
      <c r="G114" s="844"/>
      <c r="H114" s="27"/>
      <c r="I114" s="844"/>
      <c r="J114" s="27"/>
      <c r="K114" s="34"/>
      <c r="L114" s="25"/>
      <c r="M114" s="767"/>
      <c r="N114" s="27"/>
      <c r="O114" s="830"/>
      <c r="P114" s="844"/>
    </row>
    <row r="115" spans="1:16">
      <c r="A115" s="767" t="s">
        <v>1233</v>
      </c>
      <c r="B115" s="27"/>
      <c r="C115" s="25"/>
      <c r="D115" s="706">
        <f>MIN(2.5*(C83-D83),(C83-J115/3),(C83/2))</f>
        <v>457.5</v>
      </c>
      <c r="E115" s="706">
        <f>D115*B83</f>
        <v>1143750</v>
      </c>
      <c r="F115" s="844">
        <f>J28</f>
        <v>19634.954084936209</v>
      </c>
      <c r="G115" s="35">
        <f>F115/E115</f>
        <v>1.7167172970436032E-2</v>
      </c>
      <c r="H115" s="706">
        <f>3.4*D98+0.17*C98/G115</f>
        <v>383.56551397944315</v>
      </c>
      <c r="I115" s="598">
        <f>M61</f>
        <v>49.516776771431203</v>
      </c>
      <c r="J115" s="908">
        <f>H61</f>
        <v>514.02972680287496</v>
      </c>
      <c r="K115" s="901">
        <v>0.5</v>
      </c>
      <c r="L115" s="857">
        <f>$G$7/$G$9</f>
        <v>18.040242302672063</v>
      </c>
      <c r="M115" s="25"/>
      <c r="N115" s="1129">
        <f>MAX((I115-K115*$D$77*(1+L115*G115)/G115)/$G$7,0.6*I115/$G$7)</f>
        <v>1.4855033031429361E-4</v>
      </c>
      <c r="O115" s="909">
        <f>H115*N115</f>
        <v>5.6978783798818086E-2</v>
      </c>
      <c r="P115" s="881" t="str">
        <f>IF(O115&lt;$O$15,"OK","Revise")</f>
        <v>OK</v>
      </c>
    </row>
    <row r="116" spans="1:16">
      <c r="A116" s="767"/>
      <c r="B116" s="191"/>
      <c r="C116" s="112"/>
      <c r="D116" s="385"/>
      <c r="E116" s="385"/>
      <c r="F116" s="844"/>
      <c r="G116" s="676"/>
      <c r="H116" s="385"/>
      <c r="I116" s="598"/>
      <c r="J116" s="908"/>
      <c r="K116" s="903"/>
      <c r="L116" s="857"/>
      <c r="M116" s="112"/>
      <c r="N116" s="385"/>
      <c r="O116" s="670"/>
      <c r="P116" s="144"/>
    </row>
    <row r="117" spans="1:16">
      <c r="A117" s="847" t="s">
        <v>1280</v>
      </c>
      <c r="B117" s="191"/>
      <c r="C117" s="112"/>
      <c r="D117" s="385"/>
      <c r="E117" s="385"/>
      <c r="F117" s="844"/>
      <c r="G117" s="676"/>
      <c r="H117" s="385"/>
      <c r="I117" s="598"/>
      <c r="J117" s="908"/>
      <c r="K117" s="903"/>
      <c r="L117" s="857"/>
      <c r="M117" s="112"/>
      <c r="N117" s="385"/>
      <c r="O117" s="670"/>
      <c r="P117" s="144"/>
    </row>
    <row r="118" spans="1:16">
      <c r="A118" s="767" t="s">
        <v>1233</v>
      </c>
      <c r="B118" s="27"/>
      <c r="C118" s="25"/>
      <c r="D118" s="706">
        <f>MIN(2.5*(C86-D86),(C86-J118/3),(C86/2))</f>
        <v>402.63462557164496</v>
      </c>
      <c r="E118" s="706">
        <f>D118*B86</f>
        <v>1006586.5639291124</v>
      </c>
      <c r="F118" s="844">
        <f>J32</f>
        <v>19634.954084936209</v>
      </c>
      <c r="G118" s="35">
        <f>F118/E118</f>
        <v>1.9506473450522806E-2</v>
      </c>
      <c r="H118" s="706">
        <f>3.4*D101+0.17*C101/G118</f>
        <v>353.8763891269179</v>
      </c>
      <c r="I118" s="598">
        <f>M66</f>
        <v>-3.4658494414242962</v>
      </c>
      <c r="J118" s="908">
        <f>H66</f>
        <v>430.57467737731105</v>
      </c>
      <c r="K118" s="901">
        <v>0.5</v>
      </c>
      <c r="L118" s="857">
        <f>L115</f>
        <v>18.040242302672063</v>
      </c>
      <c r="M118" s="25"/>
      <c r="N118" s="1129">
        <f>MAX((I118-K118*$D$77*(1+L118*G118)/G118)/$G$7,0.6*I118/$G$7)</f>
        <v>-1.0397548324272887E-5</v>
      </c>
      <c r="O118" s="909">
        <f>H118*N118</f>
        <v>-3.6794468567663253E-3</v>
      </c>
      <c r="P118" s="881" t="str">
        <f>IF(O118&lt;$O$15,"OK","Revise")</f>
        <v>OK</v>
      </c>
    </row>
    <row r="119" spans="1:16">
      <c r="A119" s="767"/>
      <c r="B119" s="191"/>
      <c r="C119" s="112"/>
      <c r="D119" s="385"/>
      <c r="E119" s="385"/>
      <c r="F119" s="844"/>
      <c r="G119" s="676"/>
      <c r="H119" s="385"/>
      <c r="I119" s="598"/>
      <c r="J119" s="908"/>
      <c r="K119" s="903"/>
      <c r="L119" s="857"/>
      <c r="M119" s="112"/>
      <c r="N119" s="385"/>
      <c r="O119" s="670"/>
      <c r="P119" s="144"/>
    </row>
    <row r="120" spans="1:16">
      <c r="A120" s="847" t="s">
        <v>1281</v>
      </c>
      <c r="B120" s="191"/>
      <c r="C120" s="112"/>
      <c r="D120" s="706"/>
      <c r="E120" s="385"/>
      <c r="F120" s="844"/>
      <c r="G120" s="676"/>
      <c r="H120" s="385"/>
      <c r="I120" s="598"/>
      <c r="J120" s="908"/>
      <c r="K120" s="903"/>
      <c r="L120" s="857"/>
      <c r="M120" s="112"/>
      <c r="N120" s="385"/>
      <c r="O120" s="670"/>
      <c r="P120" s="144"/>
    </row>
    <row r="121" spans="1:16">
      <c r="A121" s="767" t="s">
        <v>1233</v>
      </c>
      <c r="B121" s="191"/>
      <c r="C121" s="112"/>
      <c r="D121" s="706">
        <f>MIN(2.5*(C89-D89),(C89-J121/3),(C89/2))</f>
        <v>412.27562404725836</v>
      </c>
      <c r="E121" s="706">
        <f>D121*B89</f>
        <v>1030689.0601181459</v>
      </c>
      <c r="F121" s="844">
        <f>J36</f>
        <v>19634.954084936209</v>
      </c>
      <c r="G121" s="35">
        <f>F121/E121</f>
        <v>1.9050317738586935E-2</v>
      </c>
      <c r="H121" s="706">
        <f>3.4*D104+0.17*C104/G121</f>
        <v>359.09339184361789</v>
      </c>
      <c r="I121" s="598">
        <f>M71</f>
        <v>1.8070158440498838</v>
      </c>
      <c r="J121" s="908">
        <f>H71</f>
        <v>439.22994127232721</v>
      </c>
      <c r="K121" s="901">
        <v>0.5</v>
      </c>
      <c r="L121" s="857">
        <f>L118</f>
        <v>18.040242302672063</v>
      </c>
      <c r="M121" s="25"/>
      <c r="N121" s="1129">
        <f>MAX((I121-K121*$D$77*(1+L121*G121)/G121)/$G$7,0.6*I121/$G$7)</f>
        <v>5.4210475321496507E-6</v>
      </c>
      <c r="O121" s="909">
        <f>H121*N121</f>
        <v>1.9466623456650923E-3</v>
      </c>
      <c r="P121" s="881" t="str">
        <f>IF(O121&lt;$O$15,"OK","Revise")</f>
        <v>OK</v>
      </c>
    </row>
    <row r="122" spans="1:16">
      <c r="A122" s="767"/>
      <c r="B122" s="191"/>
      <c r="C122" s="112"/>
      <c r="D122" s="385"/>
      <c r="E122" s="385"/>
      <c r="F122" s="844"/>
      <c r="G122" s="676"/>
      <c r="H122" s="385"/>
      <c r="I122" s="598"/>
      <c r="J122" s="908"/>
      <c r="K122" s="903"/>
      <c r="L122" s="857"/>
      <c r="M122" s="112"/>
      <c r="N122" s="385"/>
      <c r="O122" s="670"/>
      <c r="P122" s="144"/>
    </row>
    <row r="123" spans="1:16">
      <c r="A123" s="864"/>
      <c r="B123" s="22"/>
      <c r="C123" s="208"/>
      <c r="D123" s="22"/>
      <c r="E123" s="509"/>
      <c r="F123" s="58"/>
      <c r="G123" s="379"/>
      <c r="H123" s="22"/>
      <c r="I123" s="866"/>
      <c r="J123" s="22"/>
      <c r="K123" s="58"/>
      <c r="L123" s="28"/>
      <c r="M123" s="208"/>
      <c r="N123" s="22"/>
      <c r="O123" s="509"/>
      <c r="P123" s="866"/>
    </row>
    <row r="125" spans="1:16">
      <c r="A125" s="9" t="s">
        <v>1321</v>
      </c>
      <c r="B125" s="26"/>
      <c r="C125" s="26"/>
      <c r="E125" s="57" t="s">
        <v>422</v>
      </c>
      <c r="F125" s="11"/>
      <c r="G125" s="11"/>
      <c r="H125" s="351"/>
      <c r="I125" s="351"/>
      <c r="K125" s="351"/>
      <c r="L125" s="351"/>
      <c r="M125" s="351"/>
    </row>
    <row r="126" spans="1:16">
      <c r="A126" s="1" t="s">
        <v>1322</v>
      </c>
      <c r="B126" s="26"/>
      <c r="C126" s="26"/>
      <c r="D126" s="11"/>
      <c r="E126" s="11"/>
      <c r="F126" s="11"/>
      <c r="G126" s="11"/>
      <c r="H126" s="351"/>
      <c r="I126" s="351"/>
      <c r="J126" s="57"/>
      <c r="K126" s="351"/>
      <c r="L126" s="351"/>
      <c r="M126" s="351"/>
    </row>
    <row r="127" spans="1:16">
      <c r="A127" s="1837" t="s">
        <v>1259</v>
      </c>
      <c r="B127" s="1837"/>
      <c r="C127" s="1845" t="s">
        <v>1323</v>
      </c>
      <c r="D127" s="1825" t="s">
        <v>1324</v>
      </c>
      <c r="E127" s="1825" t="s">
        <v>1325</v>
      </c>
      <c r="F127" s="1825" t="s">
        <v>61</v>
      </c>
      <c r="G127" s="1825" t="s">
        <v>1326</v>
      </c>
      <c r="H127" s="1873" t="s">
        <v>1327</v>
      </c>
      <c r="I127" s="1796" t="s">
        <v>584</v>
      </c>
      <c r="J127" s="1842" t="s">
        <v>1328</v>
      </c>
      <c r="K127" s="1873" t="s">
        <v>1329</v>
      </c>
      <c r="L127" s="1796" t="s">
        <v>430</v>
      </c>
      <c r="M127" s="1876" t="s">
        <v>1330</v>
      </c>
      <c r="N127" s="1881"/>
      <c r="O127" s="1884" t="s">
        <v>1331</v>
      </c>
      <c r="P127" s="1885"/>
    </row>
    <row r="128" spans="1:16">
      <c r="A128" s="1837"/>
      <c r="B128" s="1837"/>
      <c r="C128" s="1846"/>
      <c r="D128" s="1826"/>
      <c r="E128" s="1826"/>
      <c r="F128" s="1826"/>
      <c r="G128" s="1826"/>
      <c r="H128" s="1874"/>
      <c r="I128" s="1797"/>
      <c r="J128" s="1843"/>
      <c r="K128" s="1874"/>
      <c r="L128" s="1797"/>
      <c r="M128" s="1877"/>
      <c r="N128" s="1882"/>
      <c r="O128" s="1886"/>
      <c r="P128" s="1887"/>
    </row>
    <row r="129" spans="1:18">
      <c r="A129" s="1837"/>
      <c r="B129" s="1837"/>
      <c r="C129" s="1846"/>
      <c r="D129" s="1826"/>
      <c r="E129" s="1826"/>
      <c r="F129" s="1826"/>
      <c r="G129" s="1826"/>
      <c r="H129" s="1874"/>
      <c r="I129" s="1797"/>
      <c r="J129" s="1843"/>
      <c r="K129" s="1874"/>
      <c r="L129" s="1797"/>
      <c r="M129" s="1877"/>
      <c r="N129" s="1882"/>
      <c r="O129" s="1886"/>
      <c r="P129" s="1887"/>
    </row>
    <row r="130" spans="1:18">
      <c r="A130" s="1837"/>
      <c r="B130" s="1837"/>
      <c r="C130" s="1846"/>
      <c r="D130" s="1826"/>
      <c r="E130" s="1826"/>
      <c r="F130" s="1826"/>
      <c r="G130" s="1826"/>
      <c r="H130" s="1874"/>
      <c r="I130" s="1797"/>
      <c r="J130" s="1843"/>
      <c r="K130" s="1874"/>
      <c r="L130" s="1797"/>
      <c r="M130" s="1877"/>
      <c r="N130" s="1882"/>
      <c r="O130" s="1886"/>
      <c r="P130" s="1887"/>
    </row>
    <row r="131" spans="1:18">
      <c r="A131" s="1837"/>
      <c r="B131" s="1837"/>
      <c r="C131" s="1846"/>
      <c r="D131" s="1826"/>
      <c r="E131" s="1826"/>
      <c r="F131" s="1826"/>
      <c r="G131" s="1826"/>
      <c r="H131" s="1874"/>
      <c r="I131" s="1797"/>
      <c r="J131" s="1843"/>
      <c r="K131" s="1874"/>
      <c r="L131" s="1797"/>
      <c r="M131" s="1877"/>
      <c r="N131" s="1882"/>
      <c r="O131" s="1886"/>
      <c r="P131" s="1887"/>
    </row>
    <row r="132" spans="1:18">
      <c r="A132" s="1837"/>
      <c r="B132" s="1837"/>
      <c r="C132" s="1847"/>
      <c r="D132" s="1827"/>
      <c r="E132" s="1827"/>
      <c r="F132" s="1827"/>
      <c r="G132" s="1827"/>
      <c r="H132" s="1875"/>
      <c r="I132" s="1798"/>
      <c r="J132" s="1844"/>
      <c r="K132" s="1875"/>
      <c r="L132" s="1798"/>
      <c r="M132" s="1878"/>
      <c r="N132" s="1883"/>
      <c r="O132" s="1888"/>
      <c r="P132" s="1889"/>
    </row>
    <row r="133" spans="1:18" ht="17.25">
      <c r="A133" s="806"/>
      <c r="B133" s="807"/>
      <c r="C133" s="832" t="s">
        <v>51</v>
      </c>
      <c r="D133" s="766"/>
      <c r="E133" s="866" t="s">
        <v>51</v>
      </c>
      <c r="F133" s="28" t="s">
        <v>5</v>
      </c>
      <c r="G133" s="58" t="s">
        <v>5</v>
      </c>
      <c r="H133" s="910"/>
      <c r="I133" s="58" t="s">
        <v>1332</v>
      </c>
      <c r="J133" s="911"/>
      <c r="K133" s="910"/>
      <c r="L133" s="58" t="s">
        <v>293</v>
      </c>
      <c r="M133" s="817" t="s">
        <v>34</v>
      </c>
      <c r="N133" s="912"/>
      <c r="O133" s="1890"/>
      <c r="P133" s="1891"/>
    </row>
    <row r="134" spans="1:18">
      <c r="A134" s="847" t="s">
        <v>1278</v>
      </c>
      <c r="B134" s="913"/>
      <c r="C134" s="27"/>
      <c r="D134" s="34"/>
      <c r="E134" s="34"/>
      <c r="F134" s="25"/>
      <c r="G134" s="34"/>
      <c r="H134" s="34"/>
      <c r="I134" s="34"/>
      <c r="J134" s="34"/>
      <c r="K134" s="34"/>
      <c r="L134" s="1117"/>
      <c r="M134" s="26"/>
      <c r="N134" s="26"/>
      <c r="O134" s="112"/>
      <c r="P134" s="191"/>
    </row>
    <row r="135" spans="1:18">
      <c r="A135" s="767" t="s">
        <v>1223</v>
      </c>
      <c r="B135" s="830"/>
      <c r="C135" s="969">
        <f>Piercap!E113</f>
        <v>220.95422948431636</v>
      </c>
      <c r="D135" s="102">
        <v>1</v>
      </c>
      <c r="E135" s="598">
        <f>D135*C135</f>
        <v>220.95422948431636</v>
      </c>
      <c r="F135" s="25">
        <f>F28</f>
        <v>887</v>
      </c>
      <c r="G135" s="34">
        <f>D28</f>
        <v>2500</v>
      </c>
      <c r="H135" s="480">
        <f>MIN(1+SQRT(200/F135),2)</f>
        <v>1.4748464416832623</v>
      </c>
      <c r="I135" s="89">
        <f>J28</f>
        <v>19634.954084936209</v>
      </c>
      <c r="J135" s="914">
        <f>MIN(I135/G135/F135,0.02)</f>
        <v>8.8545452468708954E-3</v>
      </c>
      <c r="K135" s="35">
        <f>0.031*H135^(3/2)*$G$3^(1/2)</f>
        <v>0.32848528775511315</v>
      </c>
      <c r="L135" s="943">
        <v>0</v>
      </c>
      <c r="M135" s="26">
        <f>MAX((0.12*H135*(80*J135*$G$3)^0.33 +0.15*$L$135)*G135*F135,(K135+0.15*$L$135)*G135*F135)/10^4</f>
        <v>113.21883869035055</v>
      </c>
      <c r="N135" s="26"/>
      <c r="O135" s="1879" t="str">
        <f>IF(C135&gt;M135,"Provide shear reinf.","No Shear reinf. Required")</f>
        <v>Provide shear reinf.</v>
      </c>
      <c r="P135" s="1880"/>
      <c r="R135" s="254"/>
    </row>
    <row r="136" spans="1:18">
      <c r="A136" s="767"/>
      <c r="B136" s="830"/>
      <c r="C136" s="745"/>
      <c r="D136" s="269"/>
      <c r="E136" s="598"/>
      <c r="F136" s="112"/>
      <c r="G136" s="89"/>
      <c r="H136" s="915"/>
      <c r="I136" s="89"/>
      <c r="J136" s="916"/>
      <c r="K136" s="676"/>
      <c r="L136" s="946"/>
      <c r="M136" s="11"/>
      <c r="N136" s="11"/>
      <c r="O136" s="917"/>
      <c r="P136" s="918"/>
      <c r="Q136" s="7"/>
      <c r="R136" s="254"/>
    </row>
    <row r="137" spans="1:18">
      <c r="A137" s="847" t="s">
        <v>1280</v>
      </c>
      <c r="B137" s="913"/>
      <c r="C137" s="27"/>
      <c r="D137" s="34"/>
      <c r="E137" s="34"/>
      <c r="F137" s="25"/>
      <c r="G137" s="34"/>
      <c r="H137" s="480"/>
      <c r="I137" s="34"/>
      <c r="J137" s="34"/>
      <c r="K137" s="34"/>
      <c r="L137" s="1117"/>
      <c r="M137" s="26"/>
      <c r="N137" s="26"/>
      <c r="O137" s="112"/>
      <c r="P137" s="191"/>
      <c r="Q137" s="7"/>
      <c r="R137" s="254"/>
    </row>
    <row r="138" spans="1:18" ht="15" customHeight="1">
      <c r="A138" s="767" t="s">
        <v>1223</v>
      </c>
      <c r="B138" s="830"/>
      <c r="C138" s="969">
        <f>Piercap!E132</f>
        <v>212.96078529638166</v>
      </c>
      <c r="D138" s="102">
        <v>1</v>
      </c>
      <c r="E138" s="598">
        <f>D138*C138</f>
        <v>212.96078529638166</v>
      </c>
      <c r="F138" s="76">
        <f>F32</f>
        <v>692.26925114328992</v>
      </c>
      <c r="G138" s="34">
        <f>D32</f>
        <v>2500</v>
      </c>
      <c r="H138" s="480">
        <f>MIN(1+SQRT(200/F138),2)</f>
        <v>1.53749877270611</v>
      </c>
      <c r="I138" s="89">
        <f>J32</f>
        <v>19634.954084936209</v>
      </c>
      <c r="J138" s="914">
        <f>MIN(I138/G138/F138,0.02)</f>
        <v>1.1345270096864118E-2</v>
      </c>
      <c r="K138" s="35">
        <f>0.031*H138^(3/2)*$G$3^(1/2)</f>
        <v>0.34963740050793929</v>
      </c>
      <c r="L138" s="943">
        <v>0</v>
      </c>
      <c r="M138" s="26">
        <f>MAX((0.12*H138*(80*J138*$G$3)^0.33 +0.15*$L$138)*G138*F138,(K138+0.15*$L$138)*G138*F138)/10^4</f>
        <v>99.96825738197451</v>
      </c>
      <c r="N138" s="26"/>
      <c r="O138" s="1879" t="str">
        <f>IF(C138&gt;M138,"Provide shear reinf.","No Shear reinf. Required")</f>
        <v>Provide shear reinf.</v>
      </c>
      <c r="P138" s="1880"/>
      <c r="Q138" s="7"/>
    </row>
    <row r="139" spans="1:18">
      <c r="A139" s="767"/>
      <c r="B139" s="830"/>
      <c r="C139" s="745"/>
      <c r="D139" s="269"/>
      <c r="E139" s="598"/>
      <c r="F139" s="744"/>
      <c r="G139" s="89"/>
      <c r="H139" s="915"/>
      <c r="I139" s="89"/>
      <c r="J139" s="916"/>
      <c r="K139" s="676"/>
      <c r="L139" s="946"/>
      <c r="M139" s="11"/>
      <c r="N139" s="11"/>
      <c r="O139" s="919"/>
      <c r="P139" s="920"/>
      <c r="Q139" s="7"/>
    </row>
    <row r="140" spans="1:18">
      <c r="A140" s="847" t="s">
        <v>1281</v>
      </c>
      <c r="B140" s="913"/>
      <c r="C140" s="27"/>
      <c r="D140" s="34"/>
      <c r="E140" s="34"/>
      <c r="F140" s="25"/>
      <c r="G140" s="34"/>
      <c r="H140" s="480"/>
      <c r="I140" s="34"/>
      <c r="J140" s="34"/>
      <c r="K140" s="34"/>
      <c r="L140" s="1117"/>
      <c r="M140" s="26"/>
      <c r="N140" s="26"/>
      <c r="O140" s="112"/>
      <c r="P140" s="191"/>
      <c r="Q140" s="7"/>
    </row>
    <row r="141" spans="1:18" ht="15" customHeight="1">
      <c r="A141" s="767" t="s">
        <v>1223</v>
      </c>
      <c r="B141" s="830"/>
      <c r="C141" s="969">
        <f>Piercap!E151</f>
        <v>213.57353562294568</v>
      </c>
      <c r="D141" s="102">
        <v>1</v>
      </c>
      <c r="E141" s="598">
        <f>D141*C141</f>
        <v>213.57353562294568</v>
      </c>
      <c r="F141" s="76">
        <f>F36</f>
        <v>711.55124809451672</v>
      </c>
      <c r="G141" s="34">
        <f>D36</f>
        <v>2500</v>
      </c>
      <c r="H141" s="480">
        <f>MIN(1+SQRT(200/F141),2)</f>
        <v>1.5301660400873527</v>
      </c>
      <c r="I141" s="89">
        <f>J36</f>
        <v>19634.954084936209</v>
      </c>
      <c r="J141" s="914">
        <f>MIN(I141/G141/F141,0.02)</f>
        <v>1.1037829889283287E-2</v>
      </c>
      <c r="K141" s="35">
        <f>0.031*H141^(3/2)*$G$3^(1/2)</f>
        <v>0.34713911726253688</v>
      </c>
      <c r="L141" s="943">
        <v>0</v>
      </c>
      <c r="M141" s="26">
        <f>MAX((0.12*H141*(80*J141*$G$3)^0.33 +0.15*$L$141)*G141*F141,(K141+0.15*$L$141)*G141*F141)/10^4</f>
        <v>101.33973606979455</v>
      </c>
      <c r="N141" s="26"/>
      <c r="O141" s="1879" t="str">
        <f>IF(C141&gt;M141,"Provide shear reinf.","No Shear reinf. Required")</f>
        <v>Provide shear reinf.</v>
      </c>
      <c r="P141" s="1880"/>
      <c r="Q141" s="7"/>
    </row>
    <row r="142" spans="1:18">
      <c r="A142" s="864"/>
      <c r="B142" s="832"/>
      <c r="C142" s="652"/>
      <c r="D142" s="599"/>
      <c r="E142" s="599"/>
      <c r="F142" s="113"/>
      <c r="G142" s="599"/>
      <c r="H142" s="921"/>
      <c r="I142" s="599"/>
      <c r="J142" s="599"/>
      <c r="K142" s="599"/>
      <c r="L142" s="949"/>
      <c r="M142" s="651"/>
      <c r="N142" s="651"/>
      <c r="O142" s="562"/>
      <c r="P142" s="563"/>
      <c r="Q142" s="7"/>
    </row>
    <row r="143" spans="1:18">
      <c r="A143" s="867"/>
      <c r="B143" s="768"/>
    </row>
    <row r="144" spans="1:18">
      <c r="A144" s="922" t="s">
        <v>1333</v>
      </c>
      <c r="B144" s="841"/>
      <c r="C144" s="24"/>
      <c r="D144" s="24"/>
      <c r="E144" s="24"/>
      <c r="F144" s="24"/>
      <c r="G144" s="24"/>
      <c r="H144" s="24"/>
      <c r="I144" s="24"/>
      <c r="J144" s="24"/>
      <c r="K144" s="21"/>
      <c r="L144" s="1876" t="s">
        <v>1334</v>
      </c>
      <c r="M144" s="1899"/>
      <c r="N144" s="1901" t="s">
        <v>725</v>
      </c>
    </row>
    <row r="145" spans="1:14">
      <c r="A145" s="1828" t="s">
        <v>1259</v>
      </c>
      <c r="B145" s="1828"/>
      <c r="C145" s="1904" t="s">
        <v>433</v>
      </c>
      <c r="D145" s="1904" t="s">
        <v>1326</v>
      </c>
      <c r="E145" s="1695" t="s">
        <v>61</v>
      </c>
      <c r="F145" s="1907" t="s">
        <v>1335</v>
      </c>
      <c r="G145" s="1805" t="s">
        <v>1336</v>
      </c>
      <c r="H145" s="1910" t="s">
        <v>723</v>
      </c>
      <c r="I145" s="1911" t="s">
        <v>1337</v>
      </c>
      <c r="J145" s="1911"/>
      <c r="K145" s="1912" t="s">
        <v>125</v>
      </c>
      <c r="L145" s="1877"/>
      <c r="M145" s="1900"/>
      <c r="N145" s="1902"/>
    </row>
    <row r="146" spans="1:14">
      <c r="A146" s="1828"/>
      <c r="B146" s="1828"/>
      <c r="C146" s="1905"/>
      <c r="D146" s="1905"/>
      <c r="E146" s="1793"/>
      <c r="F146" s="1908"/>
      <c r="G146" s="1805"/>
      <c r="H146" s="1910"/>
      <c r="I146" s="1911"/>
      <c r="J146" s="1911"/>
      <c r="K146" s="1913"/>
      <c r="L146" s="1877"/>
      <c r="M146" s="1900"/>
      <c r="N146" s="1902"/>
    </row>
    <row r="147" spans="1:14">
      <c r="A147" s="1828"/>
      <c r="B147" s="1828"/>
      <c r="C147" s="1905"/>
      <c r="D147" s="1905"/>
      <c r="E147" s="1793"/>
      <c r="F147" s="1908"/>
      <c r="G147" s="1805"/>
      <c r="H147" s="1910"/>
      <c r="I147" s="1911"/>
      <c r="J147" s="1911"/>
      <c r="K147" s="1913"/>
      <c r="L147" s="1877"/>
      <c r="M147" s="1900"/>
      <c r="N147" s="1902"/>
    </row>
    <row r="148" spans="1:14">
      <c r="A148" s="1828"/>
      <c r="B148" s="1828"/>
      <c r="C148" s="1906"/>
      <c r="D148" s="1906"/>
      <c r="E148" s="1696"/>
      <c r="F148" s="1909"/>
      <c r="G148" s="1805"/>
      <c r="H148" s="1910"/>
      <c r="I148" s="1911"/>
      <c r="J148" s="1911"/>
      <c r="K148" s="1914"/>
      <c r="L148" s="1877"/>
      <c r="M148" s="1900"/>
      <c r="N148" s="1903"/>
    </row>
    <row r="149" spans="1:14">
      <c r="A149" s="899"/>
      <c r="B149" s="925"/>
      <c r="C149" s="30" t="s">
        <v>51</v>
      </c>
      <c r="D149" s="30" t="s">
        <v>5</v>
      </c>
      <c r="E149" s="33" t="s">
        <v>5</v>
      </c>
      <c r="F149" s="31" t="s">
        <v>5</v>
      </c>
      <c r="G149" s="33"/>
      <c r="H149" s="32"/>
      <c r="I149" s="30" t="s">
        <v>34</v>
      </c>
      <c r="J149" s="32"/>
      <c r="K149" s="926"/>
      <c r="L149" s="1632" t="s">
        <v>168</v>
      </c>
      <c r="M149" s="1633"/>
      <c r="N149" s="927" t="s">
        <v>168</v>
      </c>
    </row>
    <row r="150" spans="1:14">
      <c r="A150" s="847" t="s">
        <v>1278</v>
      </c>
      <c r="B150" s="843"/>
      <c r="C150" s="25"/>
      <c r="D150" s="25"/>
      <c r="E150" s="34"/>
      <c r="F150" s="26"/>
      <c r="G150" s="34"/>
      <c r="H150" s="27"/>
      <c r="I150" s="25"/>
      <c r="J150" s="27"/>
      <c r="K150" s="27"/>
      <c r="L150" s="25"/>
      <c r="M150" s="27"/>
      <c r="N150" s="27"/>
    </row>
    <row r="151" spans="1:14">
      <c r="A151" s="767" t="s">
        <v>1223</v>
      </c>
      <c r="B151" s="768"/>
      <c r="C151" s="76">
        <f>C135</f>
        <v>220.95422948431636</v>
      </c>
      <c r="D151" s="25">
        <f>G135</f>
        <v>2500</v>
      </c>
      <c r="E151" s="34">
        <f>F135</f>
        <v>887</v>
      </c>
      <c r="F151" s="26">
        <f>E151*0.9</f>
        <v>798.30000000000007</v>
      </c>
      <c r="G151" s="34">
        <v>1</v>
      </c>
      <c r="H151" s="330">
        <v>0.6</v>
      </c>
      <c r="I151" s="76">
        <f>$G$151*D151*F151*$H$151*$G$12/10^4/2</f>
        <v>936.00675000000001</v>
      </c>
      <c r="J151" s="27"/>
      <c r="K151" s="928" t="str">
        <f>IF(I151&gt;C151,"OK","REVISE SECTION")</f>
        <v>OK</v>
      </c>
      <c r="L151" s="76">
        <f>DEGREES(0.5*ASIN(2*C151*10^4/($G$151*D151*F151*$H$151*$G$12)))</f>
        <v>6.8270721824278668</v>
      </c>
      <c r="M151" s="27"/>
      <c r="N151" s="929">
        <v>45</v>
      </c>
    </row>
    <row r="152" spans="1:14">
      <c r="A152" s="767"/>
      <c r="B152" s="768"/>
      <c r="C152" s="744"/>
      <c r="D152" s="112"/>
      <c r="E152" s="89"/>
      <c r="F152" s="11"/>
      <c r="G152" s="89"/>
      <c r="H152" s="930"/>
      <c r="I152" s="744"/>
      <c r="J152" s="191"/>
      <c r="K152" s="191"/>
      <c r="L152" s="744"/>
      <c r="M152" s="191"/>
      <c r="N152" s="931"/>
    </row>
    <row r="153" spans="1:14">
      <c r="A153" s="847" t="s">
        <v>1280</v>
      </c>
      <c r="B153" s="768"/>
      <c r="C153" s="744"/>
      <c r="D153" s="112"/>
      <c r="E153" s="89"/>
      <c r="F153" s="11"/>
      <c r="G153" s="89"/>
      <c r="H153" s="930"/>
      <c r="I153" s="744"/>
      <c r="J153" s="191"/>
      <c r="K153" s="191"/>
      <c r="L153" s="744"/>
      <c r="M153" s="191"/>
      <c r="N153" s="931"/>
    </row>
    <row r="154" spans="1:14">
      <c r="A154" s="767" t="s">
        <v>1223</v>
      </c>
      <c r="B154" s="768"/>
      <c r="C154" s="744">
        <f>C138</f>
        <v>212.96078529638166</v>
      </c>
      <c r="D154" s="25">
        <f>G138</f>
        <v>2500</v>
      </c>
      <c r="E154" s="34">
        <f>F138</f>
        <v>692.26925114328992</v>
      </c>
      <c r="F154" s="26">
        <f>E154*0.9</f>
        <v>623.04232602896093</v>
      </c>
      <c r="G154" s="34">
        <v>1</v>
      </c>
      <c r="H154" s="330">
        <v>0.6</v>
      </c>
      <c r="I154" s="76">
        <f>$G$151*D154*F154*$H$151*$G$12/10^4/2</f>
        <v>730.51712726895664</v>
      </c>
      <c r="J154" s="27"/>
      <c r="K154" s="928" t="str">
        <f>IF(I154&gt;C154,"OK","REVISE SECTION")</f>
        <v>OK</v>
      </c>
      <c r="L154" s="76">
        <f>DEGREES(0.5*ASIN(2*C154*10^4/($G$151*D154*F154*$H$151*$G$12)))</f>
        <v>8.4745067934480467</v>
      </c>
      <c r="M154" s="27"/>
      <c r="N154" s="929">
        <v>45</v>
      </c>
    </row>
    <row r="155" spans="1:14">
      <c r="A155" s="767"/>
      <c r="B155" s="768"/>
      <c r="C155" s="744"/>
      <c r="D155" s="112"/>
      <c r="E155" s="89"/>
      <c r="F155" s="11"/>
      <c r="G155" s="89"/>
      <c r="H155" s="930"/>
      <c r="I155" s="744"/>
      <c r="J155" s="191"/>
      <c r="K155" s="191"/>
      <c r="L155" s="744"/>
      <c r="M155" s="191"/>
      <c r="N155" s="931"/>
    </row>
    <row r="156" spans="1:14">
      <c r="A156" s="847" t="s">
        <v>1281</v>
      </c>
      <c r="B156" s="768"/>
      <c r="C156" s="744"/>
      <c r="D156" s="112"/>
      <c r="E156" s="89"/>
      <c r="F156" s="11"/>
      <c r="G156" s="89"/>
      <c r="H156" s="930"/>
      <c r="I156" s="744"/>
      <c r="J156" s="191"/>
      <c r="K156" s="191"/>
      <c r="L156" s="744"/>
      <c r="M156" s="191"/>
      <c r="N156" s="931"/>
    </row>
    <row r="157" spans="1:14">
      <c r="A157" s="767" t="s">
        <v>1223</v>
      </c>
      <c r="B157" s="768"/>
      <c r="C157" s="744">
        <f>C141</f>
        <v>213.57353562294568</v>
      </c>
      <c r="D157" s="25">
        <f>G141</f>
        <v>2500</v>
      </c>
      <c r="E157" s="34">
        <f>F141</f>
        <v>711.55124809451672</v>
      </c>
      <c r="F157" s="26">
        <f>E157*0.9</f>
        <v>640.39612328506507</v>
      </c>
      <c r="G157" s="34">
        <v>1</v>
      </c>
      <c r="H157" s="330">
        <v>0.6</v>
      </c>
      <c r="I157" s="76">
        <f>$G$151*D157*F157*$H$151*$G$12/10^4/2</f>
        <v>750.86445455173873</v>
      </c>
      <c r="J157" s="27"/>
      <c r="K157" s="928" t="str">
        <f>IF(I157&gt;C157,"OK","REVISE SECTION")</f>
        <v>OK</v>
      </c>
      <c r="L157" s="76">
        <f>DEGREES(0.5*ASIN(2*C157*10^4/($G$151*D157*F157*$H$151*$G$12)))</f>
        <v>8.2625952886576695</v>
      </c>
      <c r="M157" s="27"/>
      <c r="N157" s="929">
        <v>45</v>
      </c>
    </row>
    <row r="158" spans="1:14">
      <c r="A158" s="767"/>
      <c r="B158" s="768"/>
      <c r="C158" s="744"/>
      <c r="D158" s="112"/>
      <c r="E158" s="89"/>
      <c r="F158" s="11"/>
      <c r="G158" s="89"/>
      <c r="H158" s="930"/>
      <c r="I158" s="744"/>
      <c r="J158" s="191"/>
      <c r="K158" s="191"/>
      <c r="L158" s="744"/>
      <c r="M158" s="191"/>
      <c r="N158" s="931"/>
    </row>
    <row r="159" spans="1:14">
      <c r="A159" s="864"/>
      <c r="B159" s="831"/>
      <c r="C159" s="28"/>
      <c r="D159" s="28"/>
      <c r="E159" s="58"/>
      <c r="F159" s="15"/>
      <c r="G159" s="58"/>
      <c r="H159" s="22"/>
      <c r="I159" s="28"/>
      <c r="J159" s="22"/>
      <c r="K159" s="22"/>
      <c r="L159" s="28"/>
      <c r="M159" s="22"/>
      <c r="N159" s="22"/>
    </row>
    <row r="160" spans="1:14">
      <c r="A160" s="867"/>
      <c r="B160" s="768"/>
    </row>
    <row r="161" spans="1:8">
      <c r="A161" s="9" t="s">
        <v>1338</v>
      </c>
      <c r="B161" s="768"/>
    </row>
    <row r="162" spans="1:8">
      <c r="A162" s="1604" t="s">
        <v>1259</v>
      </c>
      <c r="B162" s="1605"/>
      <c r="C162" s="1917" t="s">
        <v>1339</v>
      </c>
      <c r="D162" s="1917" t="s">
        <v>1340</v>
      </c>
      <c r="E162" s="1917" t="s">
        <v>1235</v>
      </c>
      <c r="F162" s="1920" t="s">
        <v>1341</v>
      </c>
      <c r="G162" s="1806" t="s">
        <v>1342</v>
      </c>
      <c r="H162" s="1829" t="s">
        <v>1343</v>
      </c>
    </row>
    <row r="163" spans="1:8">
      <c r="A163" s="1915"/>
      <c r="B163" s="1916"/>
      <c r="C163" s="1918"/>
      <c r="D163" s="1918"/>
      <c r="E163" s="1918"/>
      <c r="F163" s="1921"/>
      <c r="G163" s="1849"/>
      <c r="H163" s="1830"/>
    </row>
    <row r="164" spans="1:8">
      <c r="A164" s="1915"/>
      <c r="B164" s="1916"/>
      <c r="C164" s="1918"/>
      <c r="D164" s="1918"/>
      <c r="E164" s="1918"/>
      <c r="F164" s="1921"/>
      <c r="G164" s="1849"/>
      <c r="H164" s="1830"/>
    </row>
    <row r="165" spans="1:8">
      <c r="A165" s="1606"/>
      <c r="B165" s="1607"/>
      <c r="C165" s="1919"/>
      <c r="D165" s="1919"/>
      <c r="E165" s="1919"/>
      <c r="F165" s="1922"/>
      <c r="G165" s="1807"/>
      <c r="H165" s="1831"/>
    </row>
    <row r="166" spans="1:8" ht="17.25">
      <c r="A166" s="899"/>
      <c r="B166" s="932"/>
      <c r="C166" s="802" t="s">
        <v>77</v>
      </c>
      <c r="D166" s="405" t="s">
        <v>458</v>
      </c>
      <c r="E166" s="406" t="s">
        <v>2</v>
      </c>
      <c r="F166" s="802" t="s">
        <v>293</v>
      </c>
      <c r="G166" s="405" t="s">
        <v>2</v>
      </c>
      <c r="H166" s="801" t="s">
        <v>51</v>
      </c>
    </row>
    <row r="167" spans="1:8">
      <c r="A167" s="847" t="s">
        <v>1278</v>
      </c>
      <c r="B167" s="843"/>
      <c r="C167" s="25"/>
      <c r="D167" s="34"/>
      <c r="E167" s="26"/>
      <c r="F167" s="25"/>
      <c r="G167" s="34"/>
      <c r="H167" s="530"/>
    </row>
    <row r="168" spans="1:8">
      <c r="A168" s="767" t="s">
        <v>1223</v>
      </c>
      <c r="B168" s="768"/>
      <c r="C168" s="970">
        <f>Piercap!N113</f>
        <v>3.3292682926829271</v>
      </c>
      <c r="D168" s="37">
        <f>Piercap!G58</f>
        <v>1.3775510204081631</v>
      </c>
      <c r="E168" s="38">
        <f>Piercap!G57</f>
        <v>0.35714285714285715</v>
      </c>
      <c r="F168" s="65">
        <f>C168*10^7/2/(D168*10^6)/(E168*10^3)</f>
        <v>3.3835230352303527E-2</v>
      </c>
      <c r="G168" s="37">
        <f>Piercap!G54</f>
        <v>1</v>
      </c>
      <c r="H168" s="480">
        <f>F168*100*E168*G168</f>
        <v>1.2084010840108403</v>
      </c>
    </row>
    <row r="169" spans="1:8">
      <c r="A169" s="767"/>
      <c r="B169" s="768"/>
      <c r="C169" s="76"/>
      <c r="D169" s="34"/>
      <c r="E169" s="26"/>
      <c r="F169" s="25"/>
      <c r="G169" s="37"/>
      <c r="H169" s="530"/>
    </row>
    <row r="170" spans="1:8">
      <c r="A170" s="847" t="s">
        <v>1280</v>
      </c>
      <c r="B170" s="768"/>
      <c r="C170" s="76"/>
      <c r="D170" s="34"/>
      <c r="E170" s="26"/>
      <c r="F170" s="25"/>
      <c r="G170" s="37"/>
      <c r="H170" s="530"/>
    </row>
    <row r="171" spans="1:8">
      <c r="A171" s="767" t="s">
        <v>1223</v>
      </c>
      <c r="B171" s="768"/>
      <c r="C171" s="619">
        <f>Piercap!N132</f>
        <v>3.3292682926829271</v>
      </c>
      <c r="D171" s="37">
        <f>Piercap!I58</f>
        <v>1.099331150870466</v>
      </c>
      <c r="E171" s="38">
        <f>Piercap!I57</f>
        <v>0.30453995951492757</v>
      </c>
      <c r="F171" s="65">
        <f>C171*10^7/2/(D171*10^6)/(E171*10^3)</f>
        <v>4.9721701149843166E-2</v>
      </c>
      <c r="G171" s="37">
        <f>Piercap!I54</f>
        <v>0.80526925114328995</v>
      </c>
      <c r="H171" s="480">
        <f>F171*100*E171*G171</f>
        <v>1.219358417516442</v>
      </c>
    </row>
    <row r="172" spans="1:8">
      <c r="A172" s="767"/>
      <c r="B172" s="768"/>
      <c r="C172" s="76"/>
      <c r="D172" s="34"/>
      <c r="E172" s="26"/>
      <c r="F172" s="25"/>
      <c r="G172" s="37"/>
      <c r="H172" s="530"/>
    </row>
    <row r="173" spans="1:8">
      <c r="A173" s="847" t="s">
        <v>1281</v>
      </c>
      <c r="B173" s="768"/>
      <c r="C173" s="76"/>
      <c r="D173" s="34"/>
      <c r="E173" s="26"/>
      <c r="F173" s="25"/>
      <c r="G173" s="37"/>
      <c r="H173" s="530"/>
    </row>
    <row r="174" spans="1:8">
      <c r="A174" s="767" t="s">
        <v>1223</v>
      </c>
      <c r="B174" s="768"/>
      <c r="C174" s="619">
        <f>Piercap!N151</f>
        <v>3.3292682926829271</v>
      </c>
      <c r="D174" s="37">
        <f>Piercap!K58</f>
        <v>1.1268036392971166</v>
      </c>
      <c r="E174" s="38">
        <f>Piercap!K57</f>
        <v>0.3100235139130102</v>
      </c>
      <c r="F174" s="65">
        <f>C174*10^7/2/(D174*10^6)/(E174*10^3)</f>
        <v>4.765142840276837E-2</v>
      </c>
      <c r="G174" s="37">
        <f>Piercap!K54</f>
        <v>0.82455124809451674</v>
      </c>
      <c r="H174" s="480">
        <f>F174*100*E174*G174</f>
        <v>1.2181147762735278</v>
      </c>
    </row>
    <row r="175" spans="1:8">
      <c r="A175" s="767"/>
      <c r="B175" s="768"/>
      <c r="C175" s="76"/>
      <c r="D175" s="34"/>
      <c r="E175" s="26"/>
      <c r="F175" s="25"/>
      <c r="G175" s="34"/>
      <c r="H175" s="530"/>
    </row>
    <row r="176" spans="1:8">
      <c r="A176" s="864"/>
      <c r="B176" s="831"/>
      <c r="C176" s="28"/>
      <c r="D176" s="58"/>
      <c r="E176" s="15"/>
      <c r="F176" s="28"/>
      <c r="G176" s="58"/>
      <c r="H176" s="531"/>
    </row>
    <row r="178" spans="1:19">
      <c r="A178" s="933" t="s">
        <v>1344</v>
      </c>
      <c r="B178" s="934"/>
      <c r="C178" s="935"/>
      <c r="D178" s="24"/>
      <c r="E178" s="24"/>
      <c r="F178" s="935"/>
      <c r="G178" s="935"/>
      <c r="H178" s="935"/>
      <c r="I178" s="935"/>
      <c r="J178" s="935"/>
      <c r="K178" s="935"/>
      <c r="L178" s="935"/>
      <c r="M178" s="935"/>
      <c r="N178" s="935"/>
      <c r="O178" s="935"/>
      <c r="P178" s="935"/>
      <c r="Q178" s="936"/>
    </row>
    <row r="179" spans="1:19">
      <c r="A179" s="1828" t="s">
        <v>1259</v>
      </c>
      <c r="B179" s="1828"/>
      <c r="C179" s="1829" t="s">
        <v>1345</v>
      </c>
      <c r="D179" s="1829" t="s">
        <v>1346</v>
      </c>
      <c r="E179" s="1829" t="s">
        <v>1347</v>
      </c>
      <c r="F179" s="1794" t="s">
        <v>1326</v>
      </c>
      <c r="G179" s="1832" t="s">
        <v>219</v>
      </c>
      <c r="H179" s="1794" t="s">
        <v>1348</v>
      </c>
      <c r="I179" s="1833" t="s">
        <v>1349</v>
      </c>
      <c r="J179" s="1836" t="s">
        <v>1350</v>
      </c>
      <c r="K179" s="1881" t="s">
        <v>1351</v>
      </c>
      <c r="L179" s="1923" t="s">
        <v>1352</v>
      </c>
      <c r="M179" s="1924"/>
      <c r="N179" s="1925"/>
      <c r="O179" s="1850" t="s">
        <v>1353</v>
      </c>
      <c r="P179" s="1932" t="s">
        <v>125</v>
      </c>
      <c r="Q179" s="1873" t="s">
        <v>1354</v>
      </c>
    </row>
    <row r="180" spans="1:19">
      <c r="A180" s="1828"/>
      <c r="B180" s="1828"/>
      <c r="C180" s="1830"/>
      <c r="D180" s="1830"/>
      <c r="E180" s="1830"/>
      <c r="F180" s="1794"/>
      <c r="G180" s="1832"/>
      <c r="H180" s="1794"/>
      <c r="I180" s="1834"/>
      <c r="J180" s="1836"/>
      <c r="K180" s="1882"/>
      <c r="L180" s="1926"/>
      <c r="M180" s="1927"/>
      <c r="N180" s="1928"/>
      <c r="O180" s="1851"/>
      <c r="P180" s="1933"/>
      <c r="Q180" s="1874"/>
    </row>
    <row r="181" spans="1:19">
      <c r="A181" s="1828"/>
      <c r="B181" s="1828"/>
      <c r="C181" s="1830"/>
      <c r="D181" s="1830"/>
      <c r="E181" s="1830"/>
      <c r="F181" s="1794"/>
      <c r="G181" s="1832"/>
      <c r="H181" s="1794"/>
      <c r="I181" s="1834"/>
      <c r="J181" s="1836"/>
      <c r="K181" s="1882"/>
      <c r="L181" s="1926"/>
      <c r="M181" s="1927"/>
      <c r="N181" s="1928"/>
      <c r="O181" s="1851"/>
      <c r="P181" s="1933"/>
      <c r="Q181" s="1874"/>
    </row>
    <row r="182" spans="1:19">
      <c r="A182" s="1828"/>
      <c r="B182" s="1828"/>
      <c r="C182" s="1830"/>
      <c r="D182" s="1830"/>
      <c r="E182" s="1830"/>
      <c r="F182" s="1794"/>
      <c r="G182" s="1832"/>
      <c r="H182" s="1794"/>
      <c r="I182" s="1834"/>
      <c r="J182" s="1836"/>
      <c r="K182" s="1882"/>
      <c r="L182" s="1929"/>
      <c r="M182" s="1930"/>
      <c r="N182" s="1931"/>
      <c r="O182" s="1935"/>
      <c r="P182" s="1933"/>
      <c r="Q182" s="1874"/>
    </row>
    <row r="183" spans="1:19">
      <c r="A183" s="1828"/>
      <c r="B183" s="1828"/>
      <c r="C183" s="1831"/>
      <c r="D183" s="1831"/>
      <c r="E183" s="1831"/>
      <c r="F183" s="1794"/>
      <c r="G183" s="1832"/>
      <c r="H183" s="1794"/>
      <c r="I183" s="1835"/>
      <c r="J183" s="1836"/>
      <c r="K183" s="1883"/>
      <c r="L183" s="939" t="s">
        <v>1355</v>
      </c>
      <c r="M183" s="297" t="s">
        <v>607</v>
      </c>
      <c r="N183" s="940" t="s">
        <v>1356</v>
      </c>
      <c r="O183" s="1939" t="s">
        <v>410</v>
      </c>
      <c r="P183" s="1933"/>
      <c r="Q183" s="1875"/>
    </row>
    <row r="184" spans="1:19" ht="17.25">
      <c r="A184" s="899"/>
      <c r="B184" s="932"/>
      <c r="C184" s="405" t="s">
        <v>51</v>
      </c>
      <c r="D184" s="405" t="s">
        <v>51</v>
      </c>
      <c r="E184" s="405" t="s">
        <v>51</v>
      </c>
      <c r="F184" s="405" t="s">
        <v>2</v>
      </c>
      <c r="G184" s="406" t="s">
        <v>2</v>
      </c>
      <c r="H184" s="802" t="s">
        <v>168</v>
      </c>
      <c r="I184" s="842" t="s">
        <v>410</v>
      </c>
      <c r="J184" s="652"/>
      <c r="K184" s="651" t="s">
        <v>410</v>
      </c>
      <c r="L184" s="939" t="s">
        <v>1276</v>
      </c>
      <c r="M184" s="297" t="s">
        <v>5</v>
      </c>
      <c r="N184" s="940" t="s">
        <v>5</v>
      </c>
      <c r="O184" s="1940"/>
      <c r="P184" s="1934"/>
      <c r="Q184" s="405" t="s">
        <v>51</v>
      </c>
    </row>
    <row r="185" spans="1:19">
      <c r="A185" s="847" t="s">
        <v>1278</v>
      </c>
      <c r="B185" s="843"/>
      <c r="C185" s="34"/>
      <c r="D185" s="34"/>
      <c r="E185" s="34"/>
      <c r="F185" s="34"/>
      <c r="G185" s="26"/>
      <c r="H185" s="25"/>
      <c r="I185" s="36"/>
      <c r="J185" s="27"/>
      <c r="K185" s="26"/>
      <c r="L185" s="25"/>
      <c r="M185" s="34"/>
      <c r="N185" s="27"/>
      <c r="O185" s="34"/>
      <c r="P185" s="530"/>
      <c r="Q185" s="36"/>
    </row>
    <row r="186" spans="1:19">
      <c r="A186" s="767" t="s">
        <v>1223</v>
      </c>
      <c r="B186" s="768"/>
      <c r="C186" s="480">
        <f>C151</f>
        <v>220.95422948431636</v>
      </c>
      <c r="D186" s="480">
        <f>H168</f>
        <v>1.2084010840108403</v>
      </c>
      <c r="E186" s="480">
        <f>C186+D186</f>
        <v>222.16263056832719</v>
      </c>
      <c r="F186" s="530">
        <f>D151</f>
        <v>2500</v>
      </c>
      <c r="G186" s="450">
        <f>F151</f>
        <v>798.30000000000007</v>
      </c>
      <c r="H186" s="156">
        <f>N151</f>
        <v>45</v>
      </c>
      <c r="I186" s="530">
        <f>E186*10^4/G186/$G$5/(1/TAN(RADIANS(H186)))*1000</f>
        <v>6957.3666093049969</v>
      </c>
      <c r="J186" s="973">
        <f>(0.072*SQRT($G$3))/$G$4</f>
        <v>8.5191548876634474E-4</v>
      </c>
      <c r="K186" s="941">
        <f>J186*N186*F186</f>
        <v>319.46830828737927</v>
      </c>
      <c r="L186" s="942">
        <v>6</v>
      </c>
      <c r="M186" s="943">
        <v>16</v>
      </c>
      <c r="N186" s="929">
        <v>150</v>
      </c>
      <c r="O186" s="530">
        <f>PI()*M186^2/4*L186*1000/N186</f>
        <v>8042.4771931898704</v>
      </c>
      <c r="P186" s="944" t="str">
        <f>IF(O186&gt;MAX(I186,K186),"OK","REVISE")</f>
        <v>OK</v>
      </c>
      <c r="Q186" s="37">
        <f>0.5*E186*(1/TAN(RADIANS(H186)))</f>
        <v>111.08131528416359</v>
      </c>
      <c r="S186" s="1">
        <f>26/4</f>
        <v>6.5</v>
      </c>
    </row>
    <row r="187" spans="1:19">
      <c r="A187" s="767"/>
      <c r="B187" s="768"/>
      <c r="C187" s="480"/>
      <c r="D187" s="480"/>
      <c r="E187" s="480"/>
      <c r="F187" s="530"/>
      <c r="G187" s="450"/>
      <c r="H187" s="156"/>
      <c r="I187" s="530"/>
      <c r="J187" s="973"/>
      <c r="K187" s="941"/>
      <c r="L187" s="945"/>
      <c r="M187" s="946"/>
      <c r="N187" s="931"/>
      <c r="O187" s="947"/>
      <c r="P187" s="947"/>
      <c r="Q187" s="598"/>
    </row>
    <row r="188" spans="1:19">
      <c r="A188" s="847" t="s">
        <v>1280</v>
      </c>
      <c r="B188" s="768"/>
      <c r="C188" s="480"/>
      <c r="D188" s="480"/>
      <c r="E188" s="480"/>
      <c r="F188" s="530"/>
      <c r="G188" s="450"/>
      <c r="H188" s="156"/>
      <c r="I188" s="530"/>
      <c r="J188" s="973"/>
      <c r="K188" s="941"/>
      <c r="L188" s="945"/>
      <c r="M188" s="946"/>
      <c r="N188" s="931"/>
      <c r="O188" s="947"/>
      <c r="P188" s="947"/>
      <c r="Q188" s="598"/>
    </row>
    <row r="189" spans="1:19">
      <c r="A189" s="767" t="s">
        <v>1223</v>
      </c>
      <c r="B189" s="768"/>
      <c r="C189" s="480">
        <f>C154</f>
        <v>212.96078529638166</v>
      </c>
      <c r="D189" s="480">
        <f>H171</f>
        <v>1.219358417516442</v>
      </c>
      <c r="E189" s="480">
        <f>C189+D189</f>
        <v>214.1801437138981</v>
      </c>
      <c r="F189" s="530">
        <f>D154</f>
        <v>2500</v>
      </c>
      <c r="G189" s="450">
        <f>F154</f>
        <v>623.04232602896093</v>
      </c>
      <c r="H189" s="156">
        <f>N154</f>
        <v>45</v>
      </c>
      <c r="I189" s="530">
        <f>E189*10^4/G189/$G$5/(1/TAN(RADIANS(H189)))*1000</f>
        <v>8594.1249400743909</v>
      </c>
      <c r="J189" s="973">
        <f>(0.072*SQRT($G$3))/$G$4</f>
        <v>8.5191548876634474E-4</v>
      </c>
      <c r="K189" s="941">
        <f>J189*N189*F189</f>
        <v>319.46830828737927</v>
      </c>
      <c r="L189" s="942">
        <f>L186</f>
        <v>6</v>
      </c>
      <c r="M189" s="943">
        <v>16</v>
      </c>
      <c r="N189" s="929">
        <f>N186</f>
        <v>150</v>
      </c>
      <c r="O189" s="530">
        <f>PI()*M189^2/4*L189*1000/N189</f>
        <v>8042.4771931898704</v>
      </c>
      <c r="P189" s="944" t="str">
        <f>IF(O189&gt;MAX(I189,K189),"OK","REVISE")</f>
        <v>REVISE</v>
      </c>
      <c r="Q189" s="37">
        <f>0.5*E189*(1/TAN(RADIANS(H189)))</f>
        <v>107.09007185694905</v>
      </c>
    </row>
    <row r="190" spans="1:19">
      <c r="A190" s="767"/>
      <c r="B190" s="768"/>
      <c r="C190" s="480"/>
      <c r="D190" s="480"/>
      <c r="E190" s="480"/>
      <c r="F190" s="530"/>
      <c r="G190" s="450"/>
      <c r="H190" s="156"/>
      <c r="I190" s="530"/>
      <c r="J190" s="973"/>
      <c r="K190" s="941"/>
      <c r="L190" s="945"/>
      <c r="M190" s="946"/>
      <c r="N190" s="931"/>
      <c r="O190" s="947"/>
      <c r="P190" s="947"/>
      <c r="Q190" s="598"/>
    </row>
    <row r="191" spans="1:19">
      <c r="A191" s="847" t="s">
        <v>1281</v>
      </c>
      <c r="B191" s="768"/>
      <c r="C191" s="480"/>
      <c r="D191" s="480"/>
      <c r="E191" s="480"/>
      <c r="F191" s="530"/>
      <c r="G191" s="450"/>
      <c r="H191" s="156"/>
      <c r="I191" s="530"/>
      <c r="J191" s="973"/>
      <c r="K191" s="941"/>
      <c r="L191" s="945"/>
      <c r="M191" s="946"/>
      <c r="N191" s="931"/>
      <c r="O191" s="947"/>
      <c r="P191" s="947"/>
      <c r="Q191" s="598"/>
    </row>
    <row r="192" spans="1:19">
      <c r="A192" s="767" t="s">
        <v>1223</v>
      </c>
      <c r="B192" s="768"/>
      <c r="C192" s="480">
        <f>C157</f>
        <v>213.57353562294568</v>
      </c>
      <c r="D192" s="480">
        <f>H174</f>
        <v>1.2181147762735278</v>
      </c>
      <c r="E192" s="480">
        <f>C192+D192</f>
        <v>214.79165039921921</v>
      </c>
      <c r="F192" s="530">
        <f>D157</f>
        <v>2500</v>
      </c>
      <c r="G192" s="450">
        <f>F157</f>
        <v>640.39612328506507</v>
      </c>
      <c r="H192" s="156">
        <f>N157</f>
        <v>45</v>
      </c>
      <c r="I192" s="530">
        <f>E192*10^4/G192/$G$5/(1/TAN(RADIANS(H192)))*1000</f>
        <v>8385.1089423134727</v>
      </c>
      <c r="J192" s="973">
        <f>(0.072*SQRT($G$3))/$G$4</f>
        <v>8.5191548876634474E-4</v>
      </c>
      <c r="K192" s="941">
        <f>J192*N192*F192</f>
        <v>212.97887219158619</v>
      </c>
      <c r="L192" s="942">
        <v>6</v>
      </c>
      <c r="M192" s="943">
        <v>16</v>
      </c>
      <c r="N192" s="929">
        <v>100</v>
      </c>
      <c r="O192" s="530">
        <f>PI()*M192^2/4*L192*1000/N192</f>
        <v>12063.715789784805</v>
      </c>
      <c r="P192" s="944" t="str">
        <f>IF(O192&gt;MAX(I192,K192),"OK","REVISE")</f>
        <v>OK</v>
      </c>
      <c r="Q192" s="37">
        <f>0.5*E192*(1/TAN(RADIANS(H192)))</f>
        <v>107.3958251996096</v>
      </c>
    </row>
    <row r="193" spans="1:17">
      <c r="A193" s="767"/>
      <c r="B193" s="768"/>
      <c r="C193" s="37"/>
      <c r="D193" s="37"/>
      <c r="E193" s="37"/>
      <c r="F193" s="34"/>
      <c r="G193" s="26"/>
      <c r="H193" s="25"/>
      <c r="I193" s="34"/>
      <c r="J193" s="706"/>
      <c r="K193" s="26"/>
      <c r="L193" s="948"/>
      <c r="M193" s="269"/>
      <c r="N193" s="930"/>
      <c r="O193" s="89"/>
      <c r="P193" s="947"/>
      <c r="Q193" s="598"/>
    </row>
    <row r="194" spans="1:17">
      <c r="A194" s="864"/>
      <c r="B194" s="831"/>
      <c r="C194" s="58"/>
      <c r="D194" s="58"/>
      <c r="E194" s="58"/>
      <c r="F194" s="58"/>
      <c r="G194" s="15"/>
      <c r="H194" s="28"/>
      <c r="I194" s="58"/>
      <c r="J194" s="22"/>
      <c r="K194" s="15"/>
      <c r="L194" s="28"/>
      <c r="M194" s="58"/>
      <c r="N194" s="22"/>
      <c r="O194" s="58"/>
      <c r="P194" s="531"/>
      <c r="Q194" s="58"/>
    </row>
    <row r="195" spans="1:17" ht="18">
      <c r="A195" s="768" t="s">
        <v>1357</v>
      </c>
      <c r="B195" s="768" t="s">
        <v>1</v>
      </c>
      <c r="C195" s="1" t="s">
        <v>1358</v>
      </c>
    </row>
    <row r="196" spans="1:17">
      <c r="A196" s="933" t="s">
        <v>1416</v>
      </c>
      <c r="B196" s="934"/>
      <c r="C196" s="935"/>
      <c r="D196" s="24"/>
      <c r="E196" s="24"/>
      <c r="F196" s="935"/>
      <c r="G196" s="935"/>
      <c r="H196" s="935"/>
      <c r="I196" s="935"/>
      <c r="J196" s="935"/>
      <c r="K196" s="935"/>
      <c r="L196" s="935"/>
      <c r="M196" s="935"/>
      <c r="N196" s="936"/>
    </row>
    <row r="197" spans="1:17">
      <c r="A197" s="1828" t="s">
        <v>1259</v>
      </c>
      <c r="B197" s="1828"/>
      <c r="C197" s="1829" t="s">
        <v>1339</v>
      </c>
      <c r="D197" s="1917" t="s">
        <v>1326</v>
      </c>
      <c r="E197" s="1832" t="s">
        <v>1234</v>
      </c>
      <c r="F197" s="1794" t="s">
        <v>1348</v>
      </c>
      <c r="G197" s="1833" t="s">
        <v>1417</v>
      </c>
      <c r="H197" s="1836" t="s">
        <v>1350</v>
      </c>
      <c r="I197" s="1881" t="s">
        <v>1351</v>
      </c>
      <c r="J197" s="1923" t="s">
        <v>1352</v>
      </c>
      <c r="K197" s="1924"/>
      <c r="L197" s="1925"/>
      <c r="M197" s="1850" t="s">
        <v>1353</v>
      </c>
      <c r="N197" s="1936" t="s">
        <v>125</v>
      </c>
    </row>
    <row r="198" spans="1:17">
      <c r="A198" s="1828"/>
      <c r="B198" s="1828"/>
      <c r="C198" s="1830"/>
      <c r="D198" s="1918"/>
      <c r="E198" s="1832"/>
      <c r="F198" s="1794"/>
      <c r="G198" s="1834"/>
      <c r="H198" s="1836"/>
      <c r="I198" s="1882"/>
      <c r="J198" s="1926"/>
      <c r="K198" s="1927"/>
      <c r="L198" s="1928"/>
      <c r="M198" s="1851"/>
      <c r="N198" s="1937"/>
    </row>
    <row r="199" spans="1:17">
      <c r="A199" s="1828"/>
      <c r="B199" s="1828"/>
      <c r="C199" s="1830"/>
      <c r="D199" s="1918"/>
      <c r="E199" s="1832"/>
      <c r="F199" s="1794"/>
      <c r="G199" s="1834"/>
      <c r="H199" s="1836"/>
      <c r="I199" s="1882"/>
      <c r="J199" s="1926"/>
      <c r="K199" s="1927"/>
      <c r="L199" s="1928"/>
      <c r="M199" s="1851"/>
      <c r="N199" s="1937"/>
    </row>
    <row r="200" spans="1:17">
      <c r="A200" s="1828"/>
      <c r="B200" s="1828"/>
      <c r="C200" s="1830"/>
      <c r="D200" s="1918"/>
      <c r="E200" s="1832"/>
      <c r="F200" s="1794"/>
      <c r="G200" s="1834"/>
      <c r="H200" s="1836"/>
      <c r="I200" s="1882"/>
      <c r="J200" s="1929"/>
      <c r="K200" s="1930"/>
      <c r="L200" s="1931"/>
      <c r="M200" s="1935"/>
      <c r="N200" s="1937"/>
    </row>
    <row r="201" spans="1:17">
      <c r="A201" s="1828"/>
      <c r="B201" s="1828"/>
      <c r="C201" s="1831"/>
      <c r="D201" s="1919"/>
      <c r="E201" s="1832"/>
      <c r="F201" s="1794"/>
      <c r="G201" s="1835"/>
      <c r="H201" s="1836"/>
      <c r="I201" s="1883"/>
      <c r="J201" s="937" t="s">
        <v>1355</v>
      </c>
      <c r="K201" s="938" t="s">
        <v>607</v>
      </c>
      <c r="L201" s="520" t="s">
        <v>1356</v>
      </c>
      <c r="M201" s="1939" t="s">
        <v>410</v>
      </c>
      <c r="N201" s="1937"/>
    </row>
    <row r="202" spans="1:17" ht="17.25">
      <c r="A202" s="899"/>
      <c r="B202" s="932"/>
      <c r="C202" s="838" t="s">
        <v>77</v>
      </c>
      <c r="D202" s="838" t="s">
        <v>2</v>
      </c>
      <c r="E202" s="406" t="s">
        <v>458</v>
      </c>
      <c r="F202" s="818" t="s">
        <v>168</v>
      </c>
      <c r="G202" s="842" t="s">
        <v>410</v>
      </c>
      <c r="H202" s="652"/>
      <c r="I202" s="651" t="s">
        <v>410</v>
      </c>
      <c r="J202" s="939" t="s">
        <v>1276</v>
      </c>
      <c r="K202" s="297" t="s">
        <v>5</v>
      </c>
      <c r="L202" s="940" t="s">
        <v>5</v>
      </c>
      <c r="M202" s="1940"/>
      <c r="N202" s="1938"/>
    </row>
    <row r="203" spans="1:17">
      <c r="A203" s="847" t="s">
        <v>1278</v>
      </c>
      <c r="B203" s="843"/>
      <c r="C203" s="34"/>
      <c r="D203" s="34"/>
      <c r="E203" s="26"/>
      <c r="F203" s="25"/>
      <c r="G203" s="36"/>
      <c r="H203" s="27"/>
      <c r="I203" s="26"/>
      <c r="J203" s="25"/>
      <c r="K203" s="34"/>
      <c r="L203" s="27"/>
      <c r="M203" s="34"/>
      <c r="N203" s="869"/>
    </row>
    <row r="204" spans="1:17">
      <c r="A204" s="767" t="s">
        <v>1223</v>
      </c>
      <c r="B204" s="768"/>
      <c r="C204" s="480">
        <f>C168</f>
        <v>3.3292682926829271</v>
      </c>
      <c r="D204" s="869">
        <f>D151</f>
        <v>2500</v>
      </c>
      <c r="E204" s="419">
        <f>D168</f>
        <v>1.3775510204081631</v>
      </c>
      <c r="F204" s="923">
        <f>N151</f>
        <v>45</v>
      </c>
      <c r="G204" s="974">
        <f>C204*10^7/2/(E204*10^6)/$G$4/(1/TAN(RADIANS(F204)))*1000</f>
        <v>24.168021680216807</v>
      </c>
      <c r="H204" s="973">
        <f>(0.072*SQRT($G$3))/$G$4</f>
        <v>8.5191548876634474E-4</v>
      </c>
      <c r="I204" s="941">
        <f>H204*L204*D204</f>
        <v>319.46830828737927</v>
      </c>
      <c r="J204" s="942">
        <v>2</v>
      </c>
      <c r="K204" s="943">
        <f>M186</f>
        <v>16</v>
      </c>
      <c r="L204" s="943">
        <f>N186</f>
        <v>150</v>
      </c>
      <c r="M204" s="869">
        <f>PI()*K204^2/4*J204*1000/L204</f>
        <v>2680.8257310632898</v>
      </c>
      <c r="N204" s="944" t="str">
        <f>IF(M204&gt;MAX(G204,I204),"OK","REVISE")</f>
        <v>OK</v>
      </c>
    </row>
    <row r="205" spans="1:17">
      <c r="A205" s="767"/>
      <c r="B205" s="768"/>
      <c r="C205" s="480"/>
      <c r="D205" s="869"/>
      <c r="E205" s="924"/>
      <c r="F205" s="923"/>
      <c r="G205" s="869"/>
      <c r="H205" s="973"/>
      <c r="I205" s="941"/>
      <c r="J205" s="945"/>
      <c r="K205" s="946"/>
      <c r="L205" s="931"/>
      <c r="M205" s="947"/>
      <c r="N205" s="947"/>
    </row>
    <row r="206" spans="1:17">
      <c r="A206" s="847" t="s">
        <v>1280</v>
      </c>
      <c r="B206" s="768"/>
      <c r="C206" s="480"/>
      <c r="D206" s="869"/>
      <c r="E206" s="924"/>
      <c r="F206" s="923"/>
      <c r="G206" s="869"/>
      <c r="H206" s="973"/>
      <c r="I206" s="941"/>
      <c r="J206" s="945"/>
      <c r="K206" s="946"/>
      <c r="L206" s="931"/>
      <c r="M206" s="947"/>
      <c r="N206" s="947"/>
    </row>
    <row r="207" spans="1:17">
      <c r="A207" s="767" t="s">
        <v>1223</v>
      </c>
      <c r="B207" s="768"/>
      <c r="C207" s="480">
        <f>C171</f>
        <v>3.3292682926829271</v>
      </c>
      <c r="D207" s="869">
        <f>D154</f>
        <v>2500</v>
      </c>
      <c r="E207" s="419">
        <f>D171</f>
        <v>1.099331150870466</v>
      </c>
      <c r="F207" s="923">
        <f>N154</f>
        <v>45</v>
      </c>
      <c r="G207" s="974">
        <f>C207*10^7/2/(E207*10^6)/$G$4/(1/TAN(RADIANS(F207)))*1000</f>
        <v>30.284489710373126</v>
      </c>
      <c r="H207" s="973">
        <f>(0.072*SQRT($G$3))/$G$4</f>
        <v>8.5191548876634474E-4</v>
      </c>
      <c r="I207" s="941">
        <f>H207*L207*D207</f>
        <v>319.46830828737927</v>
      </c>
      <c r="J207" s="942">
        <v>2</v>
      </c>
      <c r="K207" s="943">
        <f>M189</f>
        <v>16</v>
      </c>
      <c r="L207" s="943">
        <f>N189</f>
        <v>150</v>
      </c>
      <c r="M207" s="869">
        <f>PI()*K207^2/4*J207*1000/L207</f>
        <v>2680.8257310632898</v>
      </c>
      <c r="N207" s="944" t="str">
        <f>IF(M207&gt;MAX(G207,I207),"OK","REVISE")</f>
        <v>OK</v>
      </c>
    </row>
    <row r="208" spans="1:17">
      <c r="A208" s="767"/>
      <c r="B208" s="768"/>
      <c r="C208" s="480"/>
      <c r="D208" s="869"/>
      <c r="E208" s="924"/>
      <c r="F208" s="923"/>
      <c r="G208" s="869"/>
      <c r="H208" s="973"/>
      <c r="I208" s="941"/>
      <c r="J208" s="945"/>
      <c r="K208" s="946"/>
      <c r="L208" s="931"/>
      <c r="M208" s="947"/>
      <c r="N208" s="947"/>
    </row>
    <row r="209" spans="1:14">
      <c r="A209" s="847" t="s">
        <v>1281</v>
      </c>
      <c r="B209" s="768"/>
      <c r="C209" s="480"/>
      <c r="D209" s="869"/>
      <c r="E209" s="924"/>
      <c r="F209" s="923"/>
      <c r="G209" s="869"/>
      <c r="H209" s="973"/>
      <c r="I209" s="941"/>
      <c r="J209" s="945"/>
      <c r="K209" s="946"/>
      <c r="L209" s="931"/>
      <c r="M209" s="947"/>
      <c r="N209" s="947"/>
    </row>
    <row r="210" spans="1:14">
      <c r="A210" s="767" t="s">
        <v>1223</v>
      </c>
      <c r="B210" s="768"/>
      <c r="C210" s="480">
        <f>C174</f>
        <v>3.3292682926829271</v>
      </c>
      <c r="D210" s="869">
        <f>D157</f>
        <v>2500</v>
      </c>
      <c r="E210" s="419">
        <f>D174</f>
        <v>1.1268036392971166</v>
      </c>
      <c r="F210" s="923">
        <f>N157</f>
        <v>45</v>
      </c>
      <c r="G210" s="974">
        <f>C210*10^7/2/(E210*10^6)/$G$4/(1/TAN(RADIANS(F210)))*1000</f>
        <v>29.546126552800942</v>
      </c>
      <c r="H210" s="973">
        <f>(0.072*SQRT($G$3))/$G$4</f>
        <v>8.5191548876634474E-4</v>
      </c>
      <c r="I210" s="941">
        <f>H210*L210*D210</f>
        <v>212.97887219158619</v>
      </c>
      <c r="J210" s="942">
        <v>2</v>
      </c>
      <c r="K210" s="943">
        <f>M192</f>
        <v>16</v>
      </c>
      <c r="L210" s="943">
        <f>N192</f>
        <v>100</v>
      </c>
      <c r="M210" s="869">
        <f>PI()*K210^2/4*J210*1000/L210</f>
        <v>4021.2385965949347</v>
      </c>
      <c r="N210" s="944" t="str">
        <f>IF(M210&gt;MAX(G210,I210),"OK","REVISE")</f>
        <v>OK</v>
      </c>
    </row>
    <row r="211" spans="1:14">
      <c r="A211" s="767"/>
      <c r="B211" s="768"/>
      <c r="C211" s="37"/>
      <c r="D211" s="34"/>
      <c r="E211" s="26"/>
      <c r="F211" s="25"/>
      <c r="G211" s="34"/>
      <c r="H211" s="706"/>
      <c r="I211" s="26"/>
      <c r="J211" s="948"/>
      <c r="K211" s="269"/>
      <c r="L211" s="930"/>
      <c r="M211" s="89"/>
      <c r="N211" s="947"/>
    </row>
    <row r="212" spans="1:14">
      <c r="A212" s="864"/>
      <c r="B212" s="831"/>
      <c r="C212" s="58"/>
      <c r="D212" s="58"/>
      <c r="E212" s="15"/>
      <c r="F212" s="28"/>
      <c r="G212" s="58"/>
      <c r="H212" s="22"/>
      <c r="I212" s="15"/>
      <c r="J212" s="28"/>
      <c r="K212" s="58"/>
      <c r="L212" s="22"/>
      <c r="M212" s="58"/>
      <c r="N212" s="870"/>
    </row>
    <row r="214" spans="1:14">
      <c r="A214" s="9" t="s">
        <v>1359</v>
      </c>
    </row>
    <row r="215" spans="1:14">
      <c r="A215" s="1828" t="s">
        <v>1259</v>
      </c>
      <c r="B215" s="1828"/>
      <c r="C215" s="1953" t="s">
        <v>1339</v>
      </c>
      <c r="D215" s="1794" t="s">
        <v>433</v>
      </c>
      <c r="E215" s="1832" t="s">
        <v>1360</v>
      </c>
      <c r="F215" s="1806" t="s">
        <v>1361</v>
      </c>
      <c r="G215" s="1941" t="s">
        <v>1362</v>
      </c>
      <c r="H215" s="1944" t="s">
        <v>1340</v>
      </c>
      <c r="I215" s="1941" t="s">
        <v>1363</v>
      </c>
      <c r="J215" s="1963" t="s">
        <v>68</v>
      </c>
      <c r="K215" s="1941" t="s">
        <v>1364</v>
      </c>
      <c r="L215" s="1951" t="s">
        <v>125</v>
      </c>
      <c r="M215" s="1952"/>
    </row>
    <row r="216" spans="1:14">
      <c r="A216" s="1828"/>
      <c r="B216" s="1828"/>
      <c r="C216" s="1953"/>
      <c r="D216" s="1794"/>
      <c r="E216" s="1832"/>
      <c r="F216" s="1849"/>
      <c r="G216" s="1942"/>
      <c r="H216" s="1945"/>
      <c r="I216" s="1942"/>
      <c r="J216" s="1942"/>
      <c r="K216" s="1942"/>
      <c r="L216" s="1947" t="s">
        <v>1365</v>
      </c>
      <c r="M216" s="1948"/>
    </row>
    <row r="217" spans="1:14">
      <c r="A217" s="1828"/>
      <c r="B217" s="1828"/>
      <c r="C217" s="1953"/>
      <c r="D217" s="1794"/>
      <c r="E217" s="1832"/>
      <c r="F217" s="1849"/>
      <c r="G217" s="1942"/>
      <c r="H217" s="1945"/>
      <c r="I217" s="1942"/>
      <c r="J217" s="1942"/>
      <c r="K217" s="1942"/>
      <c r="L217" s="1947"/>
      <c r="M217" s="1948"/>
    </row>
    <row r="218" spans="1:14">
      <c r="A218" s="1828"/>
      <c r="B218" s="1828"/>
      <c r="C218" s="1953"/>
      <c r="D218" s="1794"/>
      <c r="E218" s="1832"/>
      <c r="F218" s="1849"/>
      <c r="G218" s="1942"/>
      <c r="H218" s="1945"/>
      <c r="I218" s="1942"/>
      <c r="J218" s="1942"/>
      <c r="K218" s="1942"/>
      <c r="L218" s="1947"/>
      <c r="M218" s="1948"/>
    </row>
    <row r="219" spans="1:14">
      <c r="A219" s="1828"/>
      <c r="B219" s="1828"/>
      <c r="C219" s="1953"/>
      <c r="D219" s="1794"/>
      <c r="E219" s="1832"/>
      <c r="F219" s="1807"/>
      <c r="G219" s="1943"/>
      <c r="H219" s="1946"/>
      <c r="I219" s="1943"/>
      <c r="J219" s="1943"/>
      <c r="K219" s="1943"/>
      <c r="L219" s="1947"/>
      <c r="M219" s="1948"/>
    </row>
    <row r="220" spans="1:14" ht="17.25">
      <c r="A220" s="899"/>
      <c r="B220" s="932"/>
      <c r="C220" s="802" t="s">
        <v>77</v>
      </c>
      <c r="D220" s="405" t="s">
        <v>458</v>
      </c>
      <c r="E220" s="406" t="s">
        <v>51</v>
      </c>
      <c r="F220" s="405"/>
      <c r="G220" s="801"/>
      <c r="H220" s="405" t="s">
        <v>458</v>
      </c>
      <c r="I220" s="405" t="s">
        <v>2</v>
      </c>
      <c r="J220" s="949" t="s">
        <v>168</v>
      </c>
      <c r="K220" s="802" t="s">
        <v>77</v>
      </c>
      <c r="L220" s="1949"/>
      <c r="M220" s="1950"/>
    </row>
    <row r="221" spans="1:14">
      <c r="A221" s="847" t="s">
        <v>1278</v>
      </c>
      <c r="B221" s="843"/>
      <c r="C221" s="156"/>
      <c r="D221" s="530"/>
      <c r="E221" s="450"/>
      <c r="F221" s="530"/>
      <c r="G221" s="530"/>
      <c r="H221" s="450"/>
      <c r="I221" s="530"/>
      <c r="J221" s="950"/>
      <c r="K221" s="156"/>
      <c r="L221" s="156"/>
      <c r="M221" s="136"/>
    </row>
    <row r="222" spans="1:14">
      <c r="A222" s="767" t="s">
        <v>1223</v>
      </c>
      <c r="B222" s="768"/>
      <c r="C222" s="972">
        <f>Piercap!N113</f>
        <v>3.3292682926829271</v>
      </c>
      <c r="D222" s="480">
        <f>C151</f>
        <v>220.95422948431636</v>
      </c>
      <c r="E222" s="419">
        <f>I151</f>
        <v>936.00675000000001</v>
      </c>
      <c r="F222" s="480">
        <f>0.6*(1-$G$3/310)</f>
        <v>0.532258064516129</v>
      </c>
      <c r="G222" s="943">
        <v>1</v>
      </c>
      <c r="H222" s="419">
        <f>Piercap!G58</f>
        <v>1.3775510204081631</v>
      </c>
      <c r="I222" s="480">
        <f>Piercap!G57</f>
        <v>0.35714285714285715</v>
      </c>
      <c r="J222" s="950">
        <f>H186</f>
        <v>45</v>
      </c>
      <c r="K222" s="951">
        <f>2*F222*G222*$G$12*(H222*10^6)*(I222*1000)*SIN(RADIANS(J222))*COS(RADIANS(J222))/10^7</f>
        <v>409.37705727452271</v>
      </c>
      <c r="L222" s="952">
        <f>C222/K222+D222/E222</f>
        <v>0.24419303152725769</v>
      </c>
      <c r="M222" s="944" t="str">
        <f>IF(L222&lt;=1,"OK", "REVISE SECTION")</f>
        <v>OK</v>
      </c>
    </row>
    <row r="223" spans="1:14">
      <c r="A223" s="767"/>
      <c r="B223" s="768"/>
      <c r="C223" s="479"/>
      <c r="D223" s="530"/>
      <c r="E223" s="450"/>
      <c r="F223" s="480"/>
      <c r="G223" s="530"/>
      <c r="H223" s="419"/>
      <c r="I223" s="530"/>
      <c r="J223" s="950"/>
      <c r="K223" s="951"/>
      <c r="L223" s="945"/>
      <c r="M223" s="136"/>
    </row>
    <row r="224" spans="1:14">
      <c r="A224" s="847" t="s">
        <v>1280</v>
      </c>
      <c r="B224" s="768"/>
      <c r="C224" s="479"/>
      <c r="D224" s="530"/>
      <c r="E224" s="450"/>
      <c r="F224" s="480"/>
      <c r="G224" s="530"/>
      <c r="H224" s="419"/>
      <c r="I224" s="530"/>
      <c r="J224" s="950"/>
      <c r="K224" s="951"/>
      <c r="L224" s="945"/>
      <c r="M224" s="136"/>
    </row>
    <row r="225" spans="1:14">
      <c r="A225" s="767" t="s">
        <v>1223</v>
      </c>
      <c r="B225" s="768"/>
      <c r="C225" s="972">
        <f>Piercap!N132</f>
        <v>3.3292682926829271</v>
      </c>
      <c r="D225" s="480">
        <f>C154</f>
        <v>212.96078529638166</v>
      </c>
      <c r="E225" s="419">
        <f>I154</f>
        <v>730.51712726895664</v>
      </c>
      <c r="F225" s="480">
        <f>0.6*(1-$G$3/310)</f>
        <v>0.532258064516129</v>
      </c>
      <c r="G225" s="943">
        <v>1</v>
      </c>
      <c r="H225" s="419">
        <f>Piercap!I58</f>
        <v>1.099331150870466</v>
      </c>
      <c r="I225" s="480">
        <f>Piercap!I57</f>
        <v>0.30453995951492757</v>
      </c>
      <c r="J225" s="950">
        <f>H189</f>
        <v>45</v>
      </c>
      <c r="K225" s="951">
        <f>2*F225*G225*$G$12*(H225*10^6)*(I225*1000)*SIN(RADIANS(J225))*COS(RADIANS(J225))/10^7</f>
        <v>278.57789885524301</v>
      </c>
      <c r="L225" s="952">
        <f>C225/K225+D225/E225</f>
        <v>0.3034715337795057</v>
      </c>
      <c r="M225" s="944" t="str">
        <f>IF(L225&lt;=1,"OK", "REVISE SECTION")</f>
        <v>OK</v>
      </c>
    </row>
    <row r="226" spans="1:14">
      <c r="A226" s="767"/>
      <c r="B226" s="768"/>
      <c r="C226" s="479"/>
      <c r="D226" s="530"/>
      <c r="E226" s="450"/>
      <c r="F226" s="480"/>
      <c r="G226" s="530"/>
      <c r="H226" s="419"/>
      <c r="I226" s="530"/>
      <c r="J226" s="950"/>
      <c r="K226" s="951"/>
      <c r="L226" s="945"/>
      <c r="M226" s="136"/>
    </row>
    <row r="227" spans="1:14">
      <c r="A227" s="847" t="s">
        <v>1281</v>
      </c>
      <c r="B227" s="768"/>
      <c r="C227" s="479"/>
      <c r="D227" s="530"/>
      <c r="E227" s="450"/>
      <c r="F227" s="480"/>
      <c r="G227" s="530"/>
      <c r="H227" s="419"/>
      <c r="I227" s="530"/>
      <c r="J227" s="950"/>
      <c r="K227" s="951"/>
      <c r="L227" s="945"/>
      <c r="M227" s="136"/>
    </row>
    <row r="228" spans="1:14">
      <c r="A228" s="767" t="s">
        <v>1223</v>
      </c>
      <c r="B228" s="768"/>
      <c r="C228" s="972">
        <f>Piercap!N151</f>
        <v>3.3292682926829271</v>
      </c>
      <c r="D228" s="480">
        <f>C157</f>
        <v>213.57353562294568</v>
      </c>
      <c r="E228" s="419">
        <f>I157</f>
        <v>750.86445455173873</v>
      </c>
      <c r="F228" s="480">
        <f>0.6*(1-$G$3/310)</f>
        <v>0.532258064516129</v>
      </c>
      <c r="G228" s="943">
        <v>1</v>
      </c>
      <c r="H228" s="419">
        <f>Piercap!K58</f>
        <v>1.1268036392971166</v>
      </c>
      <c r="I228" s="480">
        <f>Piercap!K57</f>
        <v>0.3100235139130102</v>
      </c>
      <c r="J228" s="950">
        <f>H192</f>
        <v>45</v>
      </c>
      <c r="K228" s="951">
        <f>2*F228*G228*$G$12*(H228*10^6)*(I228*1000)*SIN(RADIANS(J228))*COS(RADIANS(J228))/10^7</f>
        <v>290.6810456289893</v>
      </c>
      <c r="L228" s="952">
        <f>C228/K228+D228/E228</f>
        <v>0.29589020859328902</v>
      </c>
      <c r="M228" s="971" t="str">
        <f>IF(L228&lt;=1,"OK", "REVISE SECTION")</f>
        <v>OK</v>
      </c>
    </row>
    <row r="229" spans="1:14">
      <c r="A229" s="767"/>
      <c r="B229" s="768"/>
      <c r="C229" s="479"/>
      <c r="D229" s="530"/>
      <c r="E229" s="450"/>
      <c r="F229" s="530"/>
      <c r="G229" s="530"/>
      <c r="H229" s="450"/>
      <c r="I229" s="530"/>
      <c r="J229" s="950"/>
      <c r="K229" s="951"/>
      <c r="L229" s="945"/>
      <c r="M229" s="136"/>
    </row>
    <row r="230" spans="1:14">
      <c r="A230" s="864"/>
      <c r="B230" s="831"/>
      <c r="C230" s="799"/>
      <c r="D230" s="531"/>
      <c r="E230" s="451"/>
      <c r="F230" s="531"/>
      <c r="G230" s="531"/>
      <c r="H230" s="451"/>
      <c r="I230" s="531"/>
      <c r="J230" s="953"/>
      <c r="K230" s="954"/>
      <c r="L230" s="799"/>
      <c r="M230" s="137"/>
    </row>
    <row r="231" spans="1:14">
      <c r="J231" s="380"/>
    </row>
    <row r="232" spans="1:14">
      <c r="A232" s="9" t="s">
        <v>1366</v>
      </c>
    </row>
    <row r="233" spans="1:14">
      <c r="A233" s="1828" t="s">
        <v>1259</v>
      </c>
      <c r="B233" s="1828"/>
      <c r="C233" s="1953" t="s">
        <v>1339</v>
      </c>
      <c r="D233" s="1794" t="s">
        <v>1367</v>
      </c>
      <c r="E233" s="1832" t="s">
        <v>1234</v>
      </c>
      <c r="F233" s="1920" t="s">
        <v>68</v>
      </c>
      <c r="G233" s="1954" t="s">
        <v>1368</v>
      </c>
      <c r="H233" s="1955"/>
      <c r="I233" s="1959" t="s">
        <v>777</v>
      </c>
      <c r="J233" s="1960"/>
      <c r="K233" s="1960"/>
      <c r="L233" s="1845"/>
      <c r="M233" s="1591" t="s">
        <v>1369</v>
      </c>
      <c r="N233" s="1592"/>
    </row>
    <row r="234" spans="1:14">
      <c r="A234" s="1828"/>
      <c r="B234" s="1828"/>
      <c r="C234" s="1953"/>
      <c r="D234" s="1794"/>
      <c r="E234" s="1832"/>
      <c r="F234" s="1830"/>
      <c r="G234" s="1956"/>
      <c r="H234" s="1957"/>
      <c r="I234" s="1961"/>
      <c r="J234" s="1962"/>
      <c r="K234" s="1962"/>
      <c r="L234" s="1847"/>
      <c r="M234" s="1840"/>
      <c r="N234" s="1841"/>
    </row>
    <row r="235" spans="1:14">
      <c r="A235" s="1828"/>
      <c r="B235" s="1828"/>
      <c r="C235" s="1953"/>
      <c r="D235" s="1794"/>
      <c r="E235" s="1832"/>
      <c r="F235" s="1830"/>
      <c r="G235" s="1956"/>
      <c r="H235" s="1957"/>
      <c r="I235" s="1827" t="s">
        <v>1274</v>
      </c>
      <c r="J235" s="1827" t="s">
        <v>561</v>
      </c>
      <c r="K235" s="1816" t="s">
        <v>1275</v>
      </c>
      <c r="L235" s="1796" t="s">
        <v>125</v>
      </c>
      <c r="M235" s="1593"/>
      <c r="N235" s="1594"/>
    </row>
    <row r="236" spans="1:14">
      <c r="A236" s="1828"/>
      <c r="B236" s="1828"/>
      <c r="C236" s="1953"/>
      <c r="D236" s="1794"/>
      <c r="E236" s="1832"/>
      <c r="F236" s="1830"/>
      <c r="G236" s="1956"/>
      <c r="H236" s="1957"/>
      <c r="I236" s="1810"/>
      <c r="J236" s="1810"/>
      <c r="K236" s="1837"/>
      <c r="L236" s="1797"/>
      <c r="M236" s="1829" t="s">
        <v>1370</v>
      </c>
      <c r="N236" s="1829" t="s">
        <v>393</v>
      </c>
    </row>
    <row r="237" spans="1:14" ht="17.25">
      <c r="A237" s="1828"/>
      <c r="B237" s="1828"/>
      <c r="C237" s="1953"/>
      <c r="D237" s="1794"/>
      <c r="E237" s="1832"/>
      <c r="F237" s="1831"/>
      <c r="G237" s="1956"/>
      <c r="H237" s="1957"/>
      <c r="I237" s="810" t="s">
        <v>5</v>
      </c>
      <c r="J237" s="810" t="s">
        <v>5</v>
      </c>
      <c r="K237" s="773" t="s">
        <v>1371</v>
      </c>
      <c r="L237" s="1798"/>
      <c r="M237" s="1831"/>
      <c r="N237" s="1831"/>
    </row>
    <row r="238" spans="1:14" ht="17.25">
      <c r="A238" s="899"/>
      <c r="B238" s="932"/>
      <c r="C238" s="802" t="s">
        <v>77</v>
      </c>
      <c r="D238" s="405" t="s">
        <v>2</v>
      </c>
      <c r="E238" s="802" t="s">
        <v>458</v>
      </c>
      <c r="F238" s="949" t="s">
        <v>168</v>
      </c>
      <c r="G238" s="1632" t="s">
        <v>1372</v>
      </c>
      <c r="H238" s="1633"/>
      <c r="I238" s="866"/>
      <c r="J238" s="866"/>
      <c r="K238" s="955"/>
      <c r="L238" s="22"/>
      <c r="M238" s="802" t="s">
        <v>2</v>
      </c>
      <c r="N238" s="405" t="s">
        <v>570</v>
      </c>
    </row>
    <row r="239" spans="1:14">
      <c r="A239" s="847" t="s">
        <v>1278</v>
      </c>
      <c r="B239" s="843"/>
      <c r="C239" s="156"/>
      <c r="D239" s="530"/>
      <c r="E239" s="450"/>
      <c r="F239" s="950"/>
      <c r="G239" s="1966"/>
      <c r="H239" s="1967"/>
      <c r="I239" s="844"/>
      <c r="J239" s="844"/>
      <c r="K239" s="812"/>
      <c r="L239" s="27"/>
      <c r="M239" s="156"/>
      <c r="N239" s="530"/>
    </row>
    <row r="240" spans="1:14">
      <c r="A240" s="767" t="s">
        <v>1223</v>
      </c>
      <c r="B240" s="768"/>
      <c r="C240" s="479">
        <f>C222</f>
        <v>3.3292682926829271</v>
      </c>
      <c r="D240" s="480">
        <f>Piercap!G59</f>
        <v>7</v>
      </c>
      <c r="E240" s="419">
        <f>H222</f>
        <v>1.3775510204081631</v>
      </c>
      <c r="F240" s="950">
        <f>J222</f>
        <v>45</v>
      </c>
      <c r="G240" s="1964">
        <f>C240*10^7/TAN(RADIANS(F240))/2/(E240*10^6)/$G$4*10^3</f>
        <v>24.16802168021681</v>
      </c>
      <c r="H240" s="1965"/>
      <c r="I240" s="1075">
        <v>12</v>
      </c>
      <c r="J240" s="1075">
        <v>200</v>
      </c>
      <c r="K240" s="844">
        <f>PI()*I240^2/4*1000/J240</f>
        <v>565.48667764616278</v>
      </c>
      <c r="L240" s="944" t="str">
        <f>IF(K240&gt;G240,"OK","REVISE REINF.")</f>
        <v>OK</v>
      </c>
      <c r="M240" s="479">
        <f>Piercap!G48/10^3</f>
        <v>2.5</v>
      </c>
      <c r="N240" s="159">
        <f>G240*M240</f>
        <v>60.420054200542026</v>
      </c>
    </row>
    <row r="241" spans="1:14">
      <c r="A241" s="767"/>
      <c r="B241" s="768"/>
      <c r="C241" s="479"/>
      <c r="D241" s="530"/>
      <c r="E241" s="450"/>
      <c r="F241" s="950"/>
      <c r="G241" s="1964"/>
      <c r="H241" s="1965"/>
      <c r="I241" s="1076"/>
      <c r="J241" s="1062"/>
      <c r="K241" s="844"/>
      <c r="L241" s="27"/>
      <c r="M241" s="479"/>
      <c r="N241" s="159"/>
    </row>
    <row r="242" spans="1:14">
      <c r="A242" s="847" t="s">
        <v>1280</v>
      </c>
      <c r="B242" s="768"/>
      <c r="C242" s="479"/>
      <c r="D242" s="530"/>
      <c r="E242" s="450"/>
      <c r="F242" s="950"/>
      <c r="G242" s="1964"/>
      <c r="H242" s="1965"/>
      <c r="I242" s="1062"/>
      <c r="J242" s="1062"/>
      <c r="K242" s="844"/>
      <c r="L242" s="27"/>
      <c r="M242" s="479"/>
      <c r="N242" s="159"/>
    </row>
    <row r="243" spans="1:14">
      <c r="A243" s="767" t="s">
        <v>1223</v>
      </c>
      <c r="B243" s="768"/>
      <c r="C243" s="479">
        <f>C225</f>
        <v>3.3292682926829271</v>
      </c>
      <c r="D243" s="480">
        <f>Piercap!I59</f>
        <v>6.6105385022865804</v>
      </c>
      <c r="E243" s="419">
        <f>H225</f>
        <v>1.099331150870466</v>
      </c>
      <c r="F243" s="950">
        <f>J225</f>
        <v>45</v>
      </c>
      <c r="G243" s="1964">
        <f>C243*10^7/TAN(RADIANS(F243))/2/(E243*10^6)/$G$4*10^3</f>
        <v>30.28448971037313</v>
      </c>
      <c r="H243" s="1965"/>
      <c r="I243" s="1075">
        <v>12</v>
      </c>
      <c r="J243" s="1075">
        <v>200</v>
      </c>
      <c r="K243" s="844">
        <f>PI()*I243^2/4*1000/J243</f>
        <v>565.48667764616278</v>
      </c>
      <c r="L243" s="944" t="str">
        <f>IF(K243&gt;G243,"OK","REVISE REINF.")</f>
        <v>OK</v>
      </c>
      <c r="M243" s="479">
        <f>M240</f>
        <v>2.5</v>
      </c>
      <c r="N243" s="159">
        <f>G243*M243</f>
        <v>75.711224275932821</v>
      </c>
    </row>
    <row r="244" spans="1:14">
      <c r="A244" s="767"/>
      <c r="B244" s="768"/>
      <c r="C244" s="479"/>
      <c r="D244" s="530"/>
      <c r="E244" s="450"/>
      <c r="F244" s="950"/>
      <c r="G244" s="1964"/>
      <c r="H244" s="1965"/>
      <c r="I244" s="1076"/>
      <c r="J244" s="1062"/>
      <c r="K244" s="844"/>
      <c r="L244" s="27"/>
      <c r="M244" s="479"/>
      <c r="N244" s="159"/>
    </row>
    <row r="245" spans="1:14">
      <c r="A245" s="847" t="s">
        <v>1281</v>
      </c>
      <c r="B245" s="768"/>
      <c r="C245" s="479"/>
      <c r="D245" s="530"/>
      <c r="E245" s="450"/>
      <c r="F245" s="950"/>
      <c r="G245" s="1964"/>
      <c r="H245" s="1965"/>
      <c r="I245" s="1062"/>
      <c r="J245" s="1062"/>
      <c r="K245" s="844"/>
      <c r="L245" s="27"/>
      <c r="M245" s="479"/>
      <c r="N245" s="159"/>
    </row>
    <row r="246" spans="1:14">
      <c r="A246" s="767" t="s">
        <v>1223</v>
      </c>
      <c r="B246" s="768"/>
      <c r="C246" s="479">
        <f>C228</f>
        <v>3.3292682926829271</v>
      </c>
      <c r="D246" s="480">
        <f>Piercap!K59</f>
        <v>6.6491024961890339</v>
      </c>
      <c r="E246" s="419">
        <f>H228</f>
        <v>1.1268036392971166</v>
      </c>
      <c r="F246" s="950">
        <f>J228</f>
        <v>45</v>
      </c>
      <c r="G246" s="1964">
        <f>C246*10^7/TAN(RADIANS(F246))/2/(E246*10^6)/$G$4*10^3</f>
        <v>29.546126552800946</v>
      </c>
      <c r="H246" s="1965"/>
      <c r="I246" s="1075">
        <v>12</v>
      </c>
      <c r="J246" s="1075">
        <v>200</v>
      </c>
      <c r="K246" s="844">
        <f>PI()*I246^2/4*1000/J246</f>
        <v>565.48667764616278</v>
      </c>
      <c r="L246" s="1215" t="str">
        <f>IF(K246&gt;G246,"OK","REVISE REINF.")</f>
        <v>OK</v>
      </c>
      <c r="M246" s="479">
        <f>M243</f>
        <v>2.5</v>
      </c>
      <c r="N246" s="159">
        <f>G246*M246</f>
        <v>73.865316382002362</v>
      </c>
    </row>
    <row r="247" spans="1:14">
      <c r="A247" s="767"/>
      <c r="B247" s="768"/>
      <c r="C247" s="479"/>
      <c r="D247" s="530"/>
      <c r="E247" s="450"/>
      <c r="F247" s="950"/>
      <c r="G247" s="1966"/>
      <c r="H247" s="1967"/>
      <c r="I247" s="1077"/>
      <c r="J247" s="1062"/>
      <c r="K247" s="844"/>
      <c r="L247" s="27"/>
      <c r="M247" s="479"/>
      <c r="N247" s="159"/>
    </row>
  </sheetData>
  <mergeCells count="164">
    <mergeCell ref="G244:H244"/>
    <mergeCell ref="G245:H245"/>
    <mergeCell ref="G246:H246"/>
    <mergeCell ref="G247:H247"/>
    <mergeCell ref="G238:H238"/>
    <mergeCell ref="G239:H239"/>
    <mergeCell ref="G240:H240"/>
    <mergeCell ref="G241:H241"/>
    <mergeCell ref="G242:H242"/>
    <mergeCell ref="G243:H243"/>
    <mergeCell ref="A233:B237"/>
    <mergeCell ref="C233:C237"/>
    <mergeCell ref="D233:D237"/>
    <mergeCell ref="E233:E237"/>
    <mergeCell ref="F233:F237"/>
    <mergeCell ref="G233:H237"/>
    <mergeCell ref="V11:V12"/>
    <mergeCell ref="X11:X12"/>
    <mergeCell ref="N20:N24"/>
    <mergeCell ref="O20:O24"/>
    <mergeCell ref="I233:L234"/>
    <mergeCell ref="M233:N235"/>
    <mergeCell ref="I235:I236"/>
    <mergeCell ref="J235:J236"/>
    <mergeCell ref="K235:K236"/>
    <mergeCell ref="L235:L237"/>
    <mergeCell ref="M236:M237"/>
    <mergeCell ref="N236:N237"/>
    <mergeCell ref="J215:J219"/>
    <mergeCell ref="Q179:Q183"/>
    <mergeCell ref="O183:O184"/>
    <mergeCell ref="A215:B219"/>
    <mergeCell ref="C215:C219"/>
    <mergeCell ref="O179:O182"/>
    <mergeCell ref="P179:P184"/>
    <mergeCell ref="I197:I201"/>
    <mergeCell ref="J197:L200"/>
    <mergeCell ref="M197:M200"/>
    <mergeCell ref="N197:N202"/>
    <mergeCell ref="M201:M202"/>
    <mergeCell ref="D197:D201"/>
    <mergeCell ref="D215:D219"/>
    <mergeCell ref="E215:E219"/>
    <mergeCell ref="F215:F219"/>
    <mergeCell ref="G215:G219"/>
    <mergeCell ref="H215:H219"/>
    <mergeCell ref="I215:I219"/>
    <mergeCell ref="I179:I183"/>
    <mergeCell ref="J179:J183"/>
    <mergeCell ref="K179:K183"/>
    <mergeCell ref="K215:K219"/>
    <mergeCell ref="L216:M220"/>
    <mergeCell ref="L215:M215"/>
    <mergeCell ref="L149:M149"/>
    <mergeCell ref="A162:B165"/>
    <mergeCell ref="C162:C165"/>
    <mergeCell ref="D162:D165"/>
    <mergeCell ref="E162:E165"/>
    <mergeCell ref="F162:F165"/>
    <mergeCell ref="G162:G165"/>
    <mergeCell ref="H162:H165"/>
    <mergeCell ref="A179:B183"/>
    <mergeCell ref="C179:C183"/>
    <mergeCell ref="D179:D183"/>
    <mergeCell ref="E179:E183"/>
    <mergeCell ref="F179:F183"/>
    <mergeCell ref="G179:G183"/>
    <mergeCell ref="H179:H183"/>
    <mergeCell ref="L179:N182"/>
    <mergeCell ref="O141:P141"/>
    <mergeCell ref="L144:M148"/>
    <mergeCell ref="N144:N148"/>
    <mergeCell ref="A145:B148"/>
    <mergeCell ref="C145:C148"/>
    <mergeCell ref="D145:D148"/>
    <mergeCell ref="E145:E148"/>
    <mergeCell ref="F145:F148"/>
    <mergeCell ref="G145:G148"/>
    <mergeCell ref="H145:H148"/>
    <mergeCell ref="I145:J148"/>
    <mergeCell ref="K145:K148"/>
    <mergeCell ref="F127:F132"/>
    <mergeCell ref="G127:G132"/>
    <mergeCell ref="H127:H132"/>
    <mergeCell ref="I127:I132"/>
    <mergeCell ref="H108:H111"/>
    <mergeCell ref="I108:I111"/>
    <mergeCell ref="G108:G111"/>
    <mergeCell ref="O135:P135"/>
    <mergeCell ref="O138:P138"/>
    <mergeCell ref="K127:K132"/>
    <mergeCell ref="L127:L132"/>
    <mergeCell ref="M127:N132"/>
    <mergeCell ref="O127:P132"/>
    <mergeCell ref="O133:P133"/>
    <mergeCell ref="O108:O111"/>
    <mergeCell ref="P108:P111"/>
    <mergeCell ref="J108:J111"/>
    <mergeCell ref="K108:K111"/>
    <mergeCell ref="L108:L111"/>
    <mergeCell ref="M108:N111"/>
    <mergeCell ref="O53:O56"/>
    <mergeCell ref="A79:A81"/>
    <mergeCell ref="H79:H81"/>
    <mergeCell ref="I79:I81"/>
    <mergeCell ref="J79:K80"/>
    <mergeCell ref="L79:L80"/>
    <mergeCell ref="M79:M81"/>
    <mergeCell ref="J81:K81"/>
    <mergeCell ref="H53:H55"/>
    <mergeCell ref="I53:I55"/>
    <mergeCell ref="J53:J55"/>
    <mergeCell ref="K53:K55"/>
    <mergeCell ref="L53:L56"/>
    <mergeCell ref="M53:M55"/>
    <mergeCell ref="N53:N55"/>
    <mergeCell ref="Y21:Y25"/>
    <mergeCell ref="G23:G24"/>
    <mergeCell ref="H23:H24"/>
    <mergeCell ref="I23:I24"/>
    <mergeCell ref="J23:J24"/>
    <mergeCell ref="A53:B55"/>
    <mergeCell ref="D53:D55"/>
    <mergeCell ref="E53:E55"/>
    <mergeCell ref="F53:F55"/>
    <mergeCell ref="G53:G56"/>
    <mergeCell ref="U20:U24"/>
    <mergeCell ref="V20:V24"/>
    <mergeCell ref="W20:W24"/>
    <mergeCell ref="X20:X24"/>
    <mergeCell ref="Q21:Q25"/>
    <mergeCell ref="S21:S25"/>
    <mergeCell ref="K20:K24"/>
    <mergeCell ref="L20:L24"/>
    <mergeCell ref="M20:M24"/>
    <mergeCell ref="P20:P24"/>
    <mergeCell ref="R20:R24"/>
    <mergeCell ref="T20:T24"/>
    <mergeCell ref="A20:B25"/>
    <mergeCell ref="C20:C24"/>
    <mergeCell ref="D20:D24"/>
    <mergeCell ref="E20:E24"/>
    <mergeCell ref="F20:F24"/>
    <mergeCell ref="G20:J22"/>
    <mergeCell ref="A197:B201"/>
    <mergeCell ref="C197:C201"/>
    <mergeCell ref="E197:E201"/>
    <mergeCell ref="F197:F201"/>
    <mergeCell ref="G197:G201"/>
    <mergeCell ref="H197:H201"/>
    <mergeCell ref="A94:B95"/>
    <mergeCell ref="C94:C95"/>
    <mergeCell ref="D94:D95"/>
    <mergeCell ref="E94:F94"/>
    <mergeCell ref="G94:G96"/>
    <mergeCell ref="A108:B111"/>
    <mergeCell ref="C108:D111"/>
    <mergeCell ref="E108:E111"/>
    <mergeCell ref="F108:F111"/>
    <mergeCell ref="J127:J132"/>
    <mergeCell ref="A127:B132"/>
    <mergeCell ref="C127:C132"/>
    <mergeCell ref="D127:D132"/>
    <mergeCell ref="E127:E132"/>
  </mergeCells>
  <pageMargins left="0.70866141732283505" right="0.70866141732283505" top="0.74803149606299202" bottom="0.74803149606299202" header="0.31496062992126" footer="0.31496062992126"/>
  <pageSetup paperSize="9" scale="62" orientation="landscape" blackAndWhite="1" r:id="rId1"/>
  <rowBreaks count="4" manualBreakCount="4">
    <brk id="41" max="24" man="1"/>
    <brk id="92" max="24" man="1"/>
    <brk id="143" max="24" man="1"/>
    <brk id="195" max="24" man="1"/>
  </rowBreaks>
  <drawing r:id="rId2"/>
  <legacyDrawing r:id="rId3"/>
</worksheet>
</file>

<file path=xl/worksheets/sheet5.xml><?xml version="1.0" encoding="utf-8"?>
<worksheet xmlns="http://schemas.openxmlformats.org/spreadsheetml/2006/main" xmlns:r="http://schemas.openxmlformats.org/officeDocument/2006/relationships">
  <sheetPr codeName="Sheet36"/>
  <dimension ref="A1:L50"/>
  <sheetViews>
    <sheetView view="pageBreakPreview" zoomScaleSheetLayoutView="100" workbookViewId="0">
      <selection sqref="A1:XFD1048576"/>
    </sheetView>
  </sheetViews>
  <sheetFormatPr defaultColWidth="7.7109375" defaultRowHeight="15"/>
  <cols>
    <col min="1" max="2" width="7.7109375" style="1"/>
    <col min="3" max="3" width="7.7109375" style="1" customWidth="1"/>
    <col min="4" max="16384" width="7.7109375" style="1"/>
  </cols>
  <sheetData>
    <row r="1" spans="1:12">
      <c r="A1" s="9" t="s">
        <v>1516</v>
      </c>
    </row>
    <row r="2" spans="1:12">
      <c r="A2" s="1" t="s">
        <v>329</v>
      </c>
      <c r="B2" s="1" t="s">
        <v>1</v>
      </c>
      <c r="C2" s="63">
        <v>35</v>
      </c>
      <c r="D2" s="1" t="s">
        <v>293</v>
      </c>
      <c r="E2" s="1" t="s">
        <v>1373</v>
      </c>
    </row>
    <row r="4" spans="1:12">
      <c r="A4" s="1" t="s">
        <v>349</v>
      </c>
      <c r="B4" s="1" t="s">
        <v>1</v>
      </c>
      <c r="C4" s="63">
        <v>45</v>
      </c>
      <c r="D4" s="1" t="s">
        <v>293</v>
      </c>
    </row>
    <row r="6" spans="1:12">
      <c r="A6" s="1" t="s">
        <v>134</v>
      </c>
      <c r="B6" s="1" t="s">
        <v>1</v>
      </c>
      <c r="C6" s="63">
        <v>25550</v>
      </c>
      <c r="D6" s="1" t="s">
        <v>1374</v>
      </c>
    </row>
    <row r="7" spans="1:12">
      <c r="A7" s="1" t="s">
        <v>1375</v>
      </c>
      <c r="B7" s="1" t="s">
        <v>1</v>
      </c>
      <c r="C7" s="63">
        <v>90</v>
      </c>
      <c r="D7" s="1" t="s">
        <v>1374</v>
      </c>
    </row>
    <row r="9" spans="1:12" ht="18">
      <c r="A9" s="1" t="s">
        <v>1376</v>
      </c>
      <c r="B9" s="1" t="s">
        <v>1</v>
      </c>
      <c r="C9" s="1" t="s">
        <v>1377</v>
      </c>
    </row>
    <row r="11" spans="1:12" ht="18">
      <c r="A11" s="1" t="s">
        <v>1378</v>
      </c>
      <c r="B11" s="1" t="s">
        <v>1</v>
      </c>
      <c r="C11" s="1" t="s">
        <v>1379</v>
      </c>
    </row>
    <row r="13" spans="1:12" ht="18">
      <c r="A13" s="1" t="s">
        <v>1380</v>
      </c>
      <c r="B13" s="1" t="s">
        <v>1</v>
      </c>
      <c r="C13" s="1">
        <v>1</v>
      </c>
      <c r="D13" s="1" t="s">
        <v>54</v>
      </c>
      <c r="E13" s="1588" t="s">
        <v>1381</v>
      </c>
      <c r="F13" s="1588"/>
      <c r="I13" s="1" t="s">
        <v>1382</v>
      </c>
      <c r="J13" s="325" t="s">
        <v>355</v>
      </c>
      <c r="K13" s="4">
        <v>45</v>
      </c>
      <c r="L13" s="1" t="s">
        <v>293</v>
      </c>
    </row>
    <row r="14" spans="1:12" ht="17.25">
      <c r="E14" s="1589" t="s">
        <v>1383</v>
      </c>
      <c r="F14" s="1589"/>
      <c r="J14" s="528"/>
    </row>
    <row r="15" spans="1:12">
      <c r="J15" s="528"/>
    </row>
    <row r="16" spans="1:12">
      <c r="C16" s="1">
        <v>1</v>
      </c>
      <c r="D16" s="1" t="s">
        <v>54</v>
      </c>
      <c r="E16" s="1588" t="s">
        <v>1381</v>
      </c>
      <c r="F16" s="1588"/>
      <c r="G16" s="1590" t="s">
        <v>1384</v>
      </c>
      <c r="H16" s="1590" t="s">
        <v>1385</v>
      </c>
      <c r="I16" s="1" t="s">
        <v>1382</v>
      </c>
      <c r="J16" s="325" t="s">
        <v>357</v>
      </c>
      <c r="K16" s="4">
        <v>45</v>
      </c>
      <c r="L16" s="1" t="s">
        <v>293</v>
      </c>
    </row>
    <row r="17" spans="1:8" ht="17.25">
      <c r="E17" s="1589" t="s">
        <v>1383</v>
      </c>
      <c r="F17" s="1589"/>
      <c r="G17" s="1590"/>
      <c r="H17" s="1590"/>
    </row>
    <row r="19" spans="1:8">
      <c r="A19" s="1" t="s">
        <v>1386</v>
      </c>
      <c r="B19" s="1" t="s">
        <v>1</v>
      </c>
      <c r="C19" s="1" t="s">
        <v>448</v>
      </c>
    </row>
    <row r="20" spans="1:8">
      <c r="B20" s="1" t="s">
        <v>1</v>
      </c>
      <c r="C20" s="63">
        <v>45</v>
      </c>
      <c r="D20" s="1" t="s">
        <v>360</v>
      </c>
    </row>
    <row r="22" spans="1:8">
      <c r="A22" s="1" t="s">
        <v>1387</v>
      </c>
      <c r="B22" s="1" t="s">
        <v>1</v>
      </c>
      <c r="C22" s="956">
        <v>714.28571428571433</v>
      </c>
      <c r="D22" s="1" t="s">
        <v>5</v>
      </c>
    </row>
    <row r="24" spans="1:8" ht="18.75">
      <c r="A24" s="1" t="s">
        <v>1388</v>
      </c>
      <c r="B24" s="1" t="s">
        <v>1</v>
      </c>
      <c r="C24" s="1" t="s">
        <v>1389</v>
      </c>
      <c r="F24" s="1" t="s">
        <v>1</v>
      </c>
      <c r="G24" s="14">
        <v>0.980473545946276</v>
      </c>
    </row>
    <row r="25" spans="1:8">
      <c r="G25" s="14"/>
    </row>
    <row r="26" spans="1:8" ht="18">
      <c r="A26" s="323" t="s">
        <v>1390</v>
      </c>
      <c r="B26" s="1" t="s">
        <v>1</v>
      </c>
      <c r="C26" s="1" t="s">
        <v>1391</v>
      </c>
      <c r="F26" s="1" t="s">
        <v>1</v>
      </c>
      <c r="G26" s="14">
        <v>0.99438166680630102</v>
      </c>
    </row>
    <row r="28" spans="1:8" ht="18">
      <c r="A28" s="62" t="s">
        <v>1392</v>
      </c>
      <c r="B28" s="62" t="s">
        <v>1</v>
      </c>
      <c r="C28" s="966">
        <v>1.6152789181447682</v>
      </c>
      <c r="D28" s="62"/>
    </row>
    <row r="30" spans="1:8" ht="18">
      <c r="A30" s="1" t="s">
        <v>1393</v>
      </c>
      <c r="B30" s="1" t="s">
        <v>1</v>
      </c>
      <c r="C30" s="1" t="s">
        <v>1394</v>
      </c>
      <c r="E30" s="62" t="s">
        <v>1</v>
      </c>
      <c r="F30" s="966">
        <v>2.7995571078297368</v>
      </c>
    </row>
    <row r="32" spans="1:8" ht="18.75">
      <c r="A32" s="1" t="s">
        <v>1395</v>
      </c>
      <c r="B32" s="1" t="s">
        <v>1</v>
      </c>
      <c r="C32" s="1" t="s">
        <v>1396</v>
      </c>
      <c r="E32" s="62" t="s">
        <v>1</v>
      </c>
      <c r="F32" s="966">
        <v>0.3906998608634395</v>
      </c>
    </row>
    <row r="34" spans="1:12" ht="18">
      <c r="A34" s="30" t="s">
        <v>1378</v>
      </c>
      <c r="B34" s="31" t="s">
        <v>1</v>
      </c>
      <c r="C34" s="965">
        <v>1.7667703915225312</v>
      </c>
      <c r="D34" s="32"/>
    </row>
    <row r="36" spans="1:12" ht="18.75">
      <c r="A36" s="1" t="s">
        <v>1397</v>
      </c>
      <c r="B36" s="1" t="s">
        <v>1</v>
      </c>
      <c r="C36" s="1" t="s">
        <v>1398</v>
      </c>
    </row>
    <row r="38" spans="1:12" ht="18.75">
      <c r="A38" s="1" t="s">
        <v>1399</v>
      </c>
      <c r="B38" s="1" t="s">
        <v>1</v>
      </c>
      <c r="C38" s="1" t="s">
        <v>425</v>
      </c>
      <c r="D38" s="1" t="s">
        <v>1400</v>
      </c>
      <c r="I38" s="1" t="s">
        <v>1382</v>
      </c>
      <c r="J38" s="325" t="s">
        <v>355</v>
      </c>
      <c r="K38" s="6">
        <v>35</v>
      </c>
      <c r="L38" s="1" t="s">
        <v>293</v>
      </c>
    </row>
    <row r="39" spans="1:12">
      <c r="D39" s="1">
        <v>1500</v>
      </c>
      <c r="K39" s="528"/>
    </row>
    <row r="40" spans="1:12">
      <c r="K40" s="528"/>
    </row>
    <row r="41" spans="1:12" ht="18.75">
      <c r="C41" s="1" t="s">
        <v>425</v>
      </c>
      <c r="D41" s="1" t="s">
        <v>1401</v>
      </c>
      <c r="I41" s="1" t="s">
        <v>1382</v>
      </c>
      <c r="J41" s="325" t="s">
        <v>357</v>
      </c>
      <c r="K41" s="6">
        <v>35</v>
      </c>
      <c r="L41" s="1" t="s">
        <v>293</v>
      </c>
    </row>
    <row r="42" spans="1:12" ht="18">
      <c r="D42" s="1" t="s">
        <v>1402</v>
      </c>
    </row>
    <row r="44" spans="1:12" ht="18">
      <c r="A44" s="323" t="s">
        <v>1390</v>
      </c>
      <c r="B44" s="1" t="s">
        <v>1</v>
      </c>
      <c r="C44" s="1" t="s">
        <v>1403</v>
      </c>
      <c r="F44" s="1" t="s">
        <v>1</v>
      </c>
      <c r="G44" s="41">
        <v>0.98601329718326935</v>
      </c>
    </row>
    <row r="46" spans="1:12" ht="18">
      <c r="A46" s="1" t="s">
        <v>1399</v>
      </c>
      <c r="B46" s="1" t="s">
        <v>1</v>
      </c>
      <c r="C46" s="1">
        <v>1317.9482281579499</v>
      </c>
    </row>
    <row r="48" spans="1:12" ht="18">
      <c r="A48" s="30" t="s">
        <v>1397</v>
      </c>
      <c r="B48" s="31" t="s">
        <v>1</v>
      </c>
      <c r="C48" s="957">
        <v>0.98497301067879217</v>
      </c>
      <c r="D48" s="32"/>
    </row>
    <row r="50" spans="1:4">
      <c r="A50" s="42" t="s">
        <v>1404</v>
      </c>
      <c r="B50" s="44" t="s">
        <v>1</v>
      </c>
      <c r="C50" s="958">
        <v>1.7402211517160959</v>
      </c>
      <c r="D50" s="80"/>
    </row>
  </sheetData>
  <mergeCells count="6">
    <mergeCell ref="E13:F13"/>
    <mergeCell ref="E14:F14"/>
    <mergeCell ref="E16:F16"/>
    <mergeCell ref="G16:G17"/>
    <mergeCell ref="H16:H17"/>
    <mergeCell ref="E17:F17"/>
  </mergeCells>
  <pageMargins left="0.70866141732283472" right="0.70866141732283472" top="0.74803149606299213" bottom="0.74803149606299213" header="0.31496062992125984" footer="0.31496062992125984"/>
  <pageSetup paperSize="9" scale="80" orientation="portrait" blackAndWhite="1" r:id="rId1"/>
  <drawing r:id="rId2"/>
</worksheet>
</file>

<file path=xl/worksheets/sheet50.xml><?xml version="1.0" encoding="utf-8"?>
<worksheet xmlns="http://schemas.openxmlformats.org/spreadsheetml/2006/main" xmlns:r="http://schemas.openxmlformats.org/officeDocument/2006/relationships">
  <sheetPr codeName="Sheet73"/>
  <dimension ref="A1"/>
  <sheetViews>
    <sheetView topLeftCell="A58" workbookViewId="0">
      <selection activeCell="G17" sqref="G17"/>
    </sheetView>
  </sheetViews>
  <sheetFormatPr defaultRowHeight="15"/>
  <sheetData/>
  <pageMargins left="0.7" right="0.7" top="0.75" bottom="0.75" header="0.3" footer="0.3"/>
</worksheet>
</file>

<file path=xl/worksheets/sheet51.xml><?xml version="1.0" encoding="utf-8"?>
<worksheet xmlns="http://schemas.openxmlformats.org/spreadsheetml/2006/main" xmlns:r="http://schemas.openxmlformats.org/officeDocument/2006/relationships">
  <sheetPr codeName="Sheet59"/>
  <dimension ref="A1"/>
  <sheetViews>
    <sheetView workbookViewId="0"/>
  </sheetViews>
  <sheetFormatPr defaultRowHeight="15"/>
  <sheetData/>
  <pageMargins left="0.7" right="0.7" top="0.75" bottom="0.75" header="0.3" footer="0.3"/>
</worksheet>
</file>

<file path=xl/worksheets/sheet52.xml><?xml version="1.0" encoding="utf-8"?>
<worksheet xmlns="http://schemas.openxmlformats.org/spreadsheetml/2006/main" xmlns:r="http://schemas.openxmlformats.org/officeDocument/2006/relationships">
  <sheetPr codeName="Sheet35"/>
  <dimension ref="A1:S138"/>
  <sheetViews>
    <sheetView view="pageBreakPreview" topLeftCell="A100" zoomScale="60" workbookViewId="0">
      <selection activeCell="D8" sqref="D8"/>
    </sheetView>
  </sheetViews>
  <sheetFormatPr defaultColWidth="7.7109375" defaultRowHeight="15"/>
  <cols>
    <col min="1" max="1" width="7.7109375" style="1" customWidth="1"/>
    <col min="2" max="2" width="7.7109375" style="1"/>
    <col min="3" max="3" width="7.7109375" style="1" customWidth="1"/>
    <col min="4" max="4" width="8.7109375" style="1" bestFit="1" customWidth="1"/>
    <col min="5" max="5" width="9.5703125" style="1" bestFit="1" customWidth="1"/>
    <col min="6" max="7" width="7.7109375" style="1"/>
    <col min="8" max="9" width="7.85546875" style="1" bestFit="1" customWidth="1"/>
    <col min="10" max="10" width="7.7109375" style="1" customWidth="1"/>
    <col min="11" max="11" width="7.85546875" style="1" bestFit="1" customWidth="1"/>
    <col min="12" max="13" width="7.7109375" style="1"/>
    <col min="14" max="14" width="7.7109375" style="1" customWidth="1"/>
    <col min="15" max="16384" width="7.7109375" style="1"/>
  </cols>
  <sheetData>
    <row r="1" spans="1:19">
      <c r="A1" s="1" t="s">
        <v>291</v>
      </c>
    </row>
    <row r="2" spans="1:19">
      <c r="A2" s="84" t="s">
        <v>292</v>
      </c>
    </row>
    <row r="3" spans="1:19">
      <c r="A3" s="1" t="s">
        <v>287</v>
      </c>
      <c r="C3" s="1" t="s">
        <v>1</v>
      </c>
      <c r="D3" s="315">
        <v>500</v>
      </c>
      <c r="E3" s="1" t="s">
        <v>293</v>
      </c>
    </row>
    <row r="5" spans="1:19">
      <c r="A5" s="1" t="s">
        <v>294</v>
      </c>
      <c r="C5" s="1" t="s">
        <v>1</v>
      </c>
      <c r="D5" s="77">
        <v>200000</v>
      </c>
      <c r="E5" s="1" t="s">
        <v>293</v>
      </c>
      <c r="G5" s="316"/>
      <c r="H5" s="316"/>
      <c r="I5" s="316"/>
      <c r="J5" s="316"/>
      <c r="K5" s="316"/>
      <c r="L5" s="316"/>
    </row>
    <row r="6" spans="1:19">
      <c r="G6" s="316"/>
      <c r="H6" s="316"/>
      <c r="I6" s="316"/>
      <c r="J6" s="316"/>
      <c r="K6" s="316"/>
      <c r="L6" s="316"/>
    </row>
    <row r="7" spans="1:19">
      <c r="A7" s="1" t="s">
        <v>295</v>
      </c>
      <c r="C7" s="1" t="s">
        <v>1</v>
      </c>
      <c r="D7" s="1">
        <v>500</v>
      </c>
      <c r="E7" s="1" t="s">
        <v>293</v>
      </c>
      <c r="G7" s="316"/>
      <c r="H7" s="316"/>
      <c r="I7" s="316"/>
      <c r="J7" s="316"/>
      <c r="K7" s="316"/>
      <c r="L7" s="316"/>
      <c r="Q7" s="1" t="s">
        <v>294</v>
      </c>
      <c r="R7" s="1" t="s">
        <v>1</v>
      </c>
      <c r="S7" s="1" t="s">
        <v>296</v>
      </c>
    </row>
    <row r="8" spans="1:19">
      <c r="G8" s="316" t="s">
        <v>297</v>
      </c>
      <c r="H8" s="317">
        <v>434.78260869565224</v>
      </c>
      <c r="I8" s="316" t="s">
        <v>293</v>
      </c>
      <c r="J8" s="316"/>
      <c r="K8" s="316"/>
      <c r="L8" s="316"/>
      <c r="Q8" s="1" t="s">
        <v>295</v>
      </c>
      <c r="R8" s="1" t="s">
        <v>1</v>
      </c>
      <c r="S8" s="1" t="s">
        <v>298</v>
      </c>
    </row>
    <row r="9" spans="1:19">
      <c r="A9" s="1" t="s">
        <v>299</v>
      </c>
      <c r="C9" s="1" t="s">
        <v>1</v>
      </c>
      <c r="D9" s="77">
        <v>545</v>
      </c>
      <c r="E9" s="1" t="s">
        <v>144</v>
      </c>
      <c r="G9" s="316"/>
      <c r="H9" s="316"/>
      <c r="I9" s="316"/>
      <c r="J9" s="316"/>
      <c r="K9" s="316"/>
      <c r="L9" s="316"/>
      <c r="Q9" s="1" t="s">
        <v>299</v>
      </c>
      <c r="R9" s="1" t="s">
        <v>1</v>
      </c>
      <c r="S9" s="1" t="s">
        <v>300</v>
      </c>
    </row>
    <row r="10" spans="1:19">
      <c r="G10" s="1971" t="s">
        <v>301</v>
      </c>
      <c r="H10" s="316"/>
      <c r="I10" s="316"/>
      <c r="J10" s="316"/>
      <c r="K10" s="316"/>
      <c r="L10" s="316"/>
      <c r="Q10" s="1" t="s">
        <v>302</v>
      </c>
      <c r="R10" s="1" t="s">
        <v>1</v>
      </c>
      <c r="S10" s="1" t="s">
        <v>303</v>
      </c>
    </row>
    <row r="11" spans="1:19">
      <c r="A11" s="1" t="s">
        <v>302</v>
      </c>
      <c r="C11" s="1" t="s">
        <v>1</v>
      </c>
      <c r="D11" s="77">
        <v>1.1499999999999999</v>
      </c>
      <c r="G11" s="1971"/>
      <c r="H11" s="316"/>
      <c r="I11" s="316"/>
      <c r="J11" s="316"/>
      <c r="K11" s="316"/>
      <c r="L11" s="316"/>
      <c r="Q11" s="1" t="s">
        <v>304</v>
      </c>
      <c r="R11" s="1" t="s">
        <v>1</v>
      </c>
      <c r="S11" s="1" t="s">
        <v>305</v>
      </c>
    </row>
    <row r="12" spans="1:19" ht="18">
      <c r="G12" s="1971"/>
      <c r="H12" s="316"/>
      <c r="I12" s="316"/>
      <c r="J12" s="316"/>
      <c r="K12" s="316"/>
      <c r="L12" s="316"/>
      <c r="Q12" s="1" t="s">
        <v>306</v>
      </c>
      <c r="R12" s="1" t="s">
        <v>1</v>
      </c>
      <c r="S12" s="1" t="s">
        <v>307</v>
      </c>
    </row>
    <row r="13" spans="1:19" ht="18">
      <c r="A13" s="1" t="s">
        <v>304</v>
      </c>
      <c r="C13" s="1" t="s">
        <v>1</v>
      </c>
      <c r="D13" s="1" t="s">
        <v>308</v>
      </c>
      <c r="G13" s="1971"/>
      <c r="H13" s="316"/>
      <c r="I13" s="316"/>
      <c r="J13" s="316"/>
      <c r="K13" s="316"/>
      <c r="L13" s="316"/>
      <c r="Q13" s="1" t="s">
        <v>309</v>
      </c>
      <c r="R13" s="1" t="s">
        <v>1</v>
      </c>
      <c r="S13" s="1" t="s">
        <v>310</v>
      </c>
    </row>
    <row r="14" spans="1:19" ht="18">
      <c r="C14" s="1" t="s">
        <v>1</v>
      </c>
      <c r="D14" s="1">
        <v>0.86956521739130443</v>
      </c>
      <c r="E14" s="1" t="s">
        <v>575</v>
      </c>
      <c r="G14" s="316"/>
      <c r="H14" s="316"/>
      <c r="I14" s="316"/>
      <c r="J14" s="316"/>
      <c r="K14" s="316"/>
      <c r="L14" s="316"/>
      <c r="Q14" s="1" t="s">
        <v>311</v>
      </c>
      <c r="R14" s="1" t="s">
        <v>1</v>
      </c>
      <c r="S14" s="1" t="s">
        <v>312</v>
      </c>
    </row>
    <row r="15" spans="1:19" ht="18">
      <c r="C15" s="1" t="s">
        <v>1</v>
      </c>
      <c r="D15" s="1">
        <v>434.78260869565224</v>
      </c>
      <c r="E15" s="1" t="s">
        <v>293</v>
      </c>
      <c r="G15" s="316"/>
      <c r="H15" s="316"/>
      <c r="I15" s="316"/>
      <c r="J15" s="316"/>
      <c r="K15" s="316"/>
      <c r="L15" s="316"/>
      <c r="Q15" s="1" t="s">
        <v>313</v>
      </c>
      <c r="R15" s="1" t="s">
        <v>1</v>
      </c>
      <c r="S15" s="1" t="s">
        <v>314</v>
      </c>
    </row>
    <row r="16" spans="1:19" ht="18">
      <c r="G16" s="316"/>
      <c r="H16" s="318" t="s">
        <v>316</v>
      </c>
      <c r="I16" s="319">
        <v>2.1739130434782613E-3</v>
      </c>
      <c r="J16" s="318" t="s">
        <v>317</v>
      </c>
      <c r="K16" s="319">
        <v>4.0500000000000006E-3</v>
      </c>
      <c r="L16" s="316"/>
    </row>
    <row r="17" spans="1:12" ht="18">
      <c r="A17" s="1" t="s">
        <v>306</v>
      </c>
      <c r="C17" s="1" t="s">
        <v>1</v>
      </c>
      <c r="D17" s="1" t="s">
        <v>315</v>
      </c>
      <c r="G17" s="316"/>
      <c r="H17" s="316"/>
      <c r="I17" s="316"/>
      <c r="J17" s="316" t="s">
        <v>318</v>
      </c>
      <c r="K17" s="316"/>
      <c r="L17" s="316"/>
    </row>
    <row r="18" spans="1:12">
      <c r="C18" s="1" t="s">
        <v>1</v>
      </c>
      <c r="D18" s="320">
        <v>2.5000000000000001E-3</v>
      </c>
      <c r="E18" s="1" t="s">
        <v>293</v>
      </c>
      <c r="G18" s="316"/>
      <c r="H18" s="1972" t="s">
        <v>319</v>
      </c>
      <c r="I18" s="1972"/>
      <c r="J18" s="1972"/>
      <c r="K18" s="1972"/>
      <c r="L18" s="316"/>
    </row>
    <row r="19" spans="1:12">
      <c r="G19" s="316"/>
      <c r="H19" s="1972"/>
      <c r="I19" s="1972"/>
      <c r="J19" s="1972"/>
      <c r="K19" s="1972"/>
      <c r="L19" s="316"/>
    </row>
    <row r="20" spans="1:12" ht="18">
      <c r="A20" s="1" t="s">
        <v>309</v>
      </c>
      <c r="C20" s="1" t="s">
        <v>1</v>
      </c>
      <c r="D20" s="1" t="s">
        <v>320</v>
      </c>
      <c r="G20" s="316"/>
      <c r="H20" s="316"/>
      <c r="I20" s="316"/>
      <c r="J20" s="316"/>
      <c r="K20" s="316"/>
      <c r="L20" s="316"/>
    </row>
    <row r="21" spans="1:12">
      <c r="C21" s="1" t="s">
        <v>1</v>
      </c>
      <c r="D21" s="320">
        <v>2.1739130434782613E-3</v>
      </c>
      <c r="E21" s="1" t="s">
        <v>293</v>
      </c>
    </row>
    <row r="23" spans="1:12" ht="18">
      <c r="A23" s="1" t="s">
        <v>311</v>
      </c>
      <c r="C23" s="1" t="s">
        <v>1</v>
      </c>
      <c r="D23" s="321">
        <v>4.5000000000000005E-3</v>
      </c>
    </row>
    <row r="25" spans="1:12" ht="18">
      <c r="A25" s="1" t="s">
        <v>313</v>
      </c>
      <c r="C25" s="1" t="s">
        <v>1</v>
      </c>
      <c r="D25" s="1" t="s">
        <v>321</v>
      </c>
    </row>
    <row r="26" spans="1:12">
      <c r="C26" s="1" t="s">
        <v>1</v>
      </c>
      <c r="D26" s="320">
        <v>4.0500000000000006E-3</v>
      </c>
    </row>
    <row r="29" spans="1:12">
      <c r="A29" s="1" t="s">
        <v>322</v>
      </c>
      <c r="C29" s="1" t="s">
        <v>1</v>
      </c>
      <c r="D29" s="1" t="s">
        <v>323</v>
      </c>
      <c r="E29" s="1" t="s">
        <v>324</v>
      </c>
    </row>
    <row r="30" spans="1:12">
      <c r="C30" s="1" t="s">
        <v>1</v>
      </c>
      <c r="D30" s="1" t="s">
        <v>304</v>
      </c>
      <c r="E30" s="1" t="s">
        <v>325</v>
      </c>
    </row>
    <row r="33" spans="1:19">
      <c r="A33" s="84" t="s">
        <v>326</v>
      </c>
    </row>
    <row r="35" spans="1:19">
      <c r="A35" s="1" t="s">
        <v>327</v>
      </c>
      <c r="C35" s="1" t="s">
        <v>1</v>
      </c>
      <c r="D35" s="314">
        <v>35</v>
      </c>
      <c r="G35" s="316"/>
      <c r="H35" s="316"/>
      <c r="I35" s="316"/>
      <c r="J35" s="316"/>
      <c r="K35" s="316"/>
      <c r="L35" s="316"/>
    </row>
    <row r="36" spans="1:19">
      <c r="G36" s="318" t="s">
        <v>328</v>
      </c>
      <c r="H36" s="322">
        <v>15.633333333333335</v>
      </c>
      <c r="I36" s="316" t="s">
        <v>293</v>
      </c>
      <c r="J36" s="316"/>
      <c r="K36" s="316"/>
      <c r="L36" s="316"/>
    </row>
    <row r="37" spans="1:19">
      <c r="A37" s="1" t="s">
        <v>329</v>
      </c>
      <c r="C37" s="1" t="s">
        <v>1</v>
      </c>
      <c r="D37" s="1">
        <v>35</v>
      </c>
      <c r="E37" s="1" t="s">
        <v>293</v>
      </c>
      <c r="G37" s="316"/>
      <c r="H37" s="316"/>
      <c r="I37" s="316"/>
      <c r="J37" s="316"/>
      <c r="K37" s="316"/>
      <c r="L37" s="316"/>
      <c r="Q37" s="1" t="s">
        <v>329</v>
      </c>
      <c r="R37" s="1" t="s">
        <v>1</v>
      </c>
      <c r="S37" s="1" t="s">
        <v>330</v>
      </c>
    </row>
    <row r="38" spans="1:19">
      <c r="A38" s="1" t="s">
        <v>331</v>
      </c>
      <c r="C38" s="1" t="s">
        <v>1</v>
      </c>
      <c r="D38" s="1" t="s">
        <v>332</v>
      </c>
      <c r="G38" s="1971" t="s">
        <v>333</v>
      </c>
      <c r="H38" s="316"/>
      <c r="I38" s="316"/>
      <c r="J38" s="316"/>
      <c r="K38" s="316"/>
      <c r="L38" s="316"/>
      <c r="Q38" s="1" t="s">
        <v>331</v>
      </c>
      <c r="R38" s="1" t="s">
        <v>1</v>
      </c>
      <c r="S38" s="1" t="s">
        <v>334</v>
      </c>
    </row>
    <row r="39" spans="1:19">
      <c r="G39" s="1971"/>
      <c r="H39" s="316"/>
      <c r="I39" s="316"/>
      <c r="J39" s="316"/>
      <c r="K39" s="316"/>
      <c r="L39" s="316"/>
      <c r="Q39" s="1" t="s">
        <v>335</v>
      </c>
      <c r="R39" s="1" t="s">
        <v>1</v>
      </c>
      <c r="S39" s="1" t="s">
        <v>336</v>
      </c>
    </row>
    <row r="40" spans="1:19">
      <c r="A40" s="323" t="s">
        <v>62</v>
      </c>
      <c r="C40" s="1" t="s">
        <v>1</v>
      </c>
      <c r="D40" s="77">
        <v>0.67</v>
      </c>
      <c r="G40" s="1971"/>
      <c r="H40" s="316"/>
      <c r="I40" s="316"/>
      <c r="J40" s="316"/>
      <c r="K40" s="316"/>
      <c r="L40" s="316"/>
      <c r="Q40" s="1" t="s">
        <v>337</v>
      </c>
      <c r="R40" s="1" t="s">
        <v>1</v>
      </c>
      <c r="S40" s="1" t="s">
        <v>338</v>
      </c>
    </row>
    <row r="41" spans="1:19">
      <c r="A41" s="1" t="s">
        <v>339</v>
      </c>
      <c r="C41" s="1" t="s">
        <v>1</v>
      </c>
      <c r="D41" s="77">
        <v>1.5</v>
      </c>
      <c r="G41" s="316"/>
      <c r="H41" s="318" t="s">
        <v>340</v>
      </c>
      <c r="I41" s="324">
        <v>2E-3</v>
      </c>
      <c r="J41" s="318" t="s">
        <v>341</v>
      </c>
      <c r="K41" s="324">
        <v>3.4999999999999996E-3</v>
      </c>
      <c r="L41" s="316"/>
    </row>
    <row r="42" spans="1:19">
      <c r="G42" s="316"/>
      <c r="H42" s="316"/>
      <c r="I42" s="316"/>
      <c r="J42" s="316" t="s">
        <v>342</v>
      </c>
      <c r="K42" s="316"/>
      <c r="L42" s="316"/>
      <c r="Q42" s="1" t="s">
        <v>343</v>
      </c>
      <c r="R42" s="1" t="s">
        <v>1</v>
      </c>
      <c r="S42" s="1" t="s">
        <v>344</v>
      </c>
    </row>
    <row r="43" spans="1:19">
      <c r="A43" s="1" t="s">
        <v>331</v>
      </c>
      <c r="C43" s="1" t="s">
        <v>1</v>
      </c>
      <c r="D43" s="14">
        <v>0.44666666666666671</v>
      </c>
      <c r="E43" s="1" t="s">
        <v>345</v>
      </c>
      <c r="G43" s="316"/>
      <c r="H43" s="1972" t="s">
        <v>346</v>
      </c>
      <c r="I43" s="1972"/>
      <c r="J43" s="1972"/>
      <c r="K43" s="316"/>
      <c r="L43" s="316"/>
      <c r="Q43" s="1" t="s">
        <v>347</v>
      </c>
      <c r="R43" s="1" t="s">
        <v>1</v>
      </c>
      <c r="S43" s="1" t="s">
        <v>348</v>
      </c>
    </row>
    <row r="44" spans="1:19">
      <c r="C44" s="1" t="s">
        <v>1</v>
      </c>
      <c r="D44" s="150">
        <v>15.633333333333335</v>
      </c>
      <c r="E44" s="1" t="s">
        <v>293</v>
      </c>
      <c r="G44" s="316"/>
      <c r="H44" s="1972"/>
      <c r="I44" s="1972"/>
      <c r="J44" s="1972"/>
      <c r="K44" s="316"/>
      <c r="L44" s="316"/>
    </row>
    <row r="45" spans="1:19">
      <c r="G45" s="316"/>
      <c r="H45" s="316"/>
      <c r="I45" s="316"/>
      <c r="J45" s="316"/>
      <c r="K45" s="316"/>
      <c r="L45" s="316"/>
    </row>
    <row r="46" spans="1:19">
      <c r="A46" s="1" t="s">
        <v>349</v>
      </c>
      <c r="C46" s="1" t="s">
        <v>1</v>
      </c>
      <c r="D46" s="1" t="s">
        <v>350</v>
      </c>
      <c r="E46" s="1" t="s">
        <v>351</v>
      </c>
    </row>
    <row r="47" spans="1:19">
      <c r="C47" s="1" t="s">
        <v>1</v>
      </c>
      <c r="D47" s="1">
        <v>45</v>
      </c>
      <c r="E47" s="1" t="s">
        <v>293</v>
      </c>
    </row>
    <row r="50" spans="1:11" ht="17.25">
      <c r="A50" s="1" t="s">
        <v>352</v>
      </c>
      <c r="C50" s="1" t="s">
        <v>1</v>
      </c>
      <c r="D50" s="1" t="s">
        <v>353</v>
      </c>
      <c r="G50" s="1" t="s">
        <v>354</v>
      </c>
      <c r="H50" s="1" t="s">
        <v>355</v>
      </c>
      <c r="I50" s="1">
        <v>60</v>
      </c>
      <c r="J50" s="1" t="s">
        <v>293</v>
      </c>
    </row>
    <row r="51" spans="1:11">
      <c r="D51" s="1" t="s">
        <v>356</v>
      </c>
      <c r="G51" s="1" t="s">
        <v>354</v>
      </c>
      <c r="H51" s="1" t="s">
        <v>357</v>
      </c>
      <c r="I51" s="1">
        <v>60</v>
      </c>
      <c r="J51" s="1" t="s">
        <v>293</v>
      </c>
    </row>
    <row r="52" spans="1:11">
      <c r="C52" s="1" t="s">
        <v>1</v>
      </c>
      <c r="D52" s="302">
        <v>2.7712675746635549</v>
      </c>
      <c r="E52" s="1" t="s">
        <v>293</v>
      </c>
    </row>
    <row r="54" spans="1:11" ht="17.25">
      <c r="A54" s="1" t="s">
        <v>335</v>
      </c>
      <c r="C54" s="1" t="s">
        <v>1</v>
      </c>
      <c r="D54" s="1" t="s">
        <v>358</v>
      </c>
      <c r="H54" s="1" t="s">
        <v>564</v>
      </c>
    </row>
    <row r="55" spans="1:11">
      <c r="D55" s="1">
        <v>0.2</v>
      </c>
      <c r="E55" s="1" t="s">
        <v>360</v>
      </c>
      <c r="H55" s="1" t="s">
        <v>565</v>
      </c>
    </row>
    <row r="56" spans="1:11">
      <c r="C56" s="1" t="s">
        <v>1</v>
      </c>
      <c r="D56" s="1">
        <v>2E-3</v>
      </c>
      <c r="I56" s="390"/>
    </row>
    <row r="58" spans="1:11" ht="17.25">
      <c r="A58" s="1" t="s">
        <v>337</v>
      </c>
      <c r="C58" s="1" t="s">
        <v>1</v>
      </c>
      <c r="D58" s="1" t="s">
        <v>362</v>
      </c>
      <c r="I58" s="1" t="s">
        <v>359</v>
      </c>
    </row>
    <row r="59" spans="1:11">
      <c r="D59" s="1">
        <v>0.35</v>
      </c>
      <c r="E59" s="1" t="s">
        <v>360</v>
      </c>
      <c r="I59" s="1" t="s">
        <v>361</v>
      </c>
    </row>
    <row r="60" spans="1:11">
      <c r="C60" s="1" t="s">
        <v>1</v>
      </c>
      <c r="D60" s="1">
        <v>3.4999999999999996E-3</v>
      </c>
    </row>
    <row r="62" spans="1:11">
      <c r="A62" s="1" t="s">
        <v>363</v>
      </c>
    </row>
    <row r="63" spans="1:11" ht="18">
      <c r="A63" s="1" t="s">
        <v>347</v>
      </c>
      <c r="C63" s="1" t="s">
        <v>1</v>
      </c>
      <c r="D63" s="1" t="s">
        <v>364</v>
      </c>
      <c r="G63" s="1" t="s">
        <v>161</v>
      </c>
      <c r="H63" s="1">
        <v>0</v>
      </c>
      <c r="I63" s="2" t="s">
        <v>365</v>
      </c>
      <c r="J63" s="325" t="s">
        <v>366</v>
      </c>
      <c r="K63" s="3">
        <v>2E-3</v>
      </c>
    </row>
    <row r="64" spans="1:11" ht="18">
      <c r="C64" s="1" t="s">
        <v>1</v>
      </c>
      <c r="D64" s="1" t="s">
        <v>331</v>
      </c>
      <c r="G64" s="1" t="s">
        <v>161</v>
      </c>
      <c r="H64" s="2">
        <v>2E-3</v>
      </c>
      <c r="I64" s="2" t="s">
        <v>365</v>
      </c>
      <c r="J64" s="325" t="s">
        <v>366</v>
      </c>
      <c r="K64" s="3">
        <v>3.4999999999999996E-3</v>
      </c>
    </row>
    <row r="67" spans="1:12" ht="17.25">
      <c r="A67" s="323" t="s">
        <v>169</v>
      </c>
      <c r="C67" s="1" t="s">
        <v>1</v>
      </c>
      <c r="D67" s="1" t="s">
        <v>367</v>
      </c>
      <c r="H67" s="1" t="s">
        <v>359</v>
      </c>
    </row>
    <row r="68" spans="1:12">
      <c r="D68" s="1">
        <v>2</v>
      </c>
      <c r="H68" s="1" t="s">
        <v>361</v>
      </c>
    </row>
    <row r="69" spans="1:12">
      <c r="C69" s="1" t="s">
        <v>1</v>
      </c>
      <c r="D69" s="1">
        <v>2</v>
      </c>
    </row>
    <row r="71" spans="1:12">
      <c r="A71" s="84" t="s">
        <v>404</v>
      </c>
    </row>
    <row r="72" spans="1:12">
      <c r="I72" s="116"/>
      <c r="J72" s="116"/>
      <c r="K72" s="116"/>
      <c r="L72" s="116"/>
    </row>
    <row r="73" spans="1:12">
      <c r="C73" s="1" t="s">
        <v>1952</v>
      </c>
      <c r="D73" s="1" t="s">
        <v>318</v>
      </c>
      <c r="F73" s="10" t="s">
        <v>331</v>
      </c>
      <c r="I73" s="116"/>
      <c r="J73" s="116"/>
      <c r="K73" s="116"/>
      <c r="L73" s="116"/>
    </row>
    <row r="74" spans="1:12">
      <c r="E74" s="313" t="s">
        <v>377</v>
      </c>
      <c r="G74" s="327">
        <v>0.41596638655462176</v>
      </c>
      <c r="H74" s="1" t="s">
        <v>30</v>
      </c>
      <c r="I74" s="116"/>
      <c r="J74" s="116"/>
      <c r="K74" s="116"/>
      <c r="L74" s="116"/>
    </row>
    <row r="75" spans="1:12">
      <c r="C75" s="1">
        <v>4.5000000000000005E-3</v>
      </c>
      <c r="D75" s="1" t="s">
        <v>301</v>
      </c>
      <c r="I75" s="116"/>
      <c r="J75" s="116"/>
      <c r="K75" s="116"/>
      <c r="L75" s="116"/>
    </row>
    <row r="76" spans="1:12">
      <c r="H76" s="328"/>
      <c r="I76" s="116"/>
      <c r="J76" s="116"/>
      <c r="K76" s="116"/>
      <c r="L76" s="116"/>
    </row>
    <row r="77" spans="1:12">
      <c r="B77" s="2" t="s">
        <v>30</v>
      </c>
      <c r="E77" s="1" t="s">
        <v>380</v>
      </c>
      <c r="I77" s="116"/>
      <c r="J77" s="116"/>
      <c r="K77" s="116"/>
      <c r="L77" s="116"/>
    </row>
    <row r="78" spans="1:12">
      <c r="I78" s="116"/>
      <c r="J78" s="116"/>
      <c r="K78" s="116"/>
      <c r="L78" s="116"/>
    </row>
    <row r="79" spans="1:12">
      <c r="I79" s="116"/>
      <c r="J79" s="116"/>
      <c r="K79" s="116"/>
      <c r="L79" s="116"/>
    </row>
    <row r="80" spans="1:12">
      <c r="I80" s="116"/>
      <c r="J80" s="116"/>
      <c r="K80" s="116"/>
      <c r="L80" s="116"/>
    </row>
    <row r="81" spans="1:12">
      <c r="B81" s="10" t="s">
        <v>318</v>
      </c>
      <c r="E81" s="1" t="s">
        <v>382</v>
      </c>
      <c r="I81" s="116"/>
      <c r="J81" s="116"/>
      <c r="K81" s="116"/>
      <c r="L81" s="116"/>
    </row>
    <row r="82" spans="1:12">
      <c r="I82" s="116"/>
      <c r="J82" s="116"/>
      <c r="K82" s="116"/>
      <c r="L82" s="116"/>
    </row>
    <row r="83" spans="1:12">
      <c r="A83" s="1" t="s">
        <v>405</v>
      </c>
      <c r="D83" s="1" t="s">
        <v>1</v>
      </c>
      <c r="E83" s="14">
        <v>0.80952380952380953</v>
      </c>
      <c r="F83" s="1" t="s">
        <v>406</v>
      </c>
      <c r="G83" s="1" t="s">
        <v>1</v>
      </c>
      <c r="H83" s="14">
        <v>0.36158730158730162</v>
      </c>
      <c r="I83" s="1" t="s">
        <v>408</v>
      </c>
    </row>
    <row r="84" spans="1:12">
      <c r="A84" s="1" t="s">
        <v>407</v>
      </c>
      <c r="D84" s="1" t="s">
        <v>1</v>
      </c>
      <c r="E84" s="14">
        <v>0.41596638655462176</v>
      </c>
      <c r="F84" s="1" t="s">
        <v>30</v>
      </c>
    </row>
    <row r="85" spans="1:12">
      <c r="I85" s="14"/>
    </row>
    <row r="86" spans="1:12">
      <c r="A86" s="84" t="s">
        <v>384</v>
      </c>
    </row>
    <row r="87" spans="1:12">
      <c r="A87" s="1" t="s">
        <v>385</v>
      </c>
    </row>
    <row r="88" spans="1:12">
      <c r="A88" s="1" t="s">
        <v>386</v>
      </c>
      <c r="C88" s="1" t="s">
        <v>1</v>
      </c>
      <c r="D88" s="320">
        <v>4.0500000000000006E-3</v>
      </c>
    </row>
    <row r="90" spans="1:12" ht="18">
      <c r="A90" s="1" t="s">
        <v>387</v>
      </c>
      <c r="D90" s="1" t="s">
        <v>388</v>
      </c>
      <c r="E90" s="1" t="s">
        <v>1</v>
      </c>
      <c r="F90" s="1">
        <v>3.4999999999999996E-3</v>
      </c>
    </row>
    <row r="92" spans="1:12" ht="18">
      <c r="D92" s="10" t="s">
        <v>389</v>
      </c>
      <c r="E92" s="1">
        <v>3.4999999999999996E-3</v>
      </c>
    </row>
    <row r="94" spans="1:12" ht="18">
      <c r="G94" s="10" t="s">
        <v>390</v>
      </c>
      <c r="H94" s="1" t="s">
        <v>600</v>
      </c>
    </row>
    <row r="95" spans="1:12">
      <c r="C95" s="10" t="s">
        <v>61</v>
      </c>
    </row>
    <row r="96" spans="1:12">
      <c r="G96" s="10" t="s">
        <v>391</v>
      </c>
    </row>
    <row r="98" spans="1:16">
      <c r="E98" s="10" t="s">
        <v>392</v>
      </c>
      <c r="F98" s="1">
        <v>4.0500000000000006E-3</v>
      </c>
    </row>
    <row r="99" spans="1:16">
      <c r="B99" s="10" t="s">
        <v>393</v>
      </c>
    </row>
    <row r="101" spans="1:16" ht="18">
      <c r="B101" s="15" t="s">
        <v>394</v>
      </c>
      <c r="C101" s="1782" t="s">
        <v>1</v>
      </c>
      <c r="D101" s="312">
        <v>3.4999999999999996E-3</v>
      </c>
    </row>
    <row r="102" spans="1:16" ht="18">
      <c r="B102" s="1" t="s">
        <v>395</v>
      </c>
      <c r="C102" s="1782"/>
      <c r="D102" s="2">
        <v>4.0500000000000006E-3</v>
      </c>
    </row>
    <row r="104" spans="1:16" ht="18">
      <c r="B104" s="97" t="s">
        <v>394</v>
      </c>
      <c r="C104" s="329" t="s">
        <v>1</v>
      </c>
      <c r="D104" s="41">
        <v>0.46357615894039728</v>
      </c>
      <c r="E104" s="3" t="s">
        <v>396</v>
      </c>
    </row>
    <row r="105" spans="1:16">
      <c r="C105" s="152"/>
    </row>
    <row r="106" spans="1:16">
      <c r="C106" s="152"/>
    </row>
    <row r="107" spans="1:16">
      <c r="A107" s="84" t="s">
        <v>368</v>
      </c>
    </row>
    <row r="109" spans="1:16">
      <c r="A109" s="1" t="s">
        <v>369</v>
      </c>
      <c r="D109" s="323" t="s">
        <v>160</v>
      </c>
      <c r="E109" s="1" t="s">
        <v>1</v>
      </c>
      <c r="F109" s="1">
        <v>0.8</v>
      </c>
      <c r="H109" s="1" t="s">
        <v>370</v>
      </c>
      <c r="I109" s="1" t="s">
        <v>371</v>
      </c>
    </row>
    <row r="110" spans="1:16">
      <c r="E110" s="1" t="s">
        <v>1</v>
      </c>
      <c r="F110" s="1" t="s">
        <v>372</v>
      </c>
      <c r="H110" s="1" t="s">
        <v>370</v>
      </c>
      <c r="I110" s="1" t="s">
        <v>373</v>
      </c>
      <c r="P110" s="87"/>
    </row>
    <row r="111" spans="1:16">
      <c r="E111" s="1" t="s">
        <v>1</v>
      </c>
      <c r="F111" s="1">
        <v>0.8</v>
      </c>
    </row>
    <row r="114" spans="1:17">
      <c r="A114" s="1" t="s">
        <v>374</v>
      </c>
      <c r="D114" s="323" t="s">
        <v>169</v>
      </c>
      <c r="E114" s="1" t="s">
        <v>1</v>
      </c>
      <c r="F114" s="1">
        <v>1</v>
      </c>
      <c r="H114" s="1" t="s">
        <v>370</v>
      </c>
      <c r="I114" s="1" t="s">
        <v>371</v>
      </c>
    </row>
    <row r="115" spans="1:17">
      <c r="E115" s="1" t="s">
        <v>1</v>
      </c>
      <c r="F115" s="1" t="s">
        <v>375</v>
      </c>
      <c r="H115" s="1" t="s">
        <v>370</v>
      </c>
      <c r="I115" s="1" t="s">
        <v>373</v>
      </c>
    </row>
    <row r="116" spans="1:17">
      <c r="E116" s="1" t="s">
        <v>1</v>
      </c>
      <c r="F116" s="1">
        <v>1</v>
      </c>
    </row>
    <row r="118" spans="1:17">
      <c r="C118" s="1">
        <v>3.4999999999999996E-3</v>
      </c>
      <c r="D118" s="1" t="s">
        <v>318</v>
      </c>
      <c r="F118" s="10" t="s">
        <v>331</v>
      </c>
      <c r="J118" s="326">
        <v>1</v>
      </c>
      <c r="K118" s="1" t="s">
        <v>376</v>
      </c>
      <c r="O118" s="302">
        <v>0.9730639730639733</v>
      </c>
      <c r="P118" s="1" t="s">
        <v>376</v>
      </c>
    </row>
    <row r="119" spans="1:17">
      <c r="E119" s="313" t="s">
        <v>377</v>
      </c>
      <c r="G119" s="327">
        <v>0.41596638655462176</v>
      </c>
      <c r="H119" s="1" t="s">
        <v>30</v>
      </c>
    </row>
    <row r="120" spans="1:17">
      <c r="C120" s="1">
        <v>2E-3</v>
      </c>
      <c r="D120" s="1" t="s">
        <v>301</v>
      </c>
      <c r="K120" s="2"/>
      <c r="P120" s="2"/>
    </row>
    <row r="121" spans="1:17">
      <c r="H121" s="328" t="s">
        <v>378</v>
      </c>
      <c r="K121" s="87">
        <v>0.8</v>
      </c>
      <c r="L121" s="1" t="s">
        <v>379</v>
      </c>
      <c r="P121" s="150">
        <v>0.83193277310924352</v>
      </c>
      <c r="Q121" s="1" t="s">
        <v>379</v>
      </c>
    </row>
    <row r="122" spans="1:17">
      <c r="B122" s="2" t="s">
        <v>30</v>
      </c>
      <c r="E122" s="1" t="s">
        <v>380</v>
      </c>
    </row>
    <row r="125" spans="1:17">
      <c r="O125" s="1" t="s">
        <v>381</v>
      </c>
    </row>
    <row r="126" spans="1:17">
      <c r="B126" s="10" t="s">
        <v>318</v>
      </c>
      <c r="E126" s="1" t="s">
        <v>382</v>
      </c>
      <c r="J126" s="1" t="s">
        <v>383</v>
      </c>
    </row>
    <row r="130" spans="1:13" ht="18">
      <c r="A130" s="9" t="s">
        <v>397</v>
      </c>
    </row>
    <row r="131" spans="1:13">
      <c r="A131" s="1" t="s">
        <v>398</v>
      </c>
    </row>
    <row r="132" spans="1:13">
      <c r="A132" s="30" t="s">
        <v>399</v>
      </c>
      <c r="B132" s="31"/>
      <c r="C132" s="32"/>
      <c r="D132" s="30">
        <v>20</v>
      </c>
      <c r="E132" s="31">
        <v>25</v>
      </c>
      <c r="F132" s="31">
        <v>30</v>
      </c>
      <c r="G132" s="31">
        <v>35</v>
      </c>
      <c r="H132" s="31">
        <v>40</v>
      </c>
      <c r="I132" s="31">
        <v>45</v>
      </c>
      <c r="J132" s="31">
        <v>50</v>
      </c>
      <c r="K132" s="31">
        <v>55</v>
      </c>
      <c r="L132" s="31">
        <v>60</v>
      </c>
      <c r="M132" s="32">
        <v>120</v>
      </c>
    </row>
    <row r="133" spans="1:13">
      <c r="A133" s="1968" t="s">
        <v>400</v>
      </c>
      <c r="B133" s="24"/>
      <c r="C133" s="21"/>
      <c r="D133" s="23"/>
      <c r="E133" s="24"/>
      <c r="F133" s="24"/>
      <c r="G133" s="24"/>
      <c r="H133" s="24"/>
      <c r="I133" s="24"/>
      <c r="J133" s="24"/>
      <c r="K133" s="24"/>
      <c r="L133" s="24"/>
      <c r="M133" s="21"/>
    </row>
    <row r="134" spans="1:13">
      <c r="A134" s="1969"/>
      <c r="B134" s="26" t="s">
        <v>401</v>
      </c>
      <c r="C134" s="27" t="s">
        <v>402</v>
      </c>
      <c r="D134" s="66">
        <v>1.95</v>
      </c>
      <c r="E134" s="77">
        <v>2.25</v>
      </c>
      <c r="F134" s="77">
        <v>2.7</v>
      </c>
      <c r="G134" s="77">
        <v>3</v>
      </c>
      <c r="H134" s="77">
        <v>3.2</v>
      </c>
      <c r="I134" s="77">
        <v>3.4</v>
      </c>
      <c r="J134" s="77">
        <v>3.75</v>
      </c>
      <c r="K134" s="77">
        <v>4</v>
      </c>
      <c r="L134" s="77">
        <v>4.3</v>
      </c>
      <c r="M134" s="330">
        <v>4.3</v>
      </c>
    </row>
    <row r="135" spans="1:13">
      <c r="A135" s="1969"/>
      <c r="B135" s="26"/>
      <c r="C135" s="27"/>
      <c r="D135" s="25"/>
      <c r="E135" s="26"/>
      <c r="F135" s="26"/>
      <c r="G135" s="26"/>
      <c r="H135" s="26"/>
      <c r="I135" s="26"/>
      <c r="J135" s="26"/>
      <c r="K135" s="26"/>
      <c r="L135" s="26"/>
      <c r="M135" s="27"/>
    </row>
    <row r="136" spans="1:13">
      <c r="A136" s="1970"/>
      <c r="B136" s="15"/>
      <c r="C136" s="22"/>
      <c r="D136" s="28"/>
      <c r="E136" s="15"/>
      <c r="F136" s="15"/>
      <c r="G136" s="15"/>
      <c r="H136" s="15"/>
      <c r="I136" s="15"/>
      <c r="J136" s="15"/>
      <c r="K136" s="15"/>
      <c r="L136" s="15"/>
      <c r="M136" s="22"/>
    </row>
    <row r="138" spans="1:13">
      <c r="A138" s="1" t="s">
        <v>403</v>
      </c>
      <c r="C138" s="1" t="s">
        <v>1</v>
      </c>
      <c r="D138" s="4">
        <v>1.5</v>
      </c>
    </row>
  </sheetData>
  <mergeCells count="6">
    <mergeCell ref="A133:A136"/>
    <mergeCell ref="G10:G13"/>
    <mergeCell ref="H18:K19"/>
    <mergeCell ref="G38:G40"/>
    <mergeCell ref="H43:J44"/>
    <mergeCell ref="C101:C102"/>
  </mergeCells>
  <pageMargins left="0.59055118110236227" right="0.19685039370078741" top="0.59055118110236227" bottom="0.15748031496062992" header="0.31496062992125984" footer="0.31496062992125984"/>
  <pageSetup paperSize="9" orientation="portrait" horizontalDpi="1200" verticalDpi="1200" r:id="rId1"/>
  <colBreaks count="1" manualBreakCount="1">
    <brk id="12" max="137" man="1"/>
  </colBreaks>
  <drawing r:id="rId2"/>
</worksheet>
</file>

<file path=xl/worksheets/sheet53.xml><?xml version="1.0" encoding="utf-8"?>
<worksheet xmlns="http://schemas.openxmlformats.org/spreadsheetml/2006/main" xmlns:r="http://schemas.openxmlformats.org/officeDocument/2006/relationships">
  <sheetPr codeName="Sheet67"/>
  <dimension ref="A1:B100"/>
  <sheetViews>
    <sheetView view="pageBreakPreview" zoomScaleSheetLayoutView="100" workbookViewId="0">
      <selection activeCell="K90" sqref="K90"/>
    </sheetView>
  </sheetViews>
  <sheetFormatPr defaultColWidth="7.7109375" defaultRowHeight="15"/>
  <cols>
    <col min="1" max="2" width="7.7109375" style="1"/>
    <col min="3" max="3" width="23.7109375" style="1" customWidth="1"/>
    <col min="4" max="4" width="27.7109375" style="1" customWidth="1"/>
    <col min="5" max="16384" width="7.7109375" style="1"/>
  </cols>
  <sheetData>
    <row r="1" spans="1:2">
      <c r="A1" s="9" t="s">
        <v>228</v>
      </c>
    </row>
    <row r="2" spans="1:2">
      <c r="A2" s="62" t="s">
        <v>743</v>
      </c>
    </row>
    <row r="3" spans="1:2">
      <c r="A3" s="1" t="s">
        <v>122</v>
      </c>
      <c r="B3" s="1" t="s">
        <v>1013</v>
      </c>
    </row>
    <row r="4" spans="1:2">
      <c r="A4" s="1" t="s">
        <v>123</v>
      </c>
      <c r="B4" s="1" t="s">
        <v>1014</v>
      </c>
    </row>
    <row r="5" spans="1:2">
      <c r="A5" s="1" t="s">
        <v>126</v>
      </c>
      <c r="B5" s="1" t="s">
        <v>1015</v>
      </c>
    </row>
    <row r="6" spans="1:2">
      <c r="A6" s="1" t="s">
        <v>214</v>
      </c>
      <c r="B6" s="1" t="s">
        <v>1035</v>
      </c>
    </row>
    <row r="7" spans="1:2">
      <c r="A7" s="1" t="s">
        <v>215</v>
      </c>
      <c r="B7" s="656" t="s">
        <v>1016</v>
      </c>
    </row>
    <row r="8" spans="1:2">
      <c r="A8" s="1" t="s">
        <v>216</v>
      </c>
      <c r="B8" s="656" t="s">
        <v>1020</v>
      </c>
    </row>
    <row r="9" spans="1:2">
      <c r="A9" s="1" t="s">
        <v>222</v>
      </c>
      <c r="B9" s="656" t="s">
        <v>1025</v>
      </c>
    </row>
    <row r="10" spans="1:2">
      <c r="A10" s="1" t="s">
        <v>223</v>
      </c>
      <c r="B10" s="656" t="s">
        <v>1024</v>
      </c>
    </row>
    <row r="11" spans="1:2">
      <c r="A11" s="1" t="s">
        <v>224</v>
      </c>
      <c r="B11" s="7" t="s">
        <v>1017</v>
      </c>
    </row>
    <row r="12" spans="1:2">
      <c r="A12" s="1" t="s">
        <v>225</v>
      </c>
      <c r="B12" s="7" t="s">
        <v>1021</v>
      </c>
    </row>
    <row r="13" spans="1:2">
      <c r="A13" s="1" t="s">
        <v>230</v>
      </c>
      <c r="B13" s="7" t="s">
        <v>1026</v>
      </c>
    </row>
    <row r="14" spans="1:2">
      <c r="A14" s="1" t="s">
        <v>238</v>
      </c>
      <c r="B14" s="7" t="s">
        <v>1029</v>
      </c>
    </row>
    <row r="15" spans="1:2">
      <c r="A15" s="1" t="s">
        <v>239</v>
      </c>
      <c r="B15" s="171" t="s">
        <v>1018</v>
      </c>
    </row>
    <row r="16" spans="1:2">
      <c r="A16" s="1" t="s">
        <v>240</v>
      </c>
      <c r="B16" s="171" t="s">
        <v>1022</v>
      </c>
    </row>
    <row r="17" spans="1:2">
      <c r="A17" s="1" t="s">
        <v>241</v>
      </c>
      <c r="B17" s="171" t="s">
        <v>1027</v>
      </c>
    </row>
    <row r="18" spans="1:2">
      <c r="A18" s="1" t="s">
        <v>242</v>
      </c>
      <c r="B18" s="171" t="s">
        <v>1030</v>
      </c>
    </row>
    <row r="19" spans="1:2">
      <c r="A19" s="1" t="s">
        <v>243</v>
      </c>
      <c r="B19" s="7" t="s">
        <v>1019</v>
      </c>
    </row>
    <row r="20" spans="1:2">
      <c r="A20" s="1" t="s">
        <v>244</v>
      </c>
      <c r="B20" s="7" t="s">
        <v>1023</v>
      </c>
    </row>
    <row r="21" spans="1:2">
      <c r="A21" s="1" t="s">
        <v>668</v>
      </c>
      <c r="B21" s="7" t="s">
        <v>1028</v>
      </c>
    </row>
    <row r="22" spans="1:2">
      <c r="A22" s="1" t="s">
        <v>669</v>
      </c>
      <c r="B22" s="7" t="s">
        <v>1031</v>
      </c>
    </row>
    <row r="23" spans="1:2">
      <c r="A23" s="1" t="s">
        <v>682</v>
      </c>
      <c r="B23" s="1" t="s">
        <v>1142</v>
      </c>
    </row>
    <row r="24" spans="1:2">
      <c r="A24" s="1" t="s">
        <v>683</v>
      </c>
      <c r="B24" s="1" t="s">
        <v>1143</v>
      </c>
    </row>
    <row r="25" spans="1:2">
      <c r="A25" s="1" t="s">
        <v>245</v>
      </c>
      <c r="B25" s="1" t="s">
        <v>1144</v>
      </c>
    </row>
    <row r="26" spans="1:2">
      <c r="A26" s="1" t="s">
        <v>684</v>
      </c>
      <c r="B26" s="1" t="s">
        <v>1145</v>
      </c>
    </row>
    <row r="27" spans="1:2">
      <c r="A27" s="1" t="s">
        <v>1162</v>
      </c>
      <c r="B27" s="656" t="s">
        <v>1146</v>
      </c>
    </row>
    <row r="28" spans="1:2">
      <c r="A28" s="1" t="s">
        <v>1163</v>
      </c>
      <c r="B28" s="656" t="s">
        <v>1147</v>
      </c>
    </row>
    <row r="29" spans="1:2">
      <c r="A29" s="1" t="s">
        <v>1164</v>
      </c>
      <c r="B29" s="656" t="s">
        <v>1148</v>
      </c>
    </row>
    <row r="30" spans="1:2">
      <c r="A30" s="1" t="s">
        <v>1165</v>
      </c>
      <c r="B30" s="656" t="s">
        <v>1149</v>
      </c>
    </row>
    <row r="31" spans="1:2">
      <c r="A31" s="1" t="s">
        <v>1166</v>
      </c>
      <c r="B31" s="7" t="s">
        <v>1150</v>
      </c>
    </row>
    <row r="32" spans="1:2">
      <c r="A32" s="1" t="s">
        <v>1167</v>
      </c>
      <c r="B32" s="7" t="s">
        <v>1151</v>
      </c>
    </row>
    <row r="33" spans="1:2">
      <c r="A33" s="1" t="s">
        <v>1168</v>
      </c>
      <c r="B33" s="7" t="s">
        <v>1152</v>
      </c>
    </row>
    <row r="34" spans="1:2">
      <c r="A34" s="1" t="s">
        <v>1169</v>
      </c>
      <c r="B34" s="7" t="s">
        <v>1153</v>
      </c>
    </row>
    <row r="35" spans="1:2">
      <c r="A35" s="1" t="s">
        <v>1170</v>
      </c>
      <c r="B35" s="171" t="s">
        <v>1154</v>
      </c>
    </row>
    <row r="36" spans="1:2">
      <c r="A36" s="1" t="s">
        <v>1171</v>
      </c>
      <c r="B36" s="171" t="s">
        <v>1155</v>
      </c>
    </row>
    <row r="37" spans="1:2">
      <c r="A37" s="1" t="s">
        <v>1172</v>
      </c>
      <c r="B37" s="171" t="s">
        <v>1156</v>
      </c>
    </row>
    <row r="38" spans="1:2">
      <c r="A38" s="1" t="s">
        <v>1173</v>
      </c>
      <c r="B38" s="171" t="s">
        <v>1157</v>
      </c>
    </row>
    <row r="39" spans="1:2">
      <c r="A39" s="1" t="s">
        <v>1174</v>
      </c>
      <c r="B39" s="7" t="s">
        <v>1158</v>
      </c>
    </row>
    <row r="40" spans="1:2">
      <c r="A40" s="1" t="s">
        <v>1175</v>
      </c>
      <c r="B40" s="7" t="s">
        <v>1159</v>
      </c>
    </row>
    <row r="41" spans="1:2">
      <c r="A41" s="1" t="s">
        <v>1176</v>
      </c>
      <c r="B41" s="7" t="s">
        <v>1160</v>
      </c>
    </row>
    <row r="42" spans="1:2">
      <c r="A42" s="1" t="s">
        <v>1177</v>
      </c>
      <c r="B42" s="7" t="s">
        <v>1161</v>
      </c>
    </row>
    <row r="44" spans="1:2">
      <c r="A44" s="62" t="s">
        <v>594</v>
      </c>
    </row>
    <row r="45" spans="1:2">
      <c r="A45" s="1" t="s">
        <v>122</v>
      </c>
      <c r="B45" s="1" t="s">
        <v>1430</v>
      </c>
    </row>
    <row r="46" spans="1:2">
      <c r="A46" s="1" t="s">
        <v>123</v>
      </c>
      <c r="B46" s="1" t="s">
        <v>1431</v>
      </c>
    </row>
    <row r="47" spans="1:2">
      <c r="A47" s="1" t="s">
        <v>126</v>
      </c>
      <c r="B47" s="1" t="s">
        <v>1432</v>
      </c>
    </row>
    <row r="48" spans="1:2">
      <c r="A48" s="1" t="s">
        <v>214</v>
      </c>
      <c r="B48" s="1" t="s">
        <v>1433</v>
      </c>
    </row>
    <row r="49" spans="1:2">
      <c r="A49" s="1" t="s">
        <v>215</v>
      </c>
      <c r="B49" s="1004" t="s">
        <v>1434</v>
      </c>
    </row>
    <row r="50" spans="1:2">
      <c r="A50" s="1" t="s">
        <v>216</v>
      </c>
      <c r="B50" s="1004" t="s">
        <v>1435</v>
      </c>
    </row>
    <row r="51" spans="1:2">
      <c r="A51" s="1" t="s">
        <v>222</v>
      </c>
      <c r="B51" s="1004" t="s">
        <v>1436</v>
      </c>
    </row>
    <row r="52" spans="1:2">
      <c r="A52" s="1" t="s">
        <v>223</v>
      </c>
      <c r="B52" s="1004" t="s">
        <v>1437</v>
      </c>
    </row>
    <row r="53" spans="1:2">
      <c r="A53" s="1" t="s">
        <v>224</v>
      </c>
      <c r="B53" s="656" t="s">
        <v>1016</v>
      </c>
    </row>
    <row r="54" spans="1:2">
      <c r="A54" s="1" t="s">
        <v>225</v>
      </c>
      <c r="B54" s="656" t="s">
        <v>1020</v>
      </c>
    </row>
    <row r="55" spans="1:2">
      <c r="A55" s="1" t="s">
        <v>230</v>
      </c>
      <c r="B55" s="656" t="s">
        <v>1025</v>
      </c>
    </row>
    <row r="56" spans="1:2">
      <c r="A56" s="1" t="s">
        <v>238</v>
      </c>
      <c r="B56" s="656" t="s">
        <v>1024</v>
      </c>
    </row>
    <row r="57" spans="1:2">
      <c r="A57" s="1" t="s">
        <v>239</v>
      </c>
      <c r="B57" s="7" t="s">
        <v>1017</v>
      </c>
    </row>
    <row r="58" spans="1:2">
      <c r="A58" s="1" t="s">
        <v>240</v>
      </c>
      <c r="B58" s="7" t="s">
        <v>1021</v>
      </c>
    </row>
    <row r="59" spans="1:2">
      <c r="A59" s="1" t="s">
        <v>241</v>
      </c>
      <c r="B59" s="7" t="s">
        <v>1026</v>
      </c>
    </row>
    <row r="60" spans="1:2">
      <c r="A60" s="1" t="s">
        <v>242</v>
      </c>
      <c r="B60" s="7" t="s">
        <v>1029</v>
      </c>
    </row>
    <row r="61" spans="1:2">
      <c r="A61" s="1" t="s">
        <v>243</v>
      </c>
      <c r="B61" s="171" t="s">
        <v>1018</v>
      </c>
    </row>
    <row r="62" spans="1:2">
      <c r="A62" s="1" t="s">
        <v>244</v>
      </c>
      <c r="B62" s="171" t="s">
        <v>1022</v>
      </c>
    </row>
    <row r="63" spans="1:2">
      <c r="A63" s="1" t="s">
        <v>668</v>
      </c>
      <c r="B63" s="171" t="s">
        <v>1027</v>
      </c>
    </row>
    <row r="64" spans="1:2">
      <c r="A64" s="1" t="s">
        <v>669</v>
      </c>
      <c r="B64" s="171" t="s">
        <v>1030</v>
      </c>
    </row>
    <row r="65" spans="1:2">
      <c r="A65" s="1" t="s">
        <v>682</v>
      </c>
      <c r="B65" s="7" t="s">
        <v>1019</v>
      </c>
    </row>
    <row r="66" spans="1:2">
      <c r="A66" s="1" t="s">
        <v>683</v>
      </c>
      <c r="B66" s="7" t="s">
        <v>1023</v>
      </c>
    </row>
    <row r="67" spans="1:2">
      <c r="A67" s="1" t="s">
        <v>245</v>
      </c>
      <c r="B67" s="7" t="s">
        <v>1028</v>
      </c>
    </row>
    <row r="68" spans="1:2">
      <c r="A68" s="1" t="s">
        <v>684</v>
      </c>
      <c r="B68" s="7" t="s">
        <v>1031</v>
      </c>
    </row>
    <row r="69" spans="1:2">
      <c r="A69" s="1" t="s">
        <v>1162</v>
      </c>
      <c r="B69" s="1" t="s">
        <v>1438</v>
      </c>
    </row>
    <row r="70" spans="1:2">
      <c r="A70" s="1" t="s">
        <v>1163</v>
      </c>
      <c r="B70" s="1" t="s">
        <v>1439</v>
      </c>
    </row>
    <row r="71" spans="1:2">
      <c r="A71" s="1" t="s">
        <v>1164</v>
      </c>
      <c r="B71" s="1" t="s">
        <v>1440</v>
      </c>
    </row>
    <row r="72" spans="1:2">
      <c r="A72" s="1" t="s">
        <v>1165</v>
      </c>
      <c r="B72" s="1" t="s">
        <v>1441</v>
      </c>
    </row>
    <row r="73" spans="1:2">
      <c r="A73" s="1" t="s">
        <v>1166</v>
      </c>
      <c r="B73" s="1004" t="s">
        <v>1442</v>
      </c>
    </row>
    <row r="74" spans="1:2">
      <c r="A74" s="1" t="s">
        <v>1167</v>
      </c>
      <c r="B74" s="1004" t="s">
        <v>1443</v>
      </c>
    </row>
    <row r="75" spans="1:2">
      <c r="A75" s="1" t="s">
        <v>1168</v>
      </c>
      <c r="B75" s="1004" t="s">
        <v>1444</v>
      </c>
    </row>
    <row r="76" spans="1:2">
      <c r="A76" s="1" t="s">
        <v>1169</v>
      </c>
      <c r="B76" s="1004" t="s">
        <v>1445</v>
      </c>
    </row>
    <row r="77" spans="1:2">
      <c r="A77" s="1" t="s">
        <v>1170</v>
      </c>
      <c r="B77" s="656" t="s">
        <v>1146</v>
      </c>
    </row>
    <row r="78" spans="1:2">
      <c r="A78" s="1" t="s">
        <v>1171</v>
      </c>
      <c r="B78" s="656" t="s">
        <v>1147</v>
      </c>
    </row>
    <row r="79" spans="1:2">
      <c r="A79" s="1" t="s">
        <v>1172</v>
      </c>
      <c r="B79" s="656" t="s">
        <v>1148</v>
      </c>
    </row>
    <row r="80" spans="1:2">
      <c r="A80" s="1" t="s">
        <v>1173</v>
      </c>
      <c r="B80" s="656" t="s">
        <v>1149</v>
      </c>
    </row>
    <row r="81" spans="1:2">
      <c r="A81" s="1" t="s">
        <v>1174</v>
      </c>
      <c r="B81" s="7" t="s">
        <v>1150</v>
      </c>
    </row>
    <row r="82" spans="1:2">
      <c r="A82" s="1" t="s">
        <v>1175</v>
      </c>
      <c r="B82" s="7" t="s">
        <v>1151</v>
      </c>
    </row>
    <row r="83" spans="1:2">
      <c r="A83" s="1" t="s">
        <v>1176</v>
      </c>
      <c r="B83" s="7" t="s">
        <v>1152</v>
      </c>
    </row>
    <row r="84" spans="1:2">
      <c r="A84" s="1" t="s">
        <v>1177</v>
      </c>
      <c r="B84" s="7" t="s">
        <v>1153</v>
      </c>
    </row>
    <row r="85" spans="1:2">
      <c r="A85" s="1" t="s">
        <v>1422</v>
      </c>
      <c r="B85" s="171" t="s">
        <v>1154</v>
      </c>
    </row>
    <row r="86" spans="1:2">
      <c r="A86" s="1" t="s">
        <v>1423</v>
      </c>
      <c r="B86" s="171" t="s">
        <v>1155</v>
      </c>
    </row>
    <row r="87" spans="1:2">
      <c r="A87" s="1" t="s">
        <v>1424</v>
      </c>
      <c r="B87" s="171" t="s">
        <v>1156</v>
      </c>
    </row>
    <row r="88" spans="1:2">
      <c r="A88" s="1" t="s">
        <v>1425</v>
      </c>
      <c r="B88" s="171" t="s">
        <v>1157</v>
      </c>
    </row>
    <row r="89" spans="1:2">
      <c r="A89" s="1" t="s">
        <v>1426</v>
      </c>
      <c r="B89" s="7" t="s">
        <v>1158</v>
      </c>
    </row>
    <row r="90" spans="1:2">
      <c r="A90" s="1" t="s">
        <v>1427</v>
      </c>
      <c r="B90" s="7" t="s">
        <v>1159</v>
      </c>
    </row>
    <row r="91" spans="1:2">
      <c r="A91" s="1" t="s">
        <v>1428</v>
      </c>
      <c r="B91" s="7" t="s">
        <v>1160</v>
      </c>
    </row>
    <row r="92" spans="1:2">
      <c r="A92" s="1" t="s">
        <v>1429</v>
      </c>
      <c r="B92" s="7" t="s">
        <v>1161</v>
      </c>
    </row>
    <row r="94" spans="1:2">
      <c r="A94" s="62" t="s">
        <v>595</v>
      </c>
    </row>
    <row r="95" spans="1:2">
      <c r="A95" s="1" t="s">
        <v>122</v>
      </c>
      <c r="B95" s="1" t="s">
        <v>1446</v>
      </c>
    </row>
    <row r="96" spans="1:2">
      <c r="A96" s="1" t="s">
        <v>123</v>
      </c>
      <c r="B96" s="1" t="s">
        <v>1447</v>
      </c>
    </row>
    <row r="97" spans="1:2">
      <c r="A97" s="1" t="s">
        <v>126</v>
      </c>
      <c r="B97" s="1" t="s">
        <v>1450</v>
      </c>
    </row>
    <row r="98" spans="1:2">
      <c r="A98" s="1" t="s">
        <v>214</v>
      </c>
      <c r="B98" s="1" t="s">
        <v>1451</v>
      </c>
    </row>
    <row r="99" spans="1:2">
      <c r="A99" s="1" t="s">
        <v>215</v>
      </c>
      <c r="B99" s="1" t="s">
        <v>1448</v>
      </c>
    </row>
    <row r="100" spans="1:2">
      <c r="A100" s="1" t="s">
        <v>216</v>
      </c>
      <c r="B100" s="1" t="s">
        <v>1449</v>
      </c>
    </row>
  </sheetData>
  <pageMargins left="0.70866141732283472" right="0.70866141732283472" top="0.74803149606299213" bottom="0.74803149606299213" header="0.31496062992125984" footer="0.31496062992125984"/>
  <pageSetup paperSize="9" scale="91" orientation="portrait" blackAndWhite="1" r:id="rId1"/>
</worksheet>
</file>

<file path=xl/worksheets/sheet54.xml><?xml version="1.0" encoding="utf-8"?>
<worksheet xmlns="http://schemas.openxmlformats.org/spreadsheetml/2006/main" xmlns:r="http://schemas.openxmlformats.org/officeDocument/2006/relationships">
  <sheetPr codeName="Sheet17"/>
  <dimension ref="K11:M62"/>
  <sheetViews>
    <sheetView workbookViewId="0">
      <selection activeCell="G17" sqref="G17"/>
    </sheetView>
  </sheetViews>
  <sheetFormatPr defaultColWidth="7.7109375" defaultRowHeight="15"/>
  <cols>
    <col min="1" max="16384" width="7.7109375" style="1"/>
  </cols>
  <sheetData>
    <row r="11" ht="15" customHeight="1"/>
    <row r="52" spans="11:13">
      <c r="K52" s="116"/>
      <c r="L52" s="270"/>
      <c r="M52" s="87"/>
    </row>
    <row r="53" spans="11:13">
      <c r="K53" s="116"/>
      <c r="L53" s="270"/>
      <c r="M53" s="87"/>
    </row>
    <row r="54" spans="11:13">
      <c r="K54" s="116"/>
      <c r="L54" s="270"/>
      <c r="M54" s="87"/>
    </row>
    <row r="55" spans="11:13">
      <c r="K55" s="116"/>
      <c r="L55" s="270"/>
      <c r="M55" s="87"/>
    </row>
    <row r="56" spans="11:13">
      <c r="K56" s="116"/>
      <c r="L56" s="270"/>
      <c r="M56" s="87"/>
    </row>
    <row r="57" spans="11:13">
      <c r="K57" s="116"/>
      <c r="L57" s="270"/>
      <c r="M57" s="87"/>
    </row>
    <row r="58" spans="11:13">
      <c r="K58" s="116"/>
      <c r="L58" s="270"/>
      <c r="M58" s="87"/>
    </row>
    <row r="59" spans="11:13">
      <c r="K59" s="116"/>
      <c r="L59" s="270"/>
      <c r="M59" s="87"/>
    </row>
    <row r="60" spans="11:13">
      <c r="K60" s="116"/>
      <c r="L60" s="270"/>
      <c r="M60" s="87"/>
    </row>
    <row r="61" spans="11:13">
      <c r="K61" s="116"/>
      <c r="L61" s="270"/>
      <c r="M61" s="87"/>
    </row>
    <row r="62" spans="11:13">
      <c r="K62" s="116"/>
      <c r="L62" s="270"/>
      <c r="M62" s="8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2"/>
  <dimension ref="A1:O142"/>
  <sheetViews>
    <sheetView tabSelected="1" view="pageBreakPreview" zoomScaleSheetLayoutView="100" workbookViewId="0">
      <selection activeCell="H142" sqref="H142"/>
    </sheetView>
  </sheetViews>
  <sheetFormatPr defaultColWidth="7.7109375" defaultRowHeight="15"/>
  <cols>
    <col min="1" max="4" width="7.7109375" style="1"/>
    <col min="5" max="5" width="7.7109375" style="26"/>
    <col min="6" max="16384" width="7.7109375" style="1"/>
  </cols>
  <sheetData>
    <row r="1" spans="1:9">
      <c r="A1" s="9" t="s">
        <v>42</v>
      </c>
    </row>
    <row r="2" spans="1:9">
      <c r="A2" s="62" t="s">
        <v>636</v>
      </c>
      <c r="E2" s="1"/>
    </row>
    <row r="3" spans="1:9" hidden="1">
      <c r="A3" s="62"/>
      <c r="E3" s="1"/>
    </row>
    <row r="4" spans="1:9" hidden="1">
      <c r="A4" s="23" t="s">
        <v>633</v>
      </c>
      <c r="B4" s="1599" t="s">
        <v>919</v>
      </c>
      <c r="C4" s="1600"/>
      <c r="D4" s="1599" t="s">
        <v>920</v>
      </c>
      <c r="E4" s="1600"/>
    </row>
    <row r="5" spans="1:9" hidden="1">
      <c r="A5" s="25"/>
      <c r="B5" s="28" t="s">
        <v>634</v>
      </c>
      <c r="C5" s="33" t="s">
        <v>921</v>
      </c>
      <c r="D5" s="28" t="s">
        <v>634</v>
      </c>
      <c r="E5" s="58" t="s">
        <v>921</v>
      </c>
    </row>
    <row r="6" spans="1:9" hidden="1">
      <c r="A6" s="28"/>
      <c r="B6" s="28" t="s">
        <v>34</v>
      </c>
      <c r="C6" s="33" t="s">
        <v>2</v>
      </c>
      <c r="D6" s="28" t="s">
        <v>34</v>
      </c>
      <c r="E6" s="33" t="s">
        <v>2</v>
      </c>
    </row>
    <row r="7" spans="1:9" hidden="1">
      <c r="A7" s="25" t="s">
        <v>254</v>
      </c>
      <c r="B7" s="454">
        <f>G140/I43/2</f>
        <v>46</v>
      </c>
      <c r="C7" s="37">
        <f>-GEN!D125</f>
        <v>-0.5</v>
      </c>
      <c r="D7" s="454">
        <f>B7</f>
        <v>46</v>
      </c>
      <c r="E7" s="37">
        <f>GEN!E125</f>
        <v>0.5</v>
      </c>
    </row>
    <row r="8" spans="1:9" hidden="1">
      <c r="A8" s="25" t="s">
        <v>632</v>
      </c>
      <c r="B8" s="454">
        <f t="shared" ref="B8:E11" si="0">B7</f>
        <v>46</v>
      </c>
      <c r="C8" s="37">
        <f t="shared" si="0"/>
        <v>-0.5</v>
      </c>
      <c r="D8" s="454">
        <f t="shared" si="0"/>
        <v>46</v>
      </c>
      <c r="E8" s="37">
        <f t="shared" si="0"/>
        <v>0.5</v>
      </c>
    </row>
    <row r="9" spans="1:9" hidden="1">
      <c r="A9" s="25" t="s">
        <v>1630</v>
      </c>
      <c r="B9" s="454">
        <f t="shared" si="0"/>
        <v>46</v>
      </c>
      <c r="C9" s="37">
        <f t="shared" si="0"/>
        <v>-0.5</v>
      </c>
      <c r="D9" s="454">
        <f t="shared" si="0"/>
        <v>46</v>
      </c>
      <c r="E9" s="37">
        <f t="shared" si="0"/>
        <v>0.5</v>
      </c>
    </row>
    <row r="10" spans="1:9" hidden="1">
      <c r="A10" s="25" t="s">
        <v>1631</v>
      </c>
      <c r="B10" s="454">
        <f t="shared" si="0"/>
        <v>46</v>
      </c>
      <c r="C10" s="37">
        <f t="shared" si="0"/>
        <v>-0.5</v>
      </c>
      <c r="D10" s="454">
        <f t="shared" si="0"/>
        <v>46</v>
      </c>
      <c r="E10" s="37">
        <f t="shared" si="0"/>
        <v>0.5</v>
      </c>
    </row>
    <row r="11" spans="1:9" hidden="1">
      <c r="A11" s="25" t="s">
        <v>1803</v>
      </c>
      <c r="B11" s="454">
        <f>B10</f>
        <v>46</v>
      </c>
      <c r="C11" s="37">
        <f t="shared" si="0"/>
        <v>-0.5</v>
      </c>
      <c r="D11" s="454">
        <f t="shared" si="0"/>
        <v>46</v>
      </c>
      <c r="E11" s="37">
        <f t="shared" si="0"/>
        <v>0.5</v>
      </c>
    </row>
    <row r="12" spans="1:9" hidden="1">
      <c r="A12" s="28"/>
      <c r="B12" s="28"/>
      <c r="C12" s="58"/>
      <c r="D12" s="28"/>
      <c r="E12" s="58"/>
    </row>
    <row r="13" spans="1:9" hidden="1">
      <c r="A13" s="28"/>
      <c r="B13" s="28"/>
      <c r="C13" s="58"/>
      <c r="D13" s="28"/>
      <c r="E13" s="58"/>
    </row>
    <row r="14" spans="1:9" hidden="1">
      <c r="A14" s="1" t="s">
        <v>922</v>
      </c>
      <c r="G14" s="1" t="s">
        <v>1</v>
      </c>
      <c r="H14" s="150">
        <f>I140</f>
        <v>0.84207923262006901</v>
      </c>
      <c r="I14" s="1" t="s">
        <v>2</v>
      </c>
    </row>
    <row r="15" spans="1:9" hidden="1">
      <c r="A15" s="1" t="s">
        <v>923</v>
      </c>
      <c r="G15" s="1" t="s">
        <v>1</v>
      </c>
      <c r="H15" s="150">
        <f>I140</f>
        <v>0.84207923262006901</v>
      </c>
      <c r="I15" s="1" t="s">
        <v>2</v>
      </c>
    </row>
    <row r="16" spans="1:9" hidden="1"/>
    <row r="17" spans="1:11" hidden="1">
      <c r="A17" s="353" t="s">
        <v>924</v>
      </c>
      <c r="E17" s="1"/>
    </row>
    <row r="18" spans="1:11" hidden="1">
      <c r="A18" s="23" t="s">
        <v>661</v>
      </c>
      <c r="B18" s="24"/>
      <c r="C18" s="24"/>
      <c r="D18" s="24"/>
      <c r="E18" s="24"/>
      <c r="F18" s="24"/>
      <c r="G18" s="23"/>
      <c r="H18" s="30" t="s">
        <v>919</v>
      </c>
      <c r="I18" s="32"/>
      <c r="J18" s="31" t="s">
        <v>920</v>
      </c>
      <c r="K18" s="32"/>
    </row>
    <row r="19" spans="1:11" hidden="1">
      <c r="A19" s="25" t="s">
        <v>89</v>
      </c>
      <c r="B19" s="26"/>
      <c r="C19" s="26"/>
      <c r="D19" s="26"/>
      <c r="F19" s="38"/>
      <c r="G19" s="25" t="s">
        <v>1</v>
      </c>
      <c r="H19" s="194">
        <f>SUM(B7:B11)</f>
        <v>230</v>
      </c>
      <c r="I19" s="27" t="s">
        <v>34</v>
      </c>
      <c r="J19" s="172">
        <f>SUM(D7:D11)</f>
        <v>230</v>
      </c>
      <c r="K19" s="27" t="s">
        <v>51</v>
      </c>
    </row>
    <row r="20" spans="1:11" ht="18" hidden="1">
      <c r="A20" s="25" t="s">
        <v>925</v>
      </c>
      <c r="B20" s="26"/>
      <c r="C20" s="26"/>
      <c r="D20" s="26"/>
      <c r="F20" s="38"/>
      <c r="G20" s="25" t="s">
        <v>1</v>
      </c>
      <c r="H20" s="649">
        <f>SUMPRODUCT(B7:B11,C7:C11)</f>
        <v>-115</v>
      </c>
      <c r="I20" s="27" t="s">
        <v>77</v>
      </c>
      <c r="J20" s="649">
        <f>SUMPRODUCT(D7:D11,E7:E11)</f>
        <v>115</v>
      </c>
      <c r="K20" s="27" t="s">
        <v>77</v>
      </c>
    </row>
    <row r="21" spans="1:11" ht="18" hidden="1">
      <c r="A21" s="25" t="s">
        <v>926</v>
      </c>
      <c r="B21" s="26"/>
      <c r="C21" s="26"/>
      <c r="D21" s="26"/>
      <c r="F21" s="38"/>
      <c r="G21" s="25" t="s">
        <v>1</v>
      </c>
      <c r="H21" s="454">
        <v>0</v>
      </c>
      <c r="I21" s="27" t="s">
        <v>77</v>
      </c>
      <c r="J21" s="611">
        <v>0</v>
      </c>
      <c r="K21" s="27" t="s">
        <v>77</v>
      </c>
    </row>
    <row r="22" spans="1:11" hidden="1">
      <c r="A22" s="25" t="s">
        <v>647</v>
      </c>
      <c r="B22" s="26"/>
      <c r="C22" s="26"/>
      <c r="D22" s="26"/>
      <c r="F22" s="38"/>
      <c r="G22" s="25" t="s">
        <v>1</v>
      </c>
      <c r="H22" s="614">
        <f>(GEN!K125-GEN!K147)-H14</f>
        <v>8.9229207673799316</v>
      </c>
      <c r="I22" s="613" t="s">
        <v>2</v>
      </c>
      <c r="J22" s="38">
        <f>(GEN!K125-GEN!K147)-H15</f>
        <v>8.9229207673799316</v>
      </c>
      <c r="K22" s="27" t="s">
        <v>2</v>
      </c>
    </row>
    <row r="23" spans="1:11" hidden="1">
      <c r="A23" s="28"/>
      <c r="B23" s="15"/>
      <c r="C23" s="15"/>
      <c r="D23" s="15"/>
      <c r="E23" s="15"/>
      <c r="F23" s="100"/>
      <c r="G23" s="28"/>
      <c r="H23" s="28"/>
      <c r="I23" s="22"/>
      <c r="J23" s="15"/>
      <c r="K23" s="22"/>
    </row>
    <row r="24" spans="1:11" hidden="1"/>
    <row r="25" spans="1:11" hidden="1">
      <c r="A25" s="1" t="s">
        <v>43</v>
      </c>
      <c r="E25" s="1" t="s">
        <v>1</v>
      </c>
      <c r="F25" s="63">
        <f>GEN!G6</f>
        <v>35.96</v>
      </c>
      <c r="G25" s="1" t="s">
        <v>2</v>
      </c>
    </row>
    <row r="26" spans="1:11" hidden="1">
      <c r="A26" s="1" t="s">
        <v>44</v>
      </c>
      <c r="E26" s="1" t="s">
        <v>1</v>
      </c>
      <c r="F26" s="173">
        <f>GEN!G3</f>
        <v>35</v>
      </c>
      <c r="G26" s="1" t="s">
        <v>2</v>
      </c>
    </row>
    <row r="27" spans="1:11" hidden="1">
      <c r="A27" s="1" t="s">
        <v>635</v>
      </c>
      <c r="E27" s="26" t="s">
        <v>1</v>
      </c>
      <c r="F27" s="439">
        <f>0.2+0.2</f>
        <v>0.4</v>
      </c>
      <c r="G27" s="1" t="s">
        <v>2</v>
      </c>
    </row>
    <row r="28" spans="1:11" hidden="1">
      <c r="A28" s="1" t="s">
        <v>45</v>
      </c>
      <c r="E28" s="1" t="s">
        <v>1</v>
      </c>
      <c r="F28" s="63">
        <f>GEN!G12</f>
        <v>11.85</v>
      </c>
      <c r="G28" s="1" t="s">
        <v>2</v>
      </c>
    </row>
    <row r="29" spans="1:11" hidden="1">
      <c r="A29" s="1" t="s">
        <v>637</v>
      </c>
      <c r="E29" s="1" t="s">
        <v>1</v>
      </c>
      <c r="F29" s="4">
        <v>0.22</v>
      </c>
      <c r="G29" s="1" t="s">
        <v>2</v>
      </c>
      <c r="H29" s="150"/>
    </row>
    <row r="30" spans="1:11" hidden="1">
      <c r="A30" s="1" t="s">
        <v>55</v>
      </c>
      <c r="E30" s="1" t="s">
        <v>1</v>
      </c>
      <c r="F30" s="63">
        <f>GEN!G8</f>
        <v>1.42</v>
      </c>
      <c r="G30" s="1" t="s">
        <v>2</v>
      </c>
    </row>
    <row r="31" spans="1:11" hidden="1">
      <c r="A31" s="1" t="s">
        <v>15</v>
      </c>
      <c r="E31" s="1" t="s">
        <v>1</v>
      </c>
      <c r="F31" s="4">
        <v>5</v>
      </c>
      <c r="G31" s="1" t="s">
        <v>16</v>
      </c>
    </row>
    <row r="32" spans="1:11" hidden="1">
      <c r="A32" s="1" t="s">
        <v>46</v>
      </c>
      <c r="E32" s="1" t="s">
        <v>1</v>
      </c>
      <c r="F32" s="8">
        <f>F30-F29</f>
        <v>1.2</v>
      </c>
      <c r="G32" s="1" t="s">
        <v>2</v>
      </c>
    </row>
    <row r="33" spans="1:12" hidden="1">
      <c r="A33" s="1" t="s">
        <v>47</v>
      </c>
      <c r="E33" s="1" t="s">
        <v>1</v>
      </c>
      <c r="F33" s="4">
        <v>2.95</v>
      </c>
      <c r="G33" s="1" t="s">
        <v>2</v>
      </c>
    </row>
    <row r="34" spans="1:12" hidden="1">
      <c r="A34" s="1" t="s">
        <v>638</v>
      </c>
      <c r="E34" s="26" t="s">
        <v>1</v>
      </c>
      <c r="F34" s="4">
        <v>0.4</v>
      </c>
      <c r="G34" s="1" t="s">
        <v>1629</v>
      </c>
    </row>
    <row r="35" spans="1:12" hidden="1"/>
    <row r="36" spans="1:12" hidden="1">
      <c r="A36" s="1" t="s">
        <v>49</v>
      </c>
      <c r="E36" s="1" t="s">
        <v>1</v>
      </c>
      <c r="F36" s="63">
        <f>GEN!H32</f>
        <v>2.5</v>
      </c>
      <c r="G36" s="7" t="s">
        <v>48</v>
      </c>
    </row>
    <row r="37" spans="1:12" hidden="1">
      <c r="E37" s="1"/>
    </row>
    <row r="38" spans="1:12" hidden="1">
      <c r="E38" s="84"/>
      <c r="F38" s="1">
        <f>F28</f>
        <v>11.85</v>
      </c>
    </row>
    <row r="39" spans="1:12" hidden="1">
      <c r="E39" s="1"/>
    </row>
    <row r="40" spans="1:12" hidden="1">
      <c r="E40" s="1"/>
      <c r="K40" s="2">
        <f>F29</f>
        <v>0.22</v>
      </c>
    </row>
    <row r="41" spans="1:12" hidden="1">
      <c r="E41" s="1"/>
      <c r="K41" s="2"/>
    </row>
    <row r="42" spans="1:12" hidden="1">
      <c r="E42" s="1"/>
      <c r="K42" s="2"/>
    </row>
    <row r="43" spans="1:12" hidden="1">
      <c r="E43" s="1"/>
      <c r="G43" s="1" t="s">
        <v>269</v>
      </c>
      <c r="I43" s="2">
        <f>F31</f>
        <v>5</v>
      </c>
      <c r="K43" s="2">
        <f>L43-K40</f>
        <v>1.2</v>
      </c>
      <c r="L43" s="2">
        <f>F30</f>
        <v>1.42</v>
      </c>
    </row>
    <row r="44" spans="1:12" hidden="1">
      <c r="E44" s="1"/>
      <c r="K44" s="2"/>
    </row>
    <row r="45" spans="1:12" hidden="1">
      <c r="E45" s="1"/>
    </row>
    <row r="46" spans="1:12" hidden="1">
      <c r="E46" s="1"/>
    </row>
    <row r="47" spans="1:12" hidden="1">
      <c r="E47" s="1"/>
      <c r="F47" s="2"/>
    </row>
    <row r="48" spans="1:12" hidden="1">
      <c r="B48" s="1">
        <f>(F38-D48*(I43-1))/2</f>
        <v>2.4999999999999467E-2</v>
      </c>
      <c r="D48" s="1">
        <f>F33</f>
        <v>2.95</v>
      </c>
      <c r="E48" s="1"/>
    </row>
    <row r="49" spans="1:14" hidden="1">
      <c r="E49" s="1"/>
      <c r="F49" s="1" t="s">
        <v>270</v>
      </c>
    </row>
    <row r="50" spans="1:14" hidden="1">
      <c r="E50" s="1"/>
    </row>
    <row r="51" spans="1:14" hidden="1">
      <c r="G51" s="7"/>
      <c r="H51" s="7"/>
    </row>
    <row r="52" spans="1:14" hidden="1">
      <c r="A52" s="214" t="s">
        <v>271</v>
      </c>
      <c r="G52" s="7"/>
      <c r="H52" s="7"/>
    </row>
    <row r="53" spans="1:14" hidden="1">
      <c r="C53" s="4">
        <v>0.65</v>
      </c>
      <c r="E53" s="1"/>
      <c r="F53" s="303"/>
      <c r="H53" s="7"/>
      <c r="I53" s="1">
        <f>C53</f>
        <v>0.65</v>
      </c>
      <c r="L53" s="3"/>
    </row>
    <row r="54" spans="1:14" hidden="1">
      <c r="E54" s="1"/>
      <c r="F54" s="26"/>
      <c r="H54" s="7"/>
      <c r="I54" s="7"/>
    </row>
    <row r="55" spans="1:14" hidden="1">
      <c r="E55" s="4">
        <v>0.15</v>
      </c>
      <c r="F55" s="26"/>
      <c r="H55" s="7"/>
      <c r="I55" s="7"/>
      <c r="K55" s="1">
        <f>E55</f>
        <v>0.15</v>
      </c>
    </row>
    <row r="56" spans="1:14" hidden="1">
      <c r="E56" s="4">
        <v>0.15</v>
      </c>
      <c r="F56" s="26"/>
      <c r="H56" s="7"/>
      <c r="I56" s="7"/>
      <c r="K56" s="1101">
        <f>E56-(E56/((C53-C59)/2))*(I64-C59)/2</f>
        <v>0</v>
      </c>
      <c r="N56" s="302"/>
    </row>
    <row r="57" spans="1:14" hidden="1">
      <c r="E57" s="2"/>
      <c r="F57" s="26"/>
      <c r="H57" s="7"/>
      <c r="I57" s="7"/>
    </row>
    <row r="58" spans="1:14" hidden="1">
      <c r="E58" s="2"/>
      <c r="F58" s="26"/>
      <c r="H58" s="7"/>
      <c r="I58" s="7"/>
    </row>
    <row r="59" spans="1:14" hidden="1">
      <c r="C59" s="4">
        <v>0.27500000000000002</v>
      </c>
      <c r="E59" s="2"/>
      <c r="F59" s="126">
        <f>K43</f>
        <v>1.2</v>
      </c>
      <c r="H59" s="7"/>
      <c r="I59" s="7"/>
      <c r="L59" s="3">
        <f>F59</f>
        <v>1.2</v>
      </c>
    </row>
    <row r="60" spans="1:14" hidden="1">
      <c r="E60" s="2"/>
      <c r="F60" s="26"/>
      <c r="H60" s="7"/>
      <c r="I60" s="7"/>
    </row>
    <row r="61" spans="1:14" hidden="1">
      <c r="E61" s="4">
        <v>0.2</v>
      </c>
      <c r="F61" s="26"/>
      <c r="H61" s="7"/>
      <c r="I61" s="7"/>
    </row>
    <row r="62" spans="1:14" hidden="1">
      <c r="E62" s="4">
        <v>0.25</v>
      </c>
      <c r="F62" s="26"/>
      <c r="H62" s="7"/>
      <c r="I62" s="7"/>
    </row>
    <row r="63" spans="1:14" hidden="1">
      <c r="E63" s="1"/>
      <c r="F63" s="26"/>
      <c r="H63" s="7"/>
      <c r="I63" s="7"/>
    </row>
    <row r="64" spans="1:14" hidden="1">
      <c r="C64" s="4">
        <v>0.65</v>
      </c>
      <c r="E64" s="1"/>
      <c r="F64" s="26"/>
      <c r="H64" s="7"/>
      <c r="I64" s="4">
        <v>0.65</v>
      </c>
    </row>
    <row r="65" spans="1:15" hidden="1">
      <c r="E65" s="1"/>
      <c r="F65" s="26"/>
      <c r="H65" s="7"/>
      <c r="I65" s="7"/>
    </row>
    <row r="66" spans="1:15" hidden="1">
      <c r="C66" s="1" t="s">
        <v>266</v>
      </c>
      <c r="E66" s="1"/>
      <c r="F66" s="26"/>
      <c r="H66" s="7"/>
      <c r="I66" s="7" t="s">
        <v>267</v>
      </c>
      <c r="O66" s="1">
        <f>SUP!G120+SUP!F29*SUP!F25*MAX(SUP!D48,(SUP!B48+SUP!D48/2))*SUP!F36/2</f>
        <v>54.907628125000009</v>
      </c>
    </row>
    <row r="67" spans="1:15" hidden="1">
      <c r="G67" s="7"/>
      <c r="H67" s="7"/>
    </row>
    <row r="68" spans="1:15" hidden="1">
      <c r="G68" s="7"/>
      <c r="H68" s="7"/>
    </row>
    <row r="69" spans="1:15" hidden="1">
      <c r="C69" s="5">
        <f>F34</f>
        <v>0.4</v>
      </c>
      <c r="G69" s="7"/>
      <c r="H69" s="7"/>
    </row>
    <row r="70" spans="1:15" hidden="1">
      <c r="G70" s="7"/>
      <c r="H70" s="7"/>
    </row>
    <row r="71" spans="1:15" hidden="1">
      <c r="G71" s="7"/>
      <c r="H71" s="7"/>
    </row>
    <row r="72" spans="1:15" hidden="1">
      <c r="G72" s="7"/>
      <c r="H72" s="7"/>
    </row>
    <row r="73" spans="1:15" hidden="1">
      <c r="G73" s="7"/>
      <c r="H73" s="7"/>
    </row>
    <row r="74" spans="1:15" hidden="1">
      <c r="A74" s="1">
        <f>I64</f>
        <v>0.65</v>
      </c>
      <c r="G74" s="7"/>
      <c r="H74" s="7"/>
      <c r="K74" s="1">
        <f>C59</f>
        <v>0.27500000000000002</v>
      </c>
    </row>
    <row r="75" spans="1:15" hidden="1">
      <c r="G75" s="7"/>
      <c r="H75" s="7"/>
    </row>
    <row r="76" spans="1:15" hidden="1">
      <c r="G76" s="7"/>
      <c r="H76" s="7"/>
    </row>
    <row r="77" spans="1:15" hidden="1">
      <c r="G77" s="7"/>
      <c r="H77" s="7"/>
    </row>
    <row r="78" spans="1:15" hidden="1">
      <c r="G78" s="7"/>
      <c r="H78" s="7"/>
    </row>
    <row r="79" spans="1:15" hidden="1">
      <c r="B79" s="428">
        <f>F27</f>
        <v>0.4</v>
      </c>
      <c r="D79" s="4">
        <f>1.1-0.2</f>
        <v>0.90000000000000013</v>
      </c>
      <c r="F79" s="5">
        <v>1.5</v>
      </c>
      <c r="G79" s="7"/>
      <c r="H79" s="7">
        <f>G80-F79-D79-C69/2</f>
        <v>14.9</v>
      </c>
    </row>
    <row r="80" spans="1:15" hidden="1">
      <c r="G80" s="7">
        <f>F26/2</f>
        <v>17.5</v>
      </c>
      <c r="H80" s="7"/>
    </row>
    <row r="81" spans="1:8" hidden="1">
      <c r="G81" s="7"/>
      <c r="H81" s="7"/>
    </row>
    <row r="82" spans="1:8" hidden="1">
      <c r="A82" s="291"/>
      <c r="G82" s="7"/>
      <c r="H82" s="7"/>
    </row>
    <row r="83" spans="1:8" hidden="1">
      <c r="A83" s="51" t="s">
        <v>280</v>
      </c>
      <c r="B83" s="31"/>
      <c r="C83" s="31"/>
      <c r="D83" s="31"/>
      <c r="E83" s="31"/>
      <c r="F83" s="31"/>
      <c r="G83" s="32"/>
      <c r="H83" s="7"/>
    </row>
    <row r="84" spans="1:8" ht="18" hidden="1">
      <c r="A84" s="1601" t="s">
        <v>261</v>
      </c>
      <c r="B84" s="1601" t="s">
        <v>69</v>
      </c>
      <c r="C84" s="158" t="s">
        <v>25</v>
      </c>
      <c r="D84" s="158" t="s">
        <v>133</v>
      </c>
      <c r="E84" s="1601" t="s">
        <v>16</v>
      </c>
      <c r="F84" s="158" t="s">
        <v>171</v>
      </c>
      <c r="G84" s="158" t="s">
        <v>262</v>
      </c>
    </row>
    <row r="85" spans="1:8" ht="17.25" hidden="1">
      <c r="A85" s="1601"/>
      <c r="B85" s="1601"/>
      <c r="C85" s="158" t="s">
        <v>2</v>
      </c>
      <c r="D85" s="158" t="s">
        <v>2</v>
      </c>
      <c r="E85" s="1601"/>
      <c r="F85" s="158" t="s">
        <v>263</v>
      </c>
      <c r="G85" s="158" t="s">
        <v>2</v>
      </c>
    </row>
    <row r="86" spans="1:8" hidden="1">
      <c r="A86" s="153">
        <v>1</v>
      </c>
      <c r="B86" s="297">
        <v>1</v>
      </c>
      <c r="C86" s="157">
        <f>(C53-C59)/2</f>
        <v>0.1875</v>
      </c>
      <c r="D86" s="33">
        <f>E55</f>
        <v>0.15</v>
      </c>
      <c r="E86" s="297">
        <v>2</v>
      </c>
      <c r="F86" s="157">
        <f>B86*C86*D86*E86</f>
        <v>5.6249999999999994E-2</v>
      </c>
      <c r="G86" s="33">
        <f>D86/2</f>
        <v>7.4999999999999997E-2</v>
      </c>
    </row>
    <row r="87" spans="1:8" hidden="1">
      <c r="A87" s="153">
        <v>2</v>
      </c>
      <c r="B87" s="297">
        <v>0.5</v>
      </c>
      <c r="C87" s="157">
        <f>C86</f>
        <v>0.1875</v>
      </c>
      <c r="D87" s="33">
        <f>E56</f>
        <v>0.15</v>
      </c>
      <c r="E87" s="297">
        <v>2</v>
      </c>
      <c r="F87" s="298">
        <f>B87*C87*D87*E87</f>
        <v>2.8124999999999997E-2</v>
      </c>
      <c r="G87" s="33">
        <f>D86+D87/3</f>
        <v>0.19999999999999998</v>
      </c>
    </row>
    <row r="88" spans="1:8" hidden="1">
      <c r="A88" s="153">
        <v>3</v>
      </c>
      <c r="B88" s="297">
        <v>1</v>
      </c>
      <c r="C88" s="33">
        <f>C59</f>
        <v>0.27500000000000002</v>
      </c>
      <c r="D88" s="33">
        <f>F59</f>
        <v>1.2</v>
      </c>
      <c r="E88" s="297">
        <v>1</v>
      </c>
      <c r="F88" s="157">
        <f>B88*C88*D88*E88</f>
        <v>0.33</v>
      </c>
      <c r="G88" s="33">
        <f>D88/2</f>
        <v>0.6</v>
      </c>
    </row>
    <row r="89" spans="1:8" hidden="1">
      <c r="A89" s="153">
        <v>4</v>
      </c>
      <c r="B89" s="297">
        <v>0.5</v>
      </c>
      <c r="C89" s="33">
        <f>(C64-C59)/2</f>
        <v>0.1875</v>
      </c>
      <c r="D89" s="33">
        <f>E61</f>
        <v>0.2</v>
      </c>
      <c r="E89" s="297">
        <v>2</v>
      </c>
      <c r="F89" s="157">
        <f>B89*C89*D89*E89</f>
        <v>3.7500000000000006E-2</v>
      </c>
      <c r="G89" s="56">
        <f>D88-D90-D89/3</f>
        <v>0.8833333333333333</v>
      </c>
    </row>
    <row r="90" spans="1:8" hidden="1">
      <c r="A90" s="153">
        <v>5</v>
      </c>
      <c r="B90" s="297">
        <v>1</v>
      </c>
      <c r="C90" s="33">
        <f>C89</f>
        <v>0.1875</v>
      </c>
      <c r="D90" s="33">
        <f>E62</f>
        <v>0.25</v>
      </c>
      <c r="E90" s="297">
        <v>2</v>
      </c>
      <c r="F90" s="157">
        <f>B90*C90*D90*E90</f>
        <v>9.375E-2</v>
      </c>
      <c r="G90" s="56">
        <f>D88-D90/2</f>
        <v>1.075</v>
      </c>
    </row>
    <row r="91" spans="1:8" hidden="1">
      <c r="A91" s="153"/>
      <c r="B91" s="33"/>
      <c r="C91" s="33"/>
      <c r="D91" s="33"/>
      <c r="E91" s="153"/>
      <c r="F91" s="157"/>
      <c r="G91" s="56"/>
    </row>
    <row r="92" spans="1:8" hidden="1">
      <c r="A92" s="299" t="s">
        <v>32</v>
      </c>
      <c r="B92" s="299"/>
      <c r="C92" s="299"/>
      <c r="D92" s="299"/>
      <c r="E92" s="299"/>
      <c r="F92" s="300">
        <f>SUM(F86:F90)</f>
        <v>0.54562500000000003</v>
      </c>
      <c r="G92" s="300">
        <f>SUMPRODUCT(G86:G90,F86:F90)/F92</f>
        <v>0.6263459335624284</v>
      </c>
    </row>
    <row r="93" spans="1:8" hidden="1">
      <c r="E93" s="1"/>
    </row>
    <row r="94" spans="1:8" hidden="1">
      <c r="A94" s="301" t="s">
        <v>281</v>
      </c>
      <c r="B94" s="24"/>
      <c r="C94" s="24"/>
      <c r="D94" s="24"/>
      <c r="E94" s="24"/>
      <c r="F94" s="24"/>
      <c r="G94" s="21"/>
    </row>
    <row r="95" spans="1:8" ht="18" hidden="1">
      <c r="A95" s="1601" t="s">
        <v>261</v>
      </c>
      <c r="B95" s="1601" t="s">
        <v>69</v>
      </c>
      <c r="C95" s="158" t="s">
        <v>25</v>
      </c>
      <c r="D95" s="158" t="s">
        <v>133</v>
      </c>
      <c r="E95" s="1601" t="s">
        <v>16</v>
      </c>
      <c r="F95" s="158" t="s">
        <v>171</v>
      </c>
      <c r="G95" s="158" t="s">
        <v>262</v>
      </c>
    </row>
    <row r="96" spans="1:8" ht="17.25" hidden="1">
      <c r="A96" s="1601"/>
      <c r="B96" s="1601"/>
      <c r="C96" s="158" t="s">
        <v>2</v>
      </c>
      <c r="D96" s="158" t="s">
        <v>2</v>
      </c>
      <c r="E96" s="1601"/>
      <c r="F96" s="158" t="s">
        <v>263</v>
      </c>
      <c r="G96" s="158" t="s">
        <v>2</v>
      </c>
    </row>
    <row r="97" spans="1:10" hidden="1">
      <c r="A97" s="153">
        <v>1</v>
      </c>
      <c r="B97" s="297">
        <v>1</v>
      </c>
      <c r="C97" s="157">
        <f>(I53-I64)/2</f>
        <v>0</v>
      </c>
      <c r="D97" s="33">
        <f>K55</f>
        <v>0.15</v>
      </c>
      <c r="E97" s="297">
        <v>2</v>
      </c>
      <c r="F97" s="157">
        <f>B97*C97*D97*E97</f>
        <v>0</v>
      </c>
      <c r="G97" s="33">
        <f>D97/2</f>
        <v>7.4999999999999997E-2</v>
      </c>
    </row>
    <row r="98" spans="1:10" hidden="1">
      <c r="A98" s="153">
        <v>2</v>
      </c>
      <c r="B98" s="297">
        <v>0.5</v>
      </c>
      <c r="C98" s="157">
        <f>C97</f>
        <v>0</v>
      </c>
      <c r="D98" s="56">
        <f>K56</f>
        <v>0</v>
      </c>
      <c r="E98" s="297">
        <v>2</v>
      </c>
      <c r="F98" s="298">
        <f>B98*C98*D98*E98</f>
        <v>0</v>
      </c>
      <c r="G98" s="33">
        <f>D97+D98/3</f>
        <v>0.15</v>
      </c>
    </row>
    <row r="99" spans="1:10" hidden="1">
      <c r="A99" s="153">
        <v>3</v>
      </c>
      <c r="B99" s="297">
        <v>1</v>
      </c>
      <c r="C99" s="33">
        <f>I64</f>
        <v>0.65</v>
      </c>
      <c r="D99" s="33">
        <f>L59</f>
        <v>1.2</v>
      </c>
      <c r="E99" s="297">
        <v>1</v>
      </c>
      <c r="F99" s="157">
        <f>B99*C99*D99*E99</f>
        <v>0.78</v>
      </c>
      <c r="G99" s="33">
        <f>D99/2</f>
        <v>0.6</v>
      </c>
    </row>
    <row r="100" spans="1:10" hidden="1">
      <c r="A100" s="153"/>
      <c r="B100" s="33"/>
      <c r="C100" s="33"/>
      <c r="D100" s="33"/>
      <c r="E100" s="153"/>
      <c r="F100" s="157"/>
      <c r="G100" s="56"/>
    </row>
    <row r="101" spans="1:10" hidden="1">
      <c r="A101" s="299" t="s">
        <v>32</v>
      </c>
      <c r="B101" s="299"/>
      <c r="C101" s="299"/>
      <c r="D101" s="299"/>
      <c r="E101" s="299"/>
      <c r="F101" s="300">
        <f>SUM(F97:F99)</f>
        <v>0.78</v>
      </c>
      <c r="G101" s="300">
        <f>SUMPRODUCT(G97:G99,F97:F99)/F101</f>
        <v>0.6</v>
      </c>
    </row>
    <row r="102" spans="1:10" hidden="1">
      <c r="E102" s="1"/>
    </row>
    <row r="103" spans="1:10" hidden="1">
      <c r="E103" s="1"/>
    </row>
    <row r="104" spans="1:10" hidden="1">
      <c r="A104" s="1" t="s">
        <v>272</v>
      </c>
      <c r="E104" s="1"/>
    </row>
    <row r="105" spans="1:10" hidden="1">
      <c r="B105" s="7"/>
      <c r="C105" s="304">
        <f>F101*F36</f>
        <v>1.9500000000000002</v>
      </c>
      <c r="D105" s="7" t="s">
        <v>94</v>
      </c>
      <c r="E105" s="7"/>
      <c r="F105" s="7"/>
      <c r="G105" s="7"/>
      <c r="H105" s="7"/>
    </row>
    <row r="106" spans="1:10" hidden="1">
      <c r="B106" s="7"/>
      <c r="C106" s="7"/>
      <c r="D106" s="7"/>
      <c r="E106" s="7"/>
      <c r="F106" s="7"/>
      <c r="G106" s="304">
        <f>F92*F36</f>
        <v>1.3640625000000002</v>
      </c>
      <c r="H106" s="7" t="s">
        <v>94</v>
      </c>
    </row>
    <row r="107" spans="1:10" hidden="1">
      <c r="B107" s="7"/>
      <c r="C107" s="7"/>
      <c r="D107" s="7"/>
      <c r="E107" s="7"/>
      <c r="F107" s="7"/>
      <c r="G107" s="7"/>
      <c r="H107" s="7"/>
      <c r="J107" s="1" t="s">
        <v>268</v>
      </c>
    </row>
    <row r="108" spans="1:10" hidden="1">
      <c r="B108" s="7"/>
      <c r="C108" s="7"/>
      <c r="D108" s="7"/>
      <c r="E108" s="7"/>
      <c r="F108" s="7"/>
      <c r="G108" s="7"/>
      <c r="H108" s="7"/>
    </row>
    <row r="109" spans="1:10" hidden="1">
      <c r="B109" s="7"/>
      <c r="C109" s="7"/>
      <c r="D109" s="7"/>
      <c r="E109" s="7"/>
      <c r="F109" s="7"/>
      <c r="G109" s="7"/>
      <c r="H109" s="7"/>
    </row>
    <row r="110" spans="1:10" hidden="1">
      <c r="B110" s="296">
        <f>B79</f>
        <v>0.4</v>
      </c>
      <c r="C110" s="296">
        <f>D79+C69/2</f>
        <v>1.1000000000000001</v>
      </c>
      <c r="D110" s="296">
        <f>F79</f>
        <v>1.5</v>
      </c>
      <c r="E110" s="7"/>
      <c r="F110" s="7"/>
      <c r="G110" s="7">
        <f>H79</f>
        <v>14.9</v>
      </c>
      <c r="H110" s="7"/>
    </row>
    <row r="111" spans="1:10" hidden="1">
      <c r="B111" s="7"/>
      <c r="C111" s="7"/>
      <c r="D111" s="7"/>
      <c r="E111" s="7"/>
      <c r="F111" s="296">
        <f>G80</f>
        <v>17.5</v>
      </c>
      <c r="G111" s="7"/>
      <c r="H111" s="7"/>
    </row>
    <row r="112" spans="1:10" hidden="1">
      <c r="E112" s="1"/>
    </row>
    <row r="113" spans="1:10" hidden="1">
      <c r="A113" s="30" t="s">
        <v>282</v>
      </c>
      <c r="B113" s="31"/>
      <c r="C113" s="31"/>
      <c r="D113" s="31"/>
      <c r="E113" s="31"/>
      <c r="F113" s="31"/>
      <c r="G113" s="31"/>
      <c r="H113" s="31"/>
      <c r="I113" s="31"/>
      <c r="J113" s="32"/>
    </row>
    <row r="114" spans="1:10" hidden="1">
      <c r="A114" s="23" t="s">
        <v>74</v>
      </c>
      <c r="B114" s="24"/>
      <c r="C114" s="24"/>
      <c r="D114" s="24"/>
      <c r="E114" s="23" t="s">
        <v>95</v>
      </c>
      <c r="F114" s="36" t="s">
        <v>274</v>
      </c>
      <c r="G114" s="21" t="s">
        <v>275</v>
      </c>
      <c r="H114" s="24"/>
      <c r="I114" s="23" t="s">
        <v>276</v>
      </c>
      <c r="J114" s="21"/>
    </row>
    <row r="115" spans="1:10" hidden="1">
      <c r="A115" s="28"/>
      <c r="B115" s="15"/>
      <c r="C115" s="15"/>
      <c r="D115" s="15"/>
      <c r="E115" s="28" t="s">
        <v>48</v>
      </c>
      <c r="F115" s="58" t="s">
        <v>2</v>
      </c>
      <c r="G115" s="22" t="s">
        <v>51</v>
      </c>
      <c r="H115" s="15"/>
      <c r="I115" s="28" t="s">
        <v>2</v>
      </c>
      <c r="J115" s="22"/>
    </row>
    <row r="116" spans="1:10" hidden="1">
      <c r="A116" s="25" t="s">
        <v>273</v>
      </c>
      <c r="B116" s="26"/>
      <c r="C116" s="26"/>
      <c r="D116" s="26"/>
      <c r="E116" s="76">
        <f>C105</f>
        <v>1.9500000000000002</v>
      </c>
      <c r="F116" s="34">
        <f>B110+C110</f>
        <v>1.5</v>
      </c>
      <c r="G116" s="27">
        <f>E116*F116</f>
        <v>2.9250000000000003</v>
      </c>
      <c r="H116" s="26"/>
      <c r="I116" s="65">
        <f>G101</f>
        <v>0.6</v>
      </c>
      <c r="J116" s="27"/>
    </row>
    <row r="117" spans="1:10" hidden="1">
      <c r="A117" s="25" t="s">
        <v>277</v>
      </c>
      <c r="B117" s="26"/>
      <c r="C117" s="26"/>
      <c r="D117" s="26"/>
      <c r="E117" s="76">
        <f>(C105+G106)/2</f>
        <v>1.6570312500000002</v>
      </c>
      <c r="F117" s="34">
        <f>D110</f>
        <v>1.5</v>
      </c>
      <c r="G117" s="27">
        <f>E117*F117</f>
        <v>2.4855468750000003</v>
      </c>
      <c r="H117" s="26"/>
      <c r="I117" s="65">
        <f>(G92+G101)/2</f>
        <v>0.61317296678121425</v>
      </c>
      <c r="J117" s="27"/>
    </row>
    <row r="118" spans="1:10" hidden="1">
      <c r="A118" s="25" t="s">
        <v>278</v>
      </c>
      <c r="B118" s="26"/>
      <c r="C118" s="26"/>
      <c r="D118" s="26"/>
      <c r="E118" s="76">
        <f>G106</f>
        <v>1.3640625000000002</v>
      </c>
      <c r="F118" s="34">
        <f>G110</f>
        <v>14.9</v>
      </c>
      <c r="G118" s="27">
        <f>E118*F118</f>
        <v>20.324531250000003</v>
      </c>
      <c r="H118" s="26"/>
      <c r="I118" s="65">
        <f>G92</f>
        <v>0.6263459335624284</v>
      </c>
      <c r="J118" s="27"/>
    </row>
    <row r="119" spans="1:10" hidden="1">
      <c r="A119" s="25"/>
      <c r="B119" s="26"/>
      <c r="C119" s="26"/>
      <c r="D119" s="26"/>
      <c r="E119" s="25"/>
      <c r="F119" s="34"/>
      <c r="G119" s="27"/>
      <c r="H119" s="26"/>
      <c r="I119" s="25"/>
      <c r="J119" s="27"/>
    </row>
    <row r="120" spans="1:10" hidden="1">
      <c r="A120" s="30" t="s">
        <v>279</v>
      </c>
      <c r="B120" s="31"/>
      <c r="C120" s="31"/>
      <c r="D120" s="31"/>
      <c r="E120" s="30"/>
      <c r="F120" s="33"/>
      <c r="G120" s="32">
        <f>SUM(G116:G119)</f>
        <v>25.735078125000005</v>
      </c>
      <c r="H120" s="31"/>
      <c r="I120" s="305">
        <f>SUMPRODUCT(I116:I119,G116:G119)/G120</f>
        <v>0.62207923262006903</v>
      </c>
      <c r="J120" s="32"/>
    </row>
    <row r="121" spans="1:10" hidden="1">
      <c r="A121" s="23"/>
      <c r="B121" s="24"/>
      <c r="C121" s="24"/>
      <c r="D121" s="24"/>
      <c r="E121" s="24"/>
      <c r="F121" s="24"/>
      <c r="G121" s="24"/>
      <c r="H121" s="24"/>
      <c r="I121" s="306"/>
      <c r="J121" s="21"/>
    </row>
    <row r="122" spans="1:10" hidden="1">
      <c r="A122" s="25" t="s">
        <v>283</v>
      </c>
      <c r="B122" s="26"/>
      <c r="C122" s="26"/>
      <c r="D122" s="26"/>
      <c r="E122" s="26" t="s">
        <v>1</v>
      </c>
      <c r="F122" s="38">
        <f>G120*2</f>
        <v>51.470156250000009</v>
      </c>
      <c r="G122" s="26" t="s">
        <v>34</v>
      </c>
      <c r="H122" s="26"/>
      <c r="I122" s="154"/>
      <c r="J122" s="27"/>
    </row>
    <row r="123" spans="1:10" hidden="1">
      <c r="A123" s="25"/>
      <c r="B123" s="26"/>
      <c r="C123" s="26"/>
      <c r="D123" s="26"/>
      <c r="F123" s="26"/>
      <c r="G123" s="26"/>
      <c r="H123" s="26"/>
      <c r="I123" s="154"/>
      <c r="J123" s="27"/>
    </row>
    <row r="124" spans="1:10" hidden="1">
      <c r="A124" s="25" t="s">
        <v>284</v>
      </c>
      <c r="B124" s="26"/>
      <c r="C124" s="26"/>
      <c r="D124" s="26"/>
      <c r="E124" s="26" t="s">
        <v>1</v>
      </c>
      <c r="F124" s="26">
        <f>F31</f>
        <v>5</v>
      </c>
      <c r="G124" s="26" t="s">
        <v>16</v>
      </c>
      <c r="H124" s="26"/>
      <c r="I124" s="154"/>
      <c r="J124" s="27"/>
    </row>
    <row r="125" spans="1:10" hidden="1">
      <c r="A125" s="25"/>
      <c r="B125" s="26"/>
      <c r="C125" s="26"/>
      <c r="D125" s="26"/>
      <c r="F125" s="26"/>
      <c r="G125" s="26"/>
      <c r="H125" s="26"/>
      <c r="I125" s="154"/>
      <c r="J125" s="27"/>
    </row>
    <row r="126" spans="1:10" hidden="1">
      <c r="A126" s="25" t="s">
        <v>285</v>
      </c>
      <c r="B126" s="26"/>
      <c r="C126" s="26"/>
      <c r="D126" s="26"/>
      <c r="E126" s="26" t="s">
        <v>1</v>
      </c>
      <c r="F126" s="38">
        <f>F122*F124</f>
        <v>257.35078125000007</v>
      </c>
      <c r="G126" s="26" t="s">
        <v>34</v>
      </c>
      <c r="H126" s="26"/>
      <c r="I126" s="154"/>
      <c r="J126" s="27"/>
    </row>
    <row r="127" spans="1:10" hidden="1">
      <c r="A127" s="28"/>
      <c r="B127" s="15"/>
      <c r="C127" s="15"/>
      <c r="D127" s="15"/>
      <c r="E127" s="15"/>
      <c r="F127" s="15"/>
      <c r="G127" s="15"/>
      <c r="H127" s="15"/>
      <c r="I127" s="15"/>
      <c r="J127" s="22"/>
    </row>
    <row r="128" spans="1:10">
      <c r="E128" s="1"/>
    </row>
    <row r="129" spans="1:10">
      <c r="E129" s="1"/>
    </row>
    <row r="130" spans="1:10">
      <c r="A130" s="307" t="s">
        <v>265</v>
      </c>
      <c r="B130" s="24"/>
      <c r="C130" s="24"/>
      <c r="D130" s="24"/>
      <c r="E130" s="24"/>
      <c r="F130" s="24"/>
      <c r="G130" s="1595" t="s">
        <v>264</v>
      </c>
      <c r="H130" s="1596"/>
      <c r="I130" s="1591" t="s">
        <v>50</v>
      </c>
      <c r="J130" s="1592"/>
    </row>
    <row r="131" spans="1:10">
      <c r="A131" s="28"/>
      <c r="B131" s="15"/>
      <c r="C131" s="15"/>
      <c r="D131" s="15"/>
      <c r="E131" s="15"/>
      <c r="F131" s="15"/>
      <c r="G131" s="1597"/>
      <c r="H131" s="1598"/>
      <c r="I131" s="1593"/>
      <c r="J131" s="1594"/>
    </row>
    <row r="132" spans="1:10">
      <c r="A132" s="25" t="s">
        <v>1951</v>
      </c>
      <c r="B132" s="26"/>
      <c r="C132" s="26"/>
      <c r="D132" s="26"/>
      <c r="F132" s="26" t="s">
        <v>1</v>
      </c>
      <c r="G132" s="147">
        <v>460</v>
      </c>
      <c r="H132" s="21" t="s">
        <v>51</v>
      </c>
      <c r="I132" s="147">
        <f>I120+K40</f>
        <v>0.84207923262006901</v>
      </c>
      <c r="J132" s="21" t="s">
        <v>2</v>
      </c>
    </row>
    <row r="133" spans="1:10">
      <c r="A133" s="25"/>
      <c r="G133" s="76"/>
      <c r="H133" s="27"/>
      <c r="I133" s="143"/>
      <c r="J133" s="27"/>
    </row>
    <row r="134" spans="1:10">
      <c r="A134" s="25" t="s">
        <v>52</v>
      </c>
      <c r="B134" s="26"/>
      <c r="C134" s="26"/>
      <c r="D134" s="26"/>
      <c r="F134" s="26" t="s">
        <v>1</v>
      </c>
      <c r="G134" s="76">
        <v>0</v>
      </c>
      <c r="H134" s="27" t="s">
        <v>51</v>
      </c>
      <c r="I134" s="76">
        <f>K40/2</f>
        <v>0.11</v>
      </c>
      <c r="J134" s="27" t="s">
        <v>2</v>
      </c>
    </row>
    <row r="135" spans="1:10">
      <c r="G135" s="76"/>
      <c r="H135" s="27"/>
      <c r="I135" s="76"/>
      <c r="J135" s="27"/>
    </row>
    <row r="136" spans="1:10">
      <c r="A136" s="7" t="s">
        <v>639</v>
      </c>
      <c r="B136" s="7"/>
      <c r="F136" s="26" t="s">
        <v>1</v>
      </c>
      <c r="G136" s="438">
        <v>0</v>
      </c>
      <c r="H136" s="27" t="s">
        <v>51</v>
      </c>
      <c r="I136" s="438">
        <f>K40+(F59-0.25)/2</f>
        <v>0.69499999999999995</v>
      </c>
      <c r="J136" s="27" t="s">
        <v>2</v>
      </c>
    </row>
    <row r="137" spans="1:10">
      <c r="A137" s="7"/>
      <c r="B137" s="7"/>
      <c r="F137" s="26"/>
      <c r="G137" s="438"/>
      <c r="H137" s="27"/>
      <c r="I137" s="438"/>
      <c r="J137" s="27"/>
    </row>
    <row r="138" spans="1:10">
      <c r="A138" s="7" t="s">
        <v>640</v>
      </c>
      <c r="B138" s="7"/>
      <c r="F138" s="26" t="s">
        <v>1</v>
      </c>
      <c r="G138" s="438">
        <f>0.3*(F59-E62)*D48*(I43-1)*F36*0</f>
        <v>0</v>
      </c>
      <c r="H138" s="27"/>
      <c r="I138" s="438">
        <f>(K40+(F59-E62)/2)*0</f>
        <v>0</v>
      </c>
      <c r="J138" s="27" t="s">
        <v>2</v>
      </c>
    </row>
    <row r="139" spans="1:10">
      <c r="G139" s="207"/>
      <c r="H139" s="22"/>
      <c r="I139" s="207"/>
      <c r="J139" s="22"/>
    </row>
    <row r="140" spans="1:10">
      <c r="A140" s="42" t="s">
        <v>53</v>
      </c>
      <c r="B140" s="44"/>
      <c r="C140" s="44"/>
      <c r="D140" s="44"/>
      <c r="E140" s="44"/>
      <c r="F140" s="44" t="s">
        <v>1</v>
      </c>
      <c r="G140" s="81">
        <f>SUM(G132:G138)</f>
        <v>460</v>
      </c>
      <c r="H140" s="80" t="s">
        <v>51</v>
      </c>
      <c r="I140" s="81">
        <f>SUMPRODUCT(G132:G138,I132:I138)/G140</f>
        <v>0.84207923262006901</v>
      </c>
      <c r="J140" s="80" t="s">
        <v>2</v>
      </c>
    </row>
    <row r="141" spans="1:10">
      <c r="E141" s="1"/>
    </row>
    <row r="142" spans="1:10">
      <c r="E142" s="1"/>
    </row>
  </sheetData>
  <mergeCells count="10">
    <mergeCell ref="I130:J131"/>
    <mergeCell ref="G130:H131"/>
    <mergeCell ref="B4:C4"/>
    <mergeCell ref="D4:E4"/>
    <mergeCell ref="A84:A85"/>
    <mergeCell ref="B84:B85"/>
    <mergeCell ref="E84:E85"/>
    <mergeCell ref="A95:A96"/>
    <mergeCell ref="B95:B96"/>
    <mergeCell ref="E95:E96"/>
  </mergeCells>
  <pageMargins left="0.59055118110236227" right="0.15748031496062992" top="0.59055118110236227" bottom="0.15748031496062992" header="0.31496062992125984" footer="0.31496062992125984"/>
  <pageSetup paperSize="9" orientation="portrait" blackAndWhite="1" r:id="rId1"/>
  <rowBreaks count="2" manualBreakCount="2">
    <brk id="51" max="11" man="1"/>
    <brk id="103" max="11" man="1"/>
  </rowBreaks>
  <drawing r:id="rId2"/>
</worksheet>
</file>

<file path=xl/worksheets/sheet7.xml><?xml version="1.0" encoding="utf-8"?>
<worksheet xmlns="http://schemas.openxmlformats.org/spreadsheetml/2006/main" xmlns:r="http://schemas.openxmlformats.org/officeDocument/2006/relationships">
  <sheetPr codeName="Sheet6"/>
  <dimension ref="A1:K54"/>
  <sheetViews>
    <sheetView view="pageBreakPreview" zoomScaleSheetLayoutView="100" workbookViewId="0">
      <selection activeCell="O54" sqref="O54"/>
    </sheetView>
  </sheetViews>
  <sheetFormatPr defaultColWidth="7.7109375" defaultRowHeight="15"/>
  <cols>
    <col min="1" max="16384" width="7.7109375" style="1"/>
  </cols>
  <sheetData>
    <row r="1" spans="1:10">
      <c r="A1" s="62" t="s">
        <v>92</v>
      </c>
    </row>
    <row r="3" spans="1:10" hidden="1">
      <c r="C3" s="10"/>
      <c r="E3" s="72">
        <f>GEN!E103</f>
        <v>11.85</v>
      </c>
    </row>
    <row r="4" spans="1:10" hidden="1">
      <c r="A4" s="72">
        <f>GEN!A105</f>
        <v>0.2</v>
      </c>
      <c r="B4" s="1087">
        <f>I4</f>
        <v>1.5</v>
      </c>
      <c r="C4" s="1087">
        <f>H4</f>
        <v>0.45</v>
      </c>
      <c r="F4" s="1">
        <f>E3-A4*2-B4*2-C4*2</f>
        <v>7.5499999999999989</v>
      </c>
      <c r="H4" s="6">
        <v>0.45</v>
      </c>
      <c r="I4" s="6">
        <f>GEN!$K$105</f>
        <v>1.5</v>
      </c>
      <c r="J4" s="529">
        <f>A4</f>
        <v>0.2</v>
      </c>
    </row>
    <row r="5" spans="1:10" hidden="1">
      <c r="C5" s="10"/>
    </row>
    <row r="6" spans="1:10" hidden="1">
      <c r="C6" s="10"/>
      <c r="E6" s="72">
        <f>GEN!E106</f>
        <v>6.5000000000000002E-2</v>
      </c>
      <c r="F6" s="1" t="s">
        <v>17</v>
      </c>
    </row>
    <row r="7" spans="1:10" hidden="1">
      <c r="C7" s="10"/>
    </row>
    <row r="8" spans="1:10" hidden="1">
      <c r="C8" s="10"/>
    </row>
    <row r="9" spans="1:10" hidden="1">
      <c r="C9" s="10"/>
    </row>
    <row r="10" spans="1:10" hidden="1">
      <c r="A10" s="62"/>
    </row>
    <row r="11" spans="1:10" hidden="1">
      <c r="A11" s="9" t="s">
        <v>643</v>
      </c>
    </row>
    <row r="12" spans="1:10" hidden="1">
      <c r="A12" s="1" t="s">
        <v>93</v>
      </c>
      <c r="E12" s="1" t="s">
        <v>1</v>
      </c>
      <c r="F12" s="4">
        <v>1</v>
      </c>
      <c r="G12" s="1" t="s">
        <v>94</v>
      </c>
    </row>
    <row r="13" spans="1:10" hidden="1">
      <c r="A13" s="1" t="s">
        <v>1802</v>
      </c>
      <c r="E13" s="1" t="s">
        <v>1</v>
      </c>
      <c r="F13" s="4">
        <v>0.45</v>
      </c>
      <c r="G13" s="1" t="s">
        <v>94</v>
      </c>
    </row>
    <row r="14" spans="1:10" hidden="1">
      <c r="A14" s="1" t="s">
        <v>645</v>
      </c>
      <c r="E14" s="1" t="s">
        <v>1</v>
      </c>
      <c r="F14" s="452">
        <v>0.4</v>
      </c>
      <c r="G14" s="1287" t="s">
        <v>2</v>
      </c>
    </row>
    <row r="15" spans="1:10" hidden="1"/>
    <row r="16" spans="1:10" hidden="1">
      <c r="A16" s="23" t="s">
        <v>633</v>
      </c>
      <c r="B16" s="602" t="s">
        <v>919</v>
      </c>
      <c r="C16" s="603"/>
      <c r="D16" s="615" t="s">
        <v>920</v>
      </c>
      <c r="E16" s="603"/>
    </row>
    <row r="17" spans="1:11" hidden="1">
      <c r="A17" s="25"/>
      <c r="B17" s="28" t="s">
        <v>634</v>
      </c>
      <c r="C17" s="33" t="s">
        <v>921</v>
      </c>
      <c r="D17" s="28" t="s">
        <v>634</v>
      </c>
      <c r="E17" s="33" t="s">
        <v>921</v>
      </c>
    </row>
    <row r="18" spans="1:11" hidden="1">
      <c r="A18" s="28"/>
      <c r="B18" s="28" t="s">
        <v>34</v>
      </c>
      <c r="C18" s="33" t="s">
        <v>2</v>
      </c>
      <c r="D18" s="28" t="s">
        <v>34</v>
      </c>
      <c r="E18" s="33" t="s">
        <v>2</v>
      </c>
    </row>
    <row r="19" spans="1:11" hidden="1">
      <c r="A19" s="25" t="s">
        <v>254</v>
      </c>
      <c r="B19" s="454">
        <v>10.67</v>
      </c>
      <c r="C19" s="37">
        <f>-GEN!D125</f>
        <v>-0.5</v>
      </c>
      <c r="D19" s="454">
        <f>B19</f>
        <v>10.67</v>
      </c>
      <c r="E19" s="37">
        <f>GEN!E125</f>
        <v>0.5</v>
      </c>
    </row>
    <row r="20" spans="1:11" hidden="1">
      <c r="A20" s="25" t="s">
        <v>632</v>
      </c>
      <c r="B20" s="454">
        <v>-2.4E-2</v>
      </c>
      <c r="C20" s="37">
        <f>C19</f>
        <v>-0.5</v>
      </c>
      <c r="D20" s="454">
        <f>B20</f>
        <v>-2.4E-2</v>
      </c>
      <c r="E20" s="37">
        <f>E19</f>
        <v>0.5</v>
      </c>
    </row>
    <row r="21" spans="1:11" hidden="1">
      <c r="A21" s="25" t="s">
        <v>1630</v>
      </c>
      <c r="B21" s="454">
        <v>-0.63200000000000001</v>
      </c>
      <c r="C21" s="37">
        <f>C20</f>
        <v>-0.5</v>
      </c>
      <c r="D21" s="454">
        <f>B21</f>
        <v>-0.63200000000000001</v>
      </c>
      <c r="E21" s="37">
        <f>E20</f>
        <v>0.5</v>
      </c>
    </row>
    <row r="22" spans="1:11" hidden="1">
      <c r="A22" s="25" t="s">
        <v>1631</v>
      </c>
      <c r="B22" s="454">
        <v>-2.4E-2</v>
      </c>
      <c r="C22" s="37">
        <f>C21</f>
        <v>-0.5</v>
      </c>
      <c r="D22" s="454">
        <f>B22</f>
        <v>-2.4E-2</v>
      </c>
      <c r="E22" s="37">
        <f>E21</f>
        <v>0.5</v>
      </c>
    </row>
    <row r="23" spans="1:11" hidden="1">
      <c r="A23" s="25" t="s">
        <v>1803</v>
      </c>
      <c r="B23" s="454">
        <v>10.67</v>
      </c>
      <c r="C23" s="37">
        <f>C22</f>
        <v>-0.5</v>
      </c>
      <c r="D23" s="454">
        <f>B23</f>
        <v>10.67</v>
      </c>
      <c r="E23" s="37">
        <f>E22</f>
        <v>0.5</v>
      </c>
    </row>
    <row r="24" spans="1:11" hidden="1">
      <c r="A24" s="28"/>
      <c r="B24" s="28"/>
      <c r="C24" s="58"/>
      <c r="D24" s="28"/>
      <c r="E24" s="58"/>
    </row>
    <row r="25" spans="1:11" hidden="1">
      <c r="I25" s="26"/>
      <c r="J25" s="26"/>
      <c r="K25" s="26"/>
    </row>
    <row r="26" spans="1:11" hidden="1">
      <c r="A26" s="291" t="s">
        <v>924</v>
      </c>
    </row>
    <row r="27" spans="1:11" hidden="1">
      <c r="A27" s="23" t="s">
        <v>661</v>
      </c>
      <c r="B27" s="68"/>
      <c r="C27" s="68"/>
      <c r="D27" s="68"/>
      <c r="E27" s="68"/>
      <c r="F27" s="68"/>
      <c r="G27" s="68"/>
      <c r="H27" s="30" t="s">
        <v>919</v>
      </c>
      <c r="I27" s="32"/>
      <c r="J27" s="31" t="s">
        <v>920</v>
      </c>
      <c r="K27" s="32"/>
    </row>
    <row r="28" spans="1:11" hidden="1">
      <c r="A28" s="25" t="s">
        <v>89</v>
      </c>
      <c r="B28" s="46"/>
      <c r="C28" s="46"/>
      <c r="D28" s="46"/>
      <c r="E28" s="26"/>
      <c r="F28" s="47"/>
      <c r="G28" s="46" t="s">
        <v>1</v>
      </c>
      <c r="H28" s="194">
        <f>SUM(B19:B23)</f>
        <v>20.660000000000004</v>
      </c>
      <c r="I28" s="27" t="s">
        <v>34</v>
      </c>
      <c r="J28" s="172">
        <f>SUM(D19:D23)</f>
        <v>20.660000000000004</v>
      </c>
      <c r="K28" s="27" t="s">
        <v>34</v>
      </c>
    </row>
    <row r="29" spans="1:11" ht="18" hidden="1">
      <c r="A29" s="25" t="s">
        <v>925</v>
      </c>
      <c r="B29" s="46"/>
      <c r="C29" s="46"/>
      <c r="D29" s="46"/>
      <c r="E29" s="26"/>
      <c r="F29" s="47"/>
      <c r="G29" s="46" t="s">
        <v>1</v>
      </c>
      <c r="H29" s="649">
        <f>SUMPRODUCT(B19:B23,C19:C23)</f>
        <v>-10.330000000000002</v>
      </c>
      <c r="I29" s="27" t="s">
        <v>77</v>
      </c>
      <c r="J29" s="649">
        <f>SUMPRODUCT(D19:D23,E19:E23)</f>
        <v>10.330000000000002</v>
      </c>
      <c r="K29" s="27" t="s">
        <v>77</v>
      </c>
    </row>
    <row r="30" spans="1:11" ht="18" hidden="1">
      <c r="A30" s="25" t="s">
        <v>926</v>
      </c>
      <c r="B30" s="46"/>
      <c r="C30" s="46"/>
      <c r="D30" s="46"/>
      <c r="E30" s="26"/>
      <c r="F30" s="47"/>
      <c r="G30" s="46" t="s">
        <v>1</v>
      </c>
      <c r="H30" s="454">
        <v>0</v>
      </c>
      <c r="I30" s="27" t="s">
        <v>77</v>
      </c>
      <c r="J30" s="454">
        <v>0</v>
      </c>
      <c r="K30" s="27" t="s">
        <v>77</v>
      </c>
    </row>
    <row r="31" spans="1:11" hidden="1">
      <c r="A31" s="25" t="s">
        <v>647</v>
      </c>
      <c r="B31" s="46"/>
      <c r="C31" s="46"/>
      <c r="D31" s="46"/>
      <c r="E31" s="26"/>
      <c r="F31" s="47"/>
      <c r="G31" s="46" t="s">
        <v>1</v>
      </c>
      <c r="H31" s="456">
        <f>(GEN!K125-GEN!K147)+F14</f>
        <v>10.165000000000001</v>
      </c>
      <c r="I31" s="613" t="s">
        <v>2</v>
      </c>
      <c r="J31" s="456">
        <f>(GEN!K125-GEN!K147)+F14</f>
        <v>10.165000000000001</v>
      </c>
      <c r="K31" s="613" t="s">
        <v>2</v>
      </c>
    </row>
    <row r="32" spans="1:11" hidden="1">
      <c r="A32" s="70"/>
      <c r="B32" s="71"/>
      <c r="C32" s="71"/>
      <c r="D32" s="71"/>
      <c r="E32" s="71"/>
      <c r="F32" s="453"/>
      <c r="G32" s="71"/>
      <c r="H32" s="70"/>
      <c r="I32" s="96"/>
      <c r="J32" s="15"/>
      <c r="K32" s="22"/>
    </row>
    <row r="33" spans="1:9" hidden="1"/>
    <row r="34" spans="1:9" hidden="1">
      <c r="A34" s="9" t="s">
        <v>1621</v>
      </c>
    </row>
    <row r="35" spans="1:9" ht="17.25" hidden="1">
      <c r="A35" s="1" t="s">
        <v>96</v>
      </c>
      <c r="D35" s="528" t="s">
        <v>1</v>
      </c>
      <c r="E35" s="6">
        <v>0.2</v>
      </c>
      <c r="F35" s="1" t="s">
        <v>67</v>
      </c>
    </row>
    <row r="36" spans="1:9" hidden="1">
      <c r="A36" s="1" t="s">
        <v>1804</v>
      </c>
      <c r="D36" s="528" t="s">
        <v>1</v>
      </c>
      <c r="E36" s="1304">
        <f>(400-(40*GEN!G3-300)/9)/1000</f>
        <v>0.27777777777777779</v>
      </c>
      <c r="F36" s="1" t="s">
        <v>1805</v>
      </c>
      <c r="G36" s="1" t="s">
        <v>1807</v>
      </c>
    </row>
    <row r="37" spans="1:9" hidden="1">
      <c r="A37" s="23" t="s">
        <v>633</v>
      </c>
      <c r="B37" s="615" t="s">
        <v>1808</v>
      </c>
      <c r="C37" s="31"/>
      <c r="D37" s="31"/>
      <c r="E37" s="1285"/>
      <c r="F37" s="615" t="s">
        <v>1809</v>
      </c>
      <c r="G37" s="1285"/>
      <c r="H37" s="31"/>
      <c r="I37" s="32"/>
    </row>
    <row r="38" spans="1:9" hidden="1">
      <c r="A38" s="25"/>
      <c r="B38" s="28" t="s">
        <v>91</v>
      </c>
      <c r="C38" s="28" t="s">
        <v>1810</v>
      </c>
      <c r="D38" s="121" t="s">
        <v>1811</v>
      </c>
      <c r="E38" s="58" t="s">
        <v>921</v>
      </c>
      <c r="F38" s="28" t="s">
        <v>91</v>
      </c>
      <c r="G38" s="28" t="s">
        <v>1810</v>
      </c>
      <c r="H38" s="121" t="s">
        <v>1811</v>
      </c>
      <c r="I38" s="58" t="s">
        <v>921</v>
      </c>
    </row>
    <row r="39" spans="1:9" hidden="1">
      <c r="A39" s="28"/>
      <c r="B39" s="28" t="s">
        <v>34</v>
      </c>
      <c r="C39" s="28" t="s">
        <v>34</v>
      </c>
      <c r="D39" s="121" t="s">
        <v>34</v>
      </c>
      <c r="E39" s="33" t="s">
        <v>2</v>
      </c>
      <c r="F39" s="28" t="s">
        <v>34</v>
      </c>
      <c r="G39" s="28" t="s">
        <v>34</v>
      </c>
      <c r="H39" s="121" t="s">
        <v>34</v>
      </c>
      <c r="I39" s="33" t="s">
        <v>2</v>
      </c>
    </row>
    <row r="40" spans="1:9" hidden="1">
      <c r="A40" s="25" t="s">
        <v>254</v>
      </c>
      <c r="B40" s="454">
        <v>4.6740000000000004</v>
      </c>
      <c r="C40" s="454">
        <v>4.5279999999999996</v>
      </c>
      <c r="D40" s="649">
        <f>B40+C40</f>
        <v>9.202</v>
      </c>
      <c r="E40" s="37">
        <f>-GEN!D125</f>
        <v>-0.5</v>
      </c>
      <c r="F40" s="454">
        <v>4.6740000000000004</v>
      </c>
      <c r="G40" s="454">
        <v>4.5279999999999996</v>
      </c>
      <c r="H40" s="649">
        <f>F40+G40</f>
        <v>9.202</v>
      </c>
      <c r="I40" s="37">
        <f>GEN!E125</f>
        <v>0.5</v>
      </c>
    </row>
    <row r="41" spans="1:9" hidden="1">
      <c r="A41" s="25" t="s">
        <v>632</v>
      </c>
      <c r="B41" s="454">
        <v>4.0869999999999997</v>
      </c>
      <c r="C41" s="454">
        <v>-0.49299999999999999</v>
      </c>
      <c r="D41" s="649">
        <f>B41+C41</f>
        <v>3.5939999999999999</v>
      </c>
      <c r="E41" s="37">
        <f>E40</f>
        <v>-0.5</v>
      </c>
      <c r="F41" s="454">
        <v>4.0869999999999997</v>
      </c>
      <c r="G41" s="454">
        <v>-0.49299999999999999</v>
      </c>
      <c r="H41" s="649">
        <f>F41+G41</f>
        <v>3.5939999999999999</v>
      </c>
      <c r="I41" s="37">
        <f>I40</f>
        <v>0.5</v>
      </c>
    </row>
    <row r="42" spans="1:9" hidden="1">
      <c r="A42" s="25" t="s">
        <v>1630</v>
      </c>
      <c r="B42" s="454">
        <v>4.3810000000000002</v>
      </c>
      <c r="C42" s="454">
        <v>-0.25600000000000001</v>
      </c>
      <c r="D42" s="649">
        <f>B42+C42</f>
        <v>4.125</v>
      </c>
      <c r="E42" s="37">
        <f>E41</f>
        <v>-0.5</v>
      </c>
      <c r="F42" s="454">
        <v>4.3810000000000002</v>
      </c>
      <c r="G42" s="454">
        <v>-0.25600000000000001</v>
      </c>
      <c r="H42" s="649">
        <f>F42+G42</f>
        <v>4.125</v>
      </c>
      <c r="I42" s="37">
        <f>I41</f>
        <v>0.5</v>
      </c>
    </row>
    <row r="43" spans="1:9" hidden="1">
      <c r="A43" s="25" t="s">
        <v>1631</v>
      </c>
      <c r="B43" s="454">
        <v>4.0869999999999997</v>
      </c>
      <c r="C43" s="454">
        <v>-0.49299999999999999</v>
      </c>
      <c r="D43" s="649">
        <f>B43+C43</f>
        <v>3.5939999999999999</v>
      </c>
      <c r="E43" s="37">
        <f>E42</f>
        <v>-0.5</v>
      </c>
      <c r="F43" s="454">
        <v>4.0869999999999997</v>
      </c>
      <c r="G43" s="454">
        <v>-0.49299999999999999</v>
      </c>
      <c r="H43" s="649">
        <f>F43+G43</f>
        <v>3.5939999999999999</v>
      </c>
      <c r="I43" s="37">
        <f>I42</f>
        <v>0.5</v>
      </c>
    </row>
    <row r="44" spans="1:9" hidden="1">
      <c r="A44" s="25" t="s">
        <v>1803</v>
      </c>
      <c r="B44" s="454">
        <v>4.6740000000000004</v>
      </c>
      <c r="C44" s="454">
        <v>4.5279999999999996</v>
      </c>
      <c r="D44" s="649">
        <f>B44+C44</f>
        <v>9.202</v>
      </c>
      <c r="E44" s="37">
        <f>E43</f>
        <v>-0.5</v>
      </c>
      <c r="F44" s="454">
        <v>4.6740000000000004</v>
      </c>
      <c r="G44" s="454">
        <v>4.5279999999999996</v>
      </c>
      <c r="H44" s="649">
        <f>F44+G44</f>
        <v>9.202</v>
      </c>
      <c r="I44" s="37">
        <f>I43</f>
        <v>0.5</v>
      </c>
    </row>
    <row r="45" spans="1:9" hidden="1">
      <c r="A45" s="28"/>
      <c r="B45" s="28"/>
      <c r="C45" s="28"/>
      <c r="D45" s="121"/>
      <c r="E45" s="58"/>
      <c r="F45" s="28"/>
      <c r="G45" s="28"/>
      <c r="H45" s="121"/>
      <c r="I45" s="58"/>
    </row>
    <row r="46" spans="1:9" hidden="1">
      <c r="A46" s="1" t="s">
        <v>644</v>
      </c>
      <c r="D46" s="1" t="s">
        <v>1</v>
      </c>
      <c r="E46" s="610">
        <f>0.05/2</f>
        <v>2.5000000000000001E-2</v>
      </c>
      <c r="F46" s="604" t="s">
        <v>2</v>
      </c>
    </row>
    <row r="47" spans="1:9">
      <c r="E47" s="150"/>
    </row>
    <row r="48" spans="1:9">
      <c r="A48" s="291" t="s">
        <v>924</v>
      </c>
    </row>
    <row r="49" spans="1:11">
      <c r="A49" s="23" t="s">
        <v>661</v>
      </c>
      <c r="B49" s="24"/>
      <c r="C49" s="68"/>
      <c r="D49" s="68"/>
      <c r="E49" s="68"/>
      <c r="F49" s="68"/>
      <c r="G49" s="68"/>
      <c r="H49" s="30" t="s">
        <v>919</v>
      </c>
      <c r="I49" s="32"/>
      <c r="J49" s="31" t="s">
        <v>920</v>
      </c>
      <c r="K49" s="32"/>
    </row>
    <row r="50" spans="1:11">
      <c r="A50" s="25" t="s">
        <v>89</v>
      </c>
      <c r="B50" s="26"/>
      <c r="C50" s="46"/>
      <c r="D50" s="46"/>
      <c r="E50" s="26"/>
      <c r="F50" s="47"/>
      <c r="G50" s="46" t="s">
        <v>1</v>
      </c>
      <c r="H50" s="1575">
        <v>42</v>
      </c>
      <c r="I50" s="27" t="s">
        <v>34</v>
      </c>
      <c r="J50" s="1575">
        <v>42</v>
      </c>
      <c r="K50" s="27" t="s">
        <v>34</v>
      </c>
    </row>
    <row r="51" spans="1:11" ht="18">
      <c r="A51" s="25" t="s">
        <v>925</v>
      </c>
      <c r="B51" s="26"/>
      <c r="C51" s="46"/>
      <c r="D51" s="46"/>
      <c r="E51" s="26"/>
      <c r="F51" s="47"/>
      <c r="G51" s="46" t="s">
        <v>1</v>
      </c>
      <c r="H51" s="649">
        <f>SUMPRODUCT(D40:D44,E40:E44)</f>
        <v>-14.858499999999999</v>
      </c>
      <c r="I51" s="27" t="s">
        <v>77</v>
      </c>
      <c r="J51" s="649">
        <f>SUMPRODUCT(H40:H44,I40:I44)</f>
        <v>14.858499999999999</v>
      </c>
      <c r="K51" s="27" t="s">
        <v>77</v>
      </c>
    </row>
    <row r="52" spans="1:11" ht="18">
      <c r="A52" s="25" t="s">
        <v>926</v>
      </c>
      <c r="B52" s="26"/>
      <c r="C52" s="46"/>
      <c r="D52" s="46"/>
      <c r="E52" s="26"/>
      <c r="F52" s="47"/>
      <c r="G52" s="46" t="s">
        <v>1</v>
      </c>
      <c r="H52" s="454">
        <v>0</v>
      </c>
      <c r="I52" s="27" t="s">
        <v>77</v>
      </c>
      <c r="J52" s="454">
        <v>0</v>
      </c>
      <c r="K52" s="27" t="s">
        <v>77</v>
      </c>
    </row>
    <row r="53" spans="1:11">
      <c r="A53" s="25" t="s">
        <v>647</v>
      </c>
      <c r="B53" s="26"/>
      <c r="C53" s="46"/>
      <c r="D53" s="46"/>
      <c r="E53" s="26"/>
      <c r="F53" s="47"/>
      <c r="G53" s="46" t="s">
        <v>1</v>
      </c>
      <c r="H53" s="456">
        <f>(GEN!K125-GEN!K147)+E46</f>
        <v>9.7900000000000009</v>
      </c>
      <c r="I53" s="613" t="s">
        <v>2</v>
      </c>
      <c r="J53" s="456">
        <f>(GEN!K125-GEN!K147)+E46</f>
        <v>9.7900000000000009</v>
      </c>
      <c r="K53" s="613" t="s">
        <v>2</v>
      </c>
    </row>
    <row r="54" spans="1:11">
      <c r="A54" s="70"/>
      <c r="B54" s="71"/>
      <c r="C54" s="71"/>
      <c r="D54" s="71"/>
      <c r="E54" s="71"/>
      <c r="F54" s="453"/>
      <c r="G54" s="71"/>
      <c r="H54" s="70"/>
      <c r="I54" s="96"/>
      <c r="J54" s="70"/>
      <c r="K54" s="96"/>
    </row>
  </sheetData>
  <pageMargins left="0.59055118100000004" right="0.196850393700787" top="0.59055118110236204" bottom="0.15748031496063" header="0.31496062992126" footer="0.31496062992126"/>
  <pageSetup paperSize="9" scale="88" orientation="portrait" blackAndWhite="1" r:id="rId1"/>
  <drawing r:id="rId2"/>
</worksheet>
</file>

<file path=xl/worksheets/sheet8.xml><?xml version="1.0" encoding="utf-8"?>
<worksheet xmlns="http://schemas.openxmlformats.org/spreadsheetml/2006/main" xmlns:r="http://schemas.openxmlformats.org/officeDocument/2006/relationships">
  <sheetPr codeName="Sheet65"/>
  <dimension ref="A1:V198"/>
  <sheetViews>
    <sheetView view="pageBreakPreview" zoomScaleSheetLayoutView="100" workbookViewId="0">
      <selection activeCell="T85" sqref="T85"/>
    </sheetView>
  </sheetViews>
  <sheetFormatPr defaultColWidth="7.7109375" defaultRowHeight="15"/>
  <cols>
    <col min="1" max="2" width="7.7109375" style="1"/>
    <col min="3" max="6" width="7.7109375" style="1" customWidth="1"/>
    <col min="7" max="9" width="7.7109375" style="1"/>
    <col min="10" max="10" width="7.7109375" style="1" customWidth="1"/>
    <col min="11" max="11" width="7.85546875" style="1" bestFit="1" customWidth="1"/>
    <col min="12" max="12" width="7.7109375" style="1" customWidth="1"/>
    <col min="13" max="16384" width="7.7109375" style="1"/>
  </cols>
  <sheetData>
    <row r="1" spans="1:11">
      <c r="A1" s="9" t="s">
        <v>1580</v>
      </c>
    </row>
    <row r="2" spans="1:11">
      <c r="C2" s="7"/>
      <c r="D2" s="7"/>
      <c r="E2" s="7"/>
      <c r="F2" s="7"/>
      <c r="G2" s="7"/>
      <c r="H2" s="7"/>
      <c r="I2" s="7"/>
    </row>
    <row r="3" spans="1:11">
      <c r="C3" s="72">
        <f>GEN!G6</f>
        <v>35.96</v>
      </c>
      <c r="D3" s="7"/>
      <c r="G3" s="72">
        <f>GEN!I6</f>
        <v>35.96</v>
      </c>
      <c r="H3" s="7"/>
    </row>
    <row r="4" spans="1:11">
      <c r="C4" s="7"/>
      <c r="D4" s="7"/>
      <c r="H4" s="7"/>
    </row>
    <row r="5" spans="1:11">
      <c r="C5" s="7"/>
      <c r="D5" s="7"/>
      <c r="H5" s="7"/>
    </row>
    <row r="6" spans="1:11">
      <c r="C6" s="367">
        <f>GEN!G3</f>
        <v>35</v>
      </c>
      <c r="D6" s="7"/>
      <c r="G6" s="367">
        <f>GEN!I3</f>
        <v>35</v>
      </c>
      <c r="H6" s="7"/>
    </row>
    <row r="7" spans="1:11">
      <c r="C7" s="7"/>
      <c r="D7" s="7"/>
      <c r="H7" s="7"/>
    </row>
    <row r="8" spans="1:11">
      <c r="A8" s="30" t="s">
        <v>1581</v>
      </c>
      <c r="B8" s="32"/>
      <c r="C8" s="1198">
        <f>(C3-C6)/2</f>
        <v>0.48000000000000043</v>
      </c>
      <c r="D8" s="1223">
        <f>C6</f>
        <v>35</v>
      </c>
      <c r="E8" s="1200">
        <f>C8</f>
        <v>0.48000000000000043</v>
      </c>
      <c r="F8" s="1201">
        <v>0.04</v>
      </c>
      <c r="G8" s="1199">
        <f>(G3-G6)/2</f>
        <v>0.48000000000000043</v>
      </c>
      <c r="H8" s="1223">
        <f>G6</f>
        <v>35</v>
      </c>
      <c r="I8" s="1200">
        <f>G8</f>
        <v>0.48000000000000043</v>
      </c>
    </row>
    <row r="10" spans="1:11">
      <c r="A10" s="42" t="s">
        <v>1582</v>
      </c>
      <c r="B10" s="31"/>
      <c r="C10" s="31"/>
      <c r="D10" s="31"/>
      <c r="E10" s="31"/>
      <c r="F10" s="31"/>
      <c r="G10" s="31"/>
      <c r="H10" s="31"/>
      <c r="I10" s="31"/>
      <c r="J10" s="31"/>
      <c r="K10" s="32"/>
    </row>
    <row r="11" spans="1:11">
      <c r="A11" s="73" t="s">
        <v>1583</v>
      </c>
      <c r="B11" s="1202">
        <v>1</v>
      </c>
      <c r="C11" s="1203">
        <v>2.7</v>
      </c>
      <c r="D11" s="1203">
        <v>2.7</v>
      </c>
      <c r="E11" s="1204">
        <v>11.4</v>
      </c>
      <c r="F11" s="1204">
        <v>11.4</v>
      </c>
      <c r="G11" s="1204">
        <v>6.8</v>
      </c>
      <c r="H11" s="1204">
        <v>6.8</v>
      </c>
      <c r="I11" s="1204">
        <v>6.8</v>
      </c>
      <c r="J11" s="1204">
        <v>6.8</v>
      </c>
      <c r="K11" s="21"/>
    </row>
    <row r="12" spans="1:11">
      <c r="A12" s="74" t="s">
        <v>1584</v>
      </c>
      <c r="B12" s="15"/>
      <c r="C12" s="75">
        <v>1.1000000000000001</v>
      </c>
      <c r="D12" s="75">
        <v>3.2</v>
      </c>
      <c r="E12" s="75">
        <v>1.2</v>
      </c>
      <c r="F12" s="75">
        <v>4.3</v>
      </c>
      <c r="G12" s="75">
        <v>3</v>
      </c>
      <c r="H12" s="75">
        <v>3</v>
      </c>
      <c r="I12" s="75">
        <v>3</v>
      </c>
      <c r="J12" s="75"/>
      <c r="K12" s="22"/>
    </row>
    <row r="13" spans="1:11">
      <c r="C13" s="1205">
        <v>6.8</v>
      </c>
      <c r="D13" s="1203">
        <v>6.8</v>
      </c>
      <c r="E13" s="1204">
        <v>6.8</v>
      </c>
      <c r="F13" s="1204">
        <v>6.8</v>
      </c>
      <c r="G13" s="1204">
        <v>11.4</v>
      </c>
      <c r="H13" s="1204">
        <v>11.4</v>
      </c>
      <c r="I13" s="1204">
        <v>2.7</v>
      </c>
      <c r="J13" s="1204">
        <v>2.7</v>
      </c>
      <c r="K13" s="21"/>
    </row>
    <row r="14" spans="1:11">
      <c r="C14" s="654">
        <v>3</v>
      </c>
      <c r="D14" s="75">
        <v>3</v>
      </c>
      <c r="E14" s="75">
        <v>3</v>
      </c>
      <c r="F14" s="75">
        <v>4.3</v>
      </c>
      <c r="G14" s="75">
        <v>1.2</v>
      </c>
      <c r="H14" s="75">
        <v>3.2</v>
      </c>
      <c r="I14" s="75">
        <v>1.1000000000000001</v>
      </c>
      <c r="J14" s="75"/>
      <c r="K14" s="22"/>
    </row>
    <row r="17" spans="1:11">
      <c r="A17" s="42" t="s">
        <v>1585</v>
      </c>
      <c r="B17" s="31"/>
      <c r="C17" s="31"/>
      <c r="D17" s="31"/>
      <c r="E17" s="31"/>
      <c r="F17" s="31"/>
      <c r="G17" s="31"/>
      <c r="H17" s="31"/>
      <c r="I17" s="31"/>
      <c r="J17" s="31"/>
      <c r="K17" s="32"/>
    </row>
    <row r="18" spans="1:11">
      <c r="A18" s="73" t="s">
        <v>1583</v>
      </c>
      <c r="B18" s="1202">
        <v>2</v>
      </c>
      <c r="C18" s="1203">
        <v>17</v>
      </c>
      <c r="D18" s="1203">
        <v>17</v>
      </c>
      <c r="E18" s="1204">
        <v>17</v>
      </c>
      <c r="F18" s="1204">
        <v>17</v>
      </c>
      <c r="G18" s="1204">
        <v>12</v>
      </c>
      <c r="H18" s="1204">
        <v>12</v>
      </c>
      <c r="I18" s="1204">
        <v>8</v>
      </c>
      <c r="J18" s="24"/>
      <c r="K18" s="21"/>
    </row>
    <row r="19" spans="1:11">
      <c r="A19" s="74" t="s">
        <v>1584</v>
      </c>
      <c r="B19" s="15"/>
      <c r="C19" s="75">
        <v>1.37</v>
      </c>
      <c r="D19" s="75">
        <v>3.05</v>
      </c>
      <c r="E19" s="75">
        <v>1.37</v>
      </c>
      <c r="F19" s="75">
        <v>2.13</v>
      </c>
      <c r="G19" s="75">
        <v>1.52</v>
      </c>
      <c r="H19" s="75">
        <v>3.96</v>
      </c>
      <c r="I19" s="75"/>
      <c r="J19" s="75"/>
      <c r="K19" s="22"/>
    </row>
    <row r="20" spans="1:11">
      <c r="C20" s="1205">
        <v>8</v>
      </c>
      <c r="D20" s="1203">
        <v>12</v>
      </c>
      <c r="E20" s="1204">
        <v>12</v>
      </c>
      <c r="F20" s="1204">
        <v>17</v>
      </c>
      <c r="G20" s="1204">
        <v>17</v>
      </c>
      <c r="H20" s="1204">
        <v>17</v>
      </c>
      <c r="I20" s="1204">
        <v>17</v>
      </c>
      <c r="J20" s="24"/>
      <c r="K20" s="21"/>
    </row>
    <row r="21" spans="1:11">
      <c r="C21" s="654">
        <v>3.96</v>
      </c>
      <c r="D21" s="75">
        <v>1.52</v>
      </c>
      <c r="E21" s="75">
        <v>2.13</v>
      </c>
      <c r="F21" s="75">
        <v>1.37</v>
      </c>
      <c r="G21" s="75">
        <v>3.05</v>
      </c>
      <c r="H21" s="75">
        <v>1.37</v>
      </c>
      <c r="I21" s="75"/>
      <c r="J21" s="75"/>
      <c r="K21" s="22"/>
    </row>
    <row r="24" spans="1:11">
      <c r="A24" s="42" t="s">
        <v>1586</v>
      </c>
      <c r="B24" s="31"/>
      <c r="C24" s="31"/>
      <c r="D24" s="31"/>
      <c r="E24" s="31"/>
      <c r="F24" s="31"/>
      <c r="G24" s="31"/>
      <c r="H24" s="31"/>
      <c r="I24" s="31"/>
      <c r="J24" s="31"/>
      <c r="K24" s="32"/>
    </row>
    <row r="25" spans="1:11">
      <c r="A25" s="23" t="s">
        <v>1583</v>
      </c>
      <c r="B25" s="1202">
        <v>3</v>
      </c>
      <c r="C25" s="24">
        <v>7</v>
      </c>
      <c r="D25" s="24">
        <v>14</v>
      </c>
      <c r="E25" s="24">
        <v>14</v>
      </c>
      <c r="F25" s="24">
        <v>14</v>
      </c>
      <c r="G25" s="24">
        <v>14</v>
      </c>
      <c r="H25" s="24">
        <v>7</v>
      </c>
      <c r="I25" s="24"/>
      <c r="J25" s="24"/>
      <c r="K25" s="21"/>
    </row>
    <row r="26" spans="1:11">
      <c r="A26" s="28" t="s">
        <v>1584</v>
      </c>
      <c r="B26" s="15"/>
      <c r="C26" s="15">
        <v>0.95</v>
      </c>
      <c r="D26" s="15">
        <v>0.95</v>
      </c>
      <c r="E26" s="15">
        <v>0.95</v>
      </c>
      <c r="F26" s="15">
        <v>0.95</v>
      </c>
      <c r="G26" s="15">
        <v>0.95</v>
      </c>
      <c r="H26" s="15"/>
      <c r="I26" s="15"/>
      <c r="J26" s="15"/>
      <c r="K26" s="22"/>
    </row>
    <row r="27" spans="1:11">
      <c r="C27" s="1205"/>
      <c r="D27" s="1203"/>
      <c r="E27" s="1204"/>
      <c r="F27" s="1204"/>
      <c r="G27" s="1204"/>
      <c r="H27" s="1204"/>
      <c r="I27" s="1204"/>
      <c r="J27" s="24"/>
      <c r="K27" s="21"/>
    </row>
    <row r="28" spans="1:11">
      <c r="C28" s="654"/>
      <c r="D28" s="75"/>
      <c r="E28" s="75"/>
      <c r="F28" s="75"/>
      <c r="G28" s="75"/>
      <c r="H28" s="75"/>
      <c r="I28" s="75"/>
      <c r="J28" s="75"/>
      <c r="K28" s="22"/>
    </row>
    <row r="30" spans="1:11">
      <c r="A30" s="353" t="s">
        <v>1594</v>
      </c>
    </row>
    <row r="31" spans="1:11">
      <c r="A31" s="23" t="s">
        <v>1587</v>
      </c>
      <c r="B31" s="24"/>
      <c r="C31" s="21"/>
      <c r="D31" s="1282" t="s">
        <v>1588</v>
      </c>
      <c r="E31" s="1282" t="s">
        <v>1589</v>
      </c>
      <c r="F31" s="1282" t="s">
        <v>1590</v>
      </c>
      <c r="G31" s="1282" t="s">
        <v>1591</v>
      </c>
      <c r="H31" s="1206" t="s">
        <v>1592</v>
      </c>
      <c r="I31" s="1283"/>
    </row>
    <row r="32" spans="1:11">
      <c r="A32" s="28" t="s">
        <v>1593</v>
      </c>
      <c r="B32" s="15"/>
      <c r="C32" s="22"/>
      <c r="D32" s="28" t="s">
        <v>34</v>
      </c>
      <c r="E32" s="28" t="s">
        <v>34</v>
      </c>
      <c r="F32" s="28" t="s">
        <v>34</v>
      </c>
      <c r="G32" s="28" t="s">
        <v>34</v>
      </c>
      <c r="H32" s="28"/>
      <c r="I32" s="22"/>
    </row>
    <row r="33" spans="1:22">
      <c r="A33" s="25" t="s">
        <v>1595</v>
      </c>
      <c r="B33" s="26"/>
      <c r="C33" s="27"/>
      <c r="D33" s="197">
        <f>max_RR($C11:$K14,$C$8:$I$8,D$31,$A$32)</f>
        <v>6.2404571428571485</v>
      </c>
      <c r="E33" s="197">
        <f>max_RR($C11:$K14,$C$8:$I$8,E$31,$A$32)</f>
        <v>20.95954285714285</v>
      </c>
      <c r="F33" s="197">
        <f>max_RR($C11:$K14,$C$8:$I$8,F$31,$A$32)</f>
        <v>27.230742857142872</v>
      </c>
      <c r="G33" s="294">
        <f>max_RR($C11:$K14,$C$8:$I$8,G$31,$A$32)</f>
        <v>0.96925714285713316</v>
      </c>
      <c r="H33" s="194">
        <f>K82</f>
        <v>2.2249999999999996</v>
      </c>
      <c r="I33" s="27"/>
      <c r="K33" s="254"/>
      <c r="L33" s="254"/>
      <c r="M33" s="254"/>
      <c r="N33" s="254"/>
    </row>
    <row r="34" spans="1:22">
      <c r="A34" s="25" t="s">
        <v>1596</v>
      </c>
      <c r="B34" s="26"/>
      <c r="C34" s="27"/>
      <c r="D34" s="197">
        <f>max_RR($C18:$K21,$C$8:$I$8,D$31,$A$32)</f>
        <v>4.7991428571428507</v>
      </c>
      <c r="E34" s="197">
        <f>max_RR($C18:$K21,$C$8:$I$8,E$31,$A$32)</f>
        <v>44.200857142857146</v>
      </c>
      <c r="F34" s="197">
        <f>max_RR($C18:$K21,$C$8:$I$8,F$31,$A$32)</f>
        <v>47.954571428571441</v>
      </c>
      <c r="G34" s="197">
        <f>max_RR($C18:$K21,$C$8:$I$8,G$31,$A$32)</f>
        <v>3.0454285714285647</v>
      </c>
      <c r="H34" s="194">
        <f>K98</f>
        <v>1.1799999999999997</v>
      </c>
      <c r="I34" s="27"/>
      <c r="K34" s="254"/>
      <c r="L34" s="254"/>
      <c r="M34" s="254"/>
      <c r="N34" s="254"/>
    </row>
    <row r="35" spans="1:22">
      <c r="A35" s="25" t="s">
        <v>1597</v>
      </c>
      <c r="B35" s="26"/>
      <c r="C35" s="27"/>
      <c r="D35" s="197">
        <f>max_RR($C25:$K28,$C$8:$I$8,D$31,$A$32)</f>
        <v>0.84000000000001496</v>
      </c>
      <c r="E35" s="197">
        <f>max_RR($C25:$K28,$C$8:$I$8,E$31,$A$32)</f>
        <v>34.159999999999989</v>
      </c>
      <c r="F35" s="197">
        <f>max_RR($C25:$K28,$C$8:$I$8,F$31,$A$32)</f>
        <v>34.370000000000012</v>
      </c>
      <c r="G35" s="197">
        <f>max_RR($C25:$K28,$C$8:$I$8,G$31,$A$32)</f>
        <v>0.62999999999998912</v>
      </c>
      <c r="H35" s="194">
        <f>K106</f>
        <v>1.125</v>
      </c>
      <c r="I35" s="27"/>
      <c r="K35" s="254"/>
      <c r="L35" s="254"/>
      <c r="M35" s="254"/>
      <c r="N35" s="254"/>
    </row>
    <row r="36" spans="1:22">
      <c r="A36" s="25" t="s">
        <v>1598</v>
      </c>
      <c r="B36" s="26"/>
      <c r="C36" s="27"/>
      <c r="D36" s="196">
        <f>D33*2</f>
        <v>12.480914285714297</v>
      </c>
      <c r="E36" s="196">
        <f>E33*2</f>
        <v>41.9190857142857</v>
      </c>
      <c r="F36" s="196">
        <f>F33*2</f>
        <v>54.461485714285743</v>
      </c>
      <c r="G36" s="196">
        <f>G33*2</f>
        <v>1.9385142857142663</v>
      </c>
      <c r="H36" s="194">
        <f>K90</f>
        <v>0.47500000000000009</v>
      </c>
      <c r="I36" s="27"/>
      <c r="K36" s="254"/>
      <c r="L36" s="254"/>
      <c r="M36" s="254"/>
      <c r="N36" s="254"/>
      <c r="T36" s="82"/>
      <c r="U36" s="82"/>
      <c r="V36" s="82"/>
    </row>
    <row r="37" spans="1:22">
      <c r="A37" s="1207" t="s">
        <v>1599</v>
      </c>
      <c r="B37" s="608"/>
      <c r="C37" s="1208"/>
      <c r="D37" s="1209">
        <f>D33*3</f>
        <v>18.721371428571445</v>
      </c>
      <c r="E37" s="1209">
        <f>E33*3</f>
        <v>62.87862857142855</v>
      </c>
      <c r="F37" s="1209">
        <f>F33*3</f>
        <v>81.692228571428615</v>
      </c>
      <c r="G37" s="1209">
        <f>G33*3</f>
        <v>2.9077714285713996</v>
      </c>
      <c r="H37" s="1210">
        <f>K114</f>
        <v>-1.2749999999999999</v>
      </c>
      <c r="I37" s="1208"/>
      <c r="K37" s="254"/>
      <c r="L37" s="254"/>
      <c r="M37" s="254"/>
      <c r="N37" s="254"/>
      <c r="T37" s="82"/>
      <c r="U37" s="82"/>
      <c r="V37" s="82"/>
    </row>
    <row r="38" spans="1:22">
      <c r="A38" s="1299" t="s">
        <v>1600</v>
      </c>
      <c r="B38" s="1300"/>
      <c r="C38" s="1301"/>
      <c r="D38" s="1302">
        <f>D33+D34</f>
        <v>11.0396</v>
      </c>
      <c r="E38" s="1302">
        <f>E33+E34</f>
        <v>65.160399999999996</v>
      </c>
      <c r="F38" s="1302">
        <f>F33+F34</f>
        <v>75.185314285714313</v>
      </c>
      <c r="G38" s="1302">
        <f>G33+G34</f>
        <v>4.0146857142856982</v>
      </c>
      <c r="H38" s="1303">
        <f>MAX(K123,K131)</f>
        <v>-0.15509009009009</v>
      </c>
      <c r="I38" s="1301"/>
      <c r="K38" s="254"/>
      <c r="L38" s="254"/>
      <c r="M38" s="254"/>
      <c r="N38" s="254"/>
      <c r="T38" s="82"/>
      <c r="U38" s="82"/>
      <c r="V38" s="82"/>
    </row>
    <row r="39" spans="1:22">
      <c r="A39" s="1207" t="s">
        <v>1601</v>
      </c>
      <c r="B39" s="608"/>
      <c r="C39" s="1208"/>
      <c r="D39" s="1209">
        <f>D33+D35</f>
        <v>7.0804571428571634</v>
      </c>
      <c r="E39" s="1209">
        <f>E33+E35</f>
        <v>55.119542857142839</v>
      </c>
      <c r="F39" s="1209">
        <f>F33+F35</f>
        <v>61.600742857142883</v>
      </c>
      <c r="G39" s="1209">
        <f>G33+G35</f>
        <v>1.5992571428571223</v>
      </c>
      <c r="H39" s="1210">
        <f>MAX(K139,K147)</f>
        <v>0.10378787878787898</v>
      </c>
      <c r="I39" s="1208"/>
      <c r="K39" s="254"/>
      <c r="L39" s="254"/>
      <c r="M39" s="254"/>
      <c r="N39" s="254"/>
      <c r="T39" s="142"/>
      <c r="U39" s="142"/>
      <c r="V39" s="142"/>
    </row>
    <row r="40" spans="1:22">
      <c r="A40" s="112"/>
      <c r="B40" s="26"/>
      <c r="C40" s="27"/>
      <c r="D40" s="210"/>
      <c r="E40" s="210"/>
      <c r="F40" s="210"/>
      <c r="G40" s="210"/>
      <c r="H40" s="38"/>
      <c r="I40" s="27"/>
      <c r="K40" s="254"/>
      <c r="L40" s="254"/>
      <c r="M40" s="254"/>
      <c r="N40" s="254"/>
      <c r="T40" s="1212"/>
      <c r="U40" s="1212"/>
      <c r="V40" s="1212"/>
    </row>
    <row r="41" spans="1:22">
      <c r="A41" s="81" t="str">
        <f>A34</f>
        <v>Clas 70R wheeled</v>
      </c>
      <c r="B41" s="44"/>
      <c r="C41" s="80"/>
      <c r="D41" s="1213">
        <f>D38</f>
        <v>11.0396</v>
      </c>
      <c r="E41" s="1213">
        <f>E38</f>
        <v>65.160399999999996</v>
      </c>
      <c r="F41" s="1213">
        <f>F38</f>
        <v>75.185314285714313</v>
      </c>
      <c r="G41" s="1213">
        <f>G38</f>
        <v>4.0146857142856982</v>
      </c>
      <c r="H41" s="1213">
        <f>H38</f>
        <v>-0.15509009009009</v>
      </c>
      <c r="I41" s="80"/>
      <c r="K41" s="254"/>
      <c r="L41" s="254"/>
      <c r="M41" s="254"/>
      <c r="N41" s="254"/>
      <c r="T41" s="785"/>
      <c r="U41" s="785"/>
      <c r="V41" s="785"/>
    </row>
    <row r="42" spans="1:22">
      <c r="A42" s="26"/>
      <c r="B42" s="26"/>
      <c r="C42" s="26"/>
      <c r="D42" s="26"/>
      <c r="E42" s="26"/>
      <c r="F42" s="26"/>
      <c r="G42" s="26"/>
      <c r="H42" s="26"/>
      <c r="I42" s="26"/>
      <c r="T42" s="26"/>
      <c r="U42" s="26"/>
      <c r="V42" s="26"/>
    </row>
    <row r="43" spans="1:22">
      <c r="A43" s="353" t="s">
        <v>1612</v>
      </c>
      <c r="T43" s="26"/>
      <c r="U43" s="26"/>
      <c r="V43" s="26"/>
    </row>
    <row r="44" spans="1:22">
      <c r="A44" s="23" t="s">
        <v>1587</v>
      </c>
      <c r="B44" s="24"/>
      <c r="C44" s="21"/>
      <c r="D44" s="1282" t="s">
        <v>1588</v>
      </c>
      <c r="E44" s="1282" t="s">
        <v>1589</v>
      </c>
      <c r="F44" s="1282" t="s">
        <v>1590</v>
      </c>
      <c r="G44" s="1282" t="s">
        <v>1591</v>
      </c>
      <c r="H44" s="1206" t="s">
        <v>1592</v>
      </c>
      <c r="I44" s="1283"/>
      <c r="T44" s="142"/>
      <c r="U44" s="11"/>
      <c r="V44" s="82"/>
    </row>
    <row r="45" spans="1:22">
      <c r="A45" s="28" t="s">
        <v>1602</v>
      </c>
      <c r="B45" s="15"/>
      <c r="C45" s="22"/>
      <c r="D45" s="28" t="s">
        <v>34</v>
      </c>
      <c r="E45" s="28" t="s">
        <v>34</v>
      </c>
      <c r="F45" s="28" t="s">
        <v>34</v>
      </c>
      <c r="G45" s="28" t="s">
        <v>34</v>
      </c>
      <c r="H45" s="28"/>
      <c r="I45" s="22"/>
      <c r="T45" s="611"/>
      <c r="U45" s="611"/>
      <c r="V45" s="611"/>
    </row>
    <row r="46" spans="1:22">
      <c r="A46" s="25" t="s">
        <v>1595</v>
      </c>
      <c r="B46" s="26"/>
      <c r="C46" s="27"/>
      <c r="D46" s="197">
        <f>max_RR($C11:$K14,$C$8:$I$8,D$44,$A$45)</f>
        <v>0</v>
      </c>
      <c r="E46" s="197">
        <f>max_RR($C11:$K14,$C$8:$I$8,E$44,$A$45)</f>
        <v>0</v>
      </c>
      <c r="F46" s="197">
        <f>max_RR($C11:$K14,$C$8:$I$8,F$44,$A$45)</f>
        <v>41.45320000000001</v>
      </c>
      <c r="G46" s="197">
        <f>max_RR($C11:$K14,$C$8:$I$8,G$44,$A$45)</f>
        <v>13.946799999999987</v>
      </c>
      <c r="H46" s="194">
        <f t="shared" ref="H46:H52" si="0">H33</f>
        <v>2.2249999999999996</v>
      </c>
      <c r="I46" s="27"/>
      <c r="T46" s="26"/>
      <c r="U46" s="26"/>
      <c r="V46" s="26"/>
    </row>
    <row r="47" spans="1:22">
      <c r="A47" s="25" t="s">
        <v>1596</v>
      </c>
      <c r="B47" s="26"/>
      <c r="C47" s="27"/>
      <c r="D47" s="197">
        <f>max_RR($C18:$K21,$C$8:$I$8,D$44,$A$45)</f>
        <v>0</v>
      </c>
      <c r="E47" s="197">
        <f>max_RR($C18:$K21,$C$8:$I$8,E$44,$A$45)</f>
        <v>0</v>
      </c>
      <c r="F47" s="197">
        <f>max_RR($C18:$K21,$C$8:$I$8,F$44,$A$45)</f>
        <v>86.446285714285736</v>
      </c>
      <c r="G47" s="197">
        <f>max_RR($C18:$K21,$C$8:$I$8,G$44,$A$45)</f>
        <v>13.553714285714257</v>
      </c>
      <c r="H47" s="194">
        <f t="shared" si="0"/>
        <v>1.1799999999999997</v>
      </c>
      <c r="I47" s="27"/>
      <c r="T47" s="1079"/>
      <c r="U47" s="1079"/>
      <c r="V47" s="1079"/>
    </row>
    <row r="48" spans="1:22">
      <c r="A48" s="25" t="s">
        <v>1597</v>
      </c>
      <c r="B48" s="26"/>
      <c r="C48" s="27"/>
      <c r="D48" s="197">
        <f>max_RR($C25:$K28,$C$8:$I$8,D$44,$A$45)</f>
        <v>0</v>
      </c>
      <c r="E48" s="197">
        <f>max_RR($C25:$K28,$C$8:$I$8,E$44,$A$45)</f>
        <v>0</v>
      </c>
      <c r="F48" s="197">
        <f>max_RR($C25:$K28,$C$8:$I$8,F$44,$A$45)</f>
        <v>65.710000000000036</v>
      </c>
      <c r="G48" s="197">
        <f>max_RR($C25:$K28,$C$8:$I$8,G$44,$A$45)</f>
        <v>4.2899999999999707</v>
      </c>
      <c r="H48" s="194">
        <f t="shared" si="0"/>
        <v>1.125</v>
      </c>
      <c r="I48" s="27"/>
    </row>
    <row r="49" spans="1:11">
      <c r="A49" s="25" t="s">
        <v>1598</v>
      </c>
      <c r="B49" s="26"/>
      <c r="C49" s="27"/>
      <c r="D49" s="196">
        <f>D46*2</f>
        <v>0</v>
      </c>
      <c r="E49" s="196">
        <f>E46*2</f>
        <v>0</v>
      </c>
      <c r="F49" s="196">
        <f>F46*2</f>
        <v>82.906400000000019</v>
      </c>
      <c r="G49" s="196">
        <f>G46*2</f>
        <v>27.893599999999974</v>
      </c>
      <c r="H49" s="194">
        <f t="shared" si="0"/>
        <v>0.47500000000000009</v>
      </c>
      <c r="I49" s="27"/>
    </row>
    <row r="50" spans="1:11">
      <c r="A50" s="1207" t="s">
        <v>1599</v>
      </c>
      <c r="B50" s="608"/>
      <c r="C50" s="1208"/>
      <c r="D50" s="1209">
        <f>D46*3</f>
        <v>0</v>
      </c>
      <c r="E50" s="1209">
        <f>E46*3</f>
        <v>0</v>
      </c>
      <c r="F50" s="1209">
        <f>F46*3</f>
        <v>124.35960000000003</v>
      </c>
      <c r="G50" s="1209">
        <f>G46*3</f>
        <v>41.84039999999996</v>
      </c>
      <c r="H50" s="1210">
        <f t="shared" si="0"/>
        <v>-1.2749999999999999</v>
      </c>
      <c r="I50" s="1208"/>
    </row>
    <row r="51" spans="1:11">
      <c r="A51" s="1299" t="s">
        <v>1600</v>
      </c>
      <c r="B51" s="1300"/>
      <c r="C51" s="1301"/>
      <c r="D51" s="1302">
        <f>D46+D47</f>
        <v>0</v>
      </c>
      <c r="E51" s="1302">
        <f>E46+E47</f>
        <v>0</v>
      </c>
      <c r="F51" s="1302">
        <f>F46+F47</f>
        <v>127.89948571428575</v>
      </c>
      <c r="G51" s="1302">
        <f>G46+G47</f>
        <v>27.500514285714246</v>
      </c>
      <c r="H51" s="1303">
        <f t="shared" si="0"/>
        <v>-0.15509009009009</v>
      </c>
      <c r="I51" s="1301"/>
    </row>
    <row r="52" spans="1:11">
      <c r="A52" s="1207" t="s">
        <v>1601</v>
      </c>
      <c r="B52" s="608"/>
      <c r="C52" s="1208"/>
      <c r="D52" s="1209">
        <f>D46+D48</f>
        <v>0</v>
      </c>
      <c r="E52" s="1209">
        <f>E46+E48</f>
        <v>0</v>
      </c>
      <c r="F52" s="1209">
        <f>F46+F48</f>
        <v>107.16320000000005</v>
      </c>
      <c r="G52" s="1209">
        <f>G46+G48</f>
        <v>18.23679999999996</v>
      </c>
      <c r="H52" s="1210">
        <f t="shared" si="0"/>
        <v>0.10378787878787898</v>
      </c>
      <c r="I52" s="1208"/>
    </row>
    <row r="53" spans="1:11">
      <c r="A53" s="112"/>
      <c r="B53" s="26"/>
      <c r="C53" s="27"/>
      <c r="D53" s="210"/>
      <c r="E53" s="210"/>
      <c r="F53" s="210"/>
      <c r="G53" s="210"/>
      <c r="H53" s="294"/>
      <c r="I53" s="27"/>
    </row>
    <row r="54" spans="1:11">
      <c r="A54" s="81" t="str">
        <f>A47</f>
        <v>Clas 70R wheeled</v>
      </c>
      <c r="B54" s="44"/>
      <c r="C54" s="80"/>
      <c r="D54" s="1213">
        <f>D51</f>
        <v>0</v>
      </c>
      <c r="E54" s="1213">
        <f>E51</f>
        <v>0</v>
      </c>
      <c r="F54" s="1213">
        <f>F51</f>
        <v>127.89948571428575</v>
      </c>
      <c r="G54" s="1213">
        <f>G51</f>
        <v>27.500514285714246</v>
      </c>
      <c r="H54" s="1213">
        <f>H51</f>
        <v>-0.15509009009009</v>
      </c>
      <c r="I54" s="80"/>
    </row>
    <row r="56" spans="1:11">
      <c r="A56" s="1" t="s">
        <v>646</v>
      </c>
      <c r="E56" s="1" t="s">
        <v>1</v>
      </c>
      <c r="F56" s="452">
        <v>1.2</v>
      </c>
      <c r="G56" s="612" t="s">
        <v>2</v>
      </c>
    </row>
    <row r="58" spans="1:11">
      <c r="A58" s="617" t="s">
        <v>929</v>
      </c>
    </row>
    <row r="59" spans="1:11">
      <c r="A59" s="23" t="s">
        <v>661</v>
      </c>
      <c r="B59" s="68"/>
      <c r="C59" s="68"/>
      <c r="D59" s="68"/>
      <c r="E59" s="68"/>
      <c r="F59" s="68"/>
      <c r="G59" s="68"/>
      <c r="H59" s="30" t="s">
        <v>919</v>
      </c>
      <c r="I59" s="32"/>
      <c r="J59" s="24" t="s">
        <v>920</v>
      </c>
      <c r="K59" s="21"/>
    </row>
    <row r="60" spans="1:11">
      <c r="A60" s="25" t="s">
        <v>662</v>
      </c>
      <c r="B60" s="46"/>
      <c r="C60" s="46"/>
      <c r="D60" s="46"/>
      <c r="E60" s="26"/>
      <c r="F60" s="47"/>
      <c r="G60" s="46" t="s">
        <v>1</v>
      </c>
      <c r="H60" s="194">
        <f>E41</f>
        <v>65.160399999999996</v>
      </c>
      <c r="I60" s="26" t="s">
        <v>34</v>
      </c>
      <c r="J60" s="618">
        <f>F41</f>
        <v>75.185314285714313</v>
      </c>
      <c r="K60" s="21" t="s">
        <v>34</v>
      </c>
    </row>
    <row r="61" spans="1:11" ht="17.25">
      <c r="A61" s="25" t="s">
        <v>934</v>
      </c>
      <c r="B61" s="46"/>
      <c r="C61" s="46"/>
      <c r="D61" s="46"/>
      <c r="E61" s="26"/>
      <c r="F61" s="47"/>
      <c r="G61" s="46" t="s">
        <v>1</v>
      </c>
      <c r="H61" s="76">
        <f>-GEN!D125</f>
        <v>-0.5</v>
      </c>
      <c r="I61" s="26" t="s">
        <v>2</v>
      </c>
      <c r="J61" s="76">
        <f>GEN!E125</f>
        <v>0.5</v>
      </c>
      <c r="K61" s="27" t="s">
        <v>2</v>
      </c>
    </row>
    <row r="62" spans="1:11" ht="18">
      <c r="A62" s="25" t="s">
        <v>925</v>
      </c>
      <c r="B62" s="46"/>
      <c r="C62" s="46"/>
      <c r="D62" s="46"/>
      <c r="E62" s="26"/>
      <c r="F62" s="47"/>
      <c r="G62" s="46" t="s">
        <v>1</v>
      </c>
      <c r="H62" s="194">
        <f>H60*H61</f>
        <v>-32.580199999999998</v>
      </c>
      <c r="I62" s="26" t="s">
        <v>77</v>
      </c>
      <c r="J62" s="194">
        <f>J60*J61</f>
        <v>37.592657142857156</v>
      </c>
      <c r="K62" s="27" t="s">
        <v>77</v>
      </c>
    </row>
    <row r="63" spans="1:11" ht="17.25">
      <c r="A63" s="25" t="s">
        <v>935</v>
      </c>
      <c r="B63" s="46"/>
      <c r="C63" s="46"/>
      <c r="D63" s="46"/>
      <c r="E63" s="26"/>
      <c r="F63" s="47"/>
      <c r="G63" s="46" t="s">
        <v>1</v>
      </c>
      <c r="H63" s="438">
        <f>H41</f>
        <v>-0.15509009009009</v>
      </c>
      <c r="I63" s="26" t="s">
        <v>2</v>
      </c>
      <c r="J63" s="438">
        <f>H41</f>
        <v>-0.15509009009009</v>
      </c>
      <c r="K63" s="27" t="s">
        <v>2</v>
      </c>
    </row>
    <row r="64" spans="1:11" ht="18">
      <c r="A64" s="25" t="s">
        <v>926</v>
      </c>
      <c r="B64" s="46"/>
      <c r="C64" s="46"/>
      <c r="D64" s="46"/>
      <c r="E64" s="26"/>
      <c r="F64" s="47"/>
      <c r="G64" s="46" t="s">
        <v>1</v>
      </c>
      <c r="H64" s="454">
        <f>H60*H63</f>
        <v>-10.105732306306301</v>
      </c>
      <c r="I64" s="26" t="s">
        <v>77</v>
      </c>
      <c r="J64" s="454">
        <f>J60*J63</f>
        <v>-11.660497166023164</v>
      </c>
      <c r="K64" s="27" t="s">
        <v>77</v>
      </c>
    </row>
    <row r="65" spans="1:11">
      <c r="A65" s="25" t="s">
        <v>647</v>
      </c>
      <c r="B65" s="46"/>
      <c r="C65" s="46"/>
      <c r="D65" s="46"/>
      <c r="E65" s="26"/>
      <c r="F65" s="47"/>
      <c r="G65" s="46" t="s">
        <v>1</v>
      </c>
      <c r="H65" s="456">
        <f>(GEN!K125-GEN!K147)+LL!F56</f>
        <v>10.965</v>
      </c>
      <c r="I65" s="604" t="s">
        <v>2</v>
      </c>
      <c r="J65" s="456">
        <f>(GEN!K125-GEN!K147)+LL!F56</f>
        <v>10.965</v>
      </c>
      <c r="K65" s="27" t="s">
        <v>2</v>
      </c>
    </row>
    <row r="66" spans="1:11">
      <c r="A66" s="28"/>
      <c r="B66" s="71"/>
      <c r="C66" s="71"/>
      <c r="D66" s="71"/>
      <c r="E66" s="71"/>
      <c r="F66" s="453"/>
      <c r="G66" s="71"/>
      <c r="H66" s="28"/>
      <c r="I66" s="15"/>
      <c r="J66" s="28"/>
      <c r="K66" s="22"/>
    </row>
    <row r="68" spans="1:11">
      <c r="A68" s="617" t="s">
        <v>936</v>
      </c>
    </row>
    <row r="69" spans="1:11">
      <c r="A69" s="23" t="s">
        <v>661</v>
      </c>
      <c r="B69" s="68"/>
      <c r="C69" s="68"/>
      <c r="D69" s="68"/>
      <c r="E69" s="68"/>
      <c r="F69" s="68"/>
      <c r="G69" s="68"/>
      <c r="H69" s="30" t="s">
        <v>919</v>
      </c>
      <c r="I69" s="32"/>
      <c r="J69" s="24" t="s">
        <v>920</v>
      </c>
      <c r="K69" s="21"/>
    </row>
    <row r="70" spans="1:11">
      <c r="A70" s="25" t="s">
        <v>662</v>
      </c>
      <c r="B70" s="46"/>
      <c r="C70" s="46"/>
      <c r="D70" s="46"/>
      <c r="E70" s="26"/>
      <c r="F70" s="47"/>
      <c r="G70" s="46" t="s">
        <v>1</v>
      </c>
      <c r="H70" s="194">
        <f>LL!E54</f>
        <v>0</v>
      </c>
      <c r="I70" s="26" t="s">
        <v>34</v>
      </c>
      <c r="J70" s="618">
        <f>LL!F54</f>
        <v>127.89948571428575</v>
      </c>
      <c r="K70" s="21" t="s">
        <v>34</v>
      </c>
    </row>
    <row r="71" spans="1:11" ht="17.25">
      <c r="A71" s="25" t="s">
        <v>934</v>
      </c>
      <c r="B71" s="46"/>
      <c r="C71" s="46"/>
      <c r="D71" s="46"/>
      <c r="E71" s="26"/>
      <c r="F71" s="47"/>
      <c r="G71" s="46" t="s">
        <v>1</v>
      </c>
      <c r="H71" s="619">
        <f>-GEN!D125</f>
        <v>-0.5</v>
      </c>
      <c r="I71" s="26" t="s">
        <v>2</v>
      </c>
      <c r="J71" s="619">
        <f>GEN!E125</f>
        <v>0.5</v>
      </c>
      <c r="K71" s="27" t="s">
        <v>2</v>
      </c>
    </row>
    <row r="72" spans="1:11" ht="18">
      <c r="A72" s="25" t="s">
        <v>925</v>
      </c>
      <c r="B72" s="46"/>
      <c r="C72" s="46"/>
      <c r="D72" s="46"/>
      <c r="E72" s="26"/>
      <c r="F72" s="47"/>
      <c r="G72" s="46" t="s">
        <v>1</v>
      </c>
      <c r="H72" s="194">
        <f>H70*H71</f>
        <v>0</v>
      </c>
      <c r="I72" s="26" t="s">
        <v>77</v>
      </c>
      <c r="J72" s="194">
        <f>J70*J71</f>
        <v>63.949742857142873</v>
      </c>
      <c r="K72" s="27" t="s">
        <v>77</v>
      </c>
    </row>
    <row r="73" spans="1:11" ht="17.25">
      <c r="A73" s="25" t="s">
        <v>935</v>
      </c>
      <c r="B73" s="46"/>
      <c r="C73" s="46"/>
      <c r="D73" s="46"/>
      <c r="E73" s="26"/>
      <c r="F73" s="47"/>
      <c r="G73" s="46" t="s">
        <v>1</v>
      </c>
      <c r="H73" s="438">
        <f>H54</f>
        <v>-0.15509009009009</v>
      </c>
      <c r="I73" s="26" t="s">
        <v>2</v>
      </c>
      <c r="J73" s="438">
        <f>H54</f>
        <v>-0.15509009009009</v>
      </c>
      <c r="K73" s="27" t="s">
        <v>2</v>
      </c>
    </row>
    <row r="74" spans="1:11" ht="18">
      <c r="A74" s="25" t="s">
        <v>926</v>
      </c>
      <c r="B74" s="46"/>
      <c r="C74" s="46"/>
      <c r="D74" s="46"/>
      <c r="E74" s="26"/>
      <c r="F74" s="47"/>
      <c r="G74" s="46" t="s">
        <v>1</v>
      </c>
      <c r="H74" s="454">
        <f>H70*H73</f>
        <v>0</v>
      </c>
      <c r="I74" s="26" t="s">
        <v>77</v>
      </c>
      <c r="J74" s="454">
        <f>J70*J73</f>
        <v>-19.835942761904757</v>
      </c>
      <c r="K74" s="27" t="s">
        <v>77</v>
      </c>
    </row>
    <row r="75" spans="1:11">
      <c r="A75" s="25" t="s">
        <v>647</v>
      </c>
      <c r="B75" s="46"/>
      <c r="C75" s="46"/>
      <c r="D75" s="46"/>
      <c r="E75" s="26"/>
      <c r="F75" s="47"/>
      <c r="G75" s="46" t="s">
        <v>1</v>
      </c>
      <c r="H75" s="456">
        <f>(GEN!K125-GEN!K147)+LL!F56</f>
        <v>10.965</v>
      </c>
      <c r="I75" s="604" t="s">
        <v>2</v>
      </c>
      <c r="J75" s="456">
        <f>(GEN!K125-GEN!K147)+LL!F56</f>
        <v>10.965</v>
      </c>
      <c r="K75" s="27" t="s">
        <v>2</v>
      </c>
    </row>
    <row r="76" spans="1:11">
      <c r="A76" s="25"/>
      <c r="B76" s="46"/>
      <c r="C76" s="46"/>
      <c r="D76" s="46"/>
      <c r="E76" s="26"/>
      <c r="F76" s="47"/>
      <c r="G76" s="46"/>
      <c r="H76" s="294"/>
      <c r="I76" s="12"/>
      <c r="J76" s="294"/>
      <c r="K76" s="191"/>
    </row>
    <row r="77" spans="1:11">
      <c r="A77" s="28"/>
      <c r="B77" s="71"/>
      <c r="C77" s="71"/>
      <c r="D77" s="71"/>
      <c r="E77" s="71"/>
      <c r="F77" s="453"/>
      <c r="G77" s="71"/>
      <c r="H77" s="28"/>
      <c r="I77" s="15"/>
      <c r="J77" s="28"/>
      <c r="K77" s="22"/>
    </row>
    <row r="79" spans="1:11">
      <c r="A79" s="1" t="s">
        <v>1603</v>
      </c>
    </row>
    <row r="80" spans="1:11">
      <c r="A80" s="62" t="s">
        <v>1595</v>
      </c>
    </row>
    <row r="81" spans="1:11">
      <c r="A81" s="8"/>
      <c r="B81" s="77">
        <f>55.4/2</f>
        <v>27.7</v>
      </c>
      <c r="C81" s="77">
        <f>B81</f>
        <v>27.7</v>
      </c>
      <c r="D81" s="8"/>
      <c r="E81" s="1211"/>
      <c r="F81" s="1211"/>
      <c r="G81" s="8"/>
    </row>
    <row r="82" spans="1:11">
      <c r="A82" s="8"/>
      <c r="B82" s="526">
        <f>0.4+0.5/2</f>
        <v>0.65</v>
      </c>
      <c r="C82" s="526">
        <f>1.8</f>
        <v>1.8</v>
      </c>
      <c r="D82" s="8"/>
      <c r="E82" s="8"/>
      <c r="F82" s="126"/>
      <c r="G82" s="8"/>
      <c r="I82" s="1" t="s">
        <v>1604</v>
      </c>
      <c r="J82" s="1" t="s">
        <v>1</v>
      </c>
      <c r="K82" s="1578">
        <f>D85-(B81*B82+C81*SUM(B82:C82))/SUM(B81:C81)</f>
        <v>2.2249999999999996</v>
      </c>
    </row>
    <row r="83" spans="1:11">
      <c r="A83" s="8"/>
      <c r="B83" s="8"/>
      <c r="C83" s="8"/>
      <c r="D83" s="8"/>
      <c r="E83" s="8"/>
      <c r="F83" s="8"/>
      <c r="G83" s="8"/>
    </row>
    <row r="84" spans="1:11">
      <c r="A84" s="8"/>
      <c r="B84" s="8"/>
      <c r="C84" s="8"/>
      <c r="D84" s="8"/>
      <c r="E84" s="8"/>
      <c r="F84" s="8"/>
      <c r="G84" s="8"/>
    </row>
    <row r="85" spans="1:11">
      <c r="A85" s="72">
        <f>GEN!A105+1.5+0.45</f>
        <v>2.15</v>
      </c>
      <c r="B85" s="8"/>
      <c r="C85" s="8"/>
      <c r="D85" s="72">
        <f>GEN!E103/2-A85</f>
        <v>3.7749999999999999</v>
      </c>
      <c r="E85" s="8"/>
      <c r="F85" s="8"/>
      <c r="G85" s="8"/>
    </row>
    <row r="86" spans="1:11">
      <c r="A86" s="8"/>
      <c r="B86" s="8"/>
      <c r="C86" s="8"/>
      <c r="D86" s="8"/>
      <c r="E86" s="8"/>
      <c r="F86" s="8"/>
      <c r="G86" s="8"/>
    </row>
    <row r="88" spans="1:11">
      <c r="A88" s="62" t="s">
        <v>1605</v>
      </c>
    </row>
    <row r="89" spans="1:11">
      <c r="A89" s="8"/>
      <c r="B89" s="77">
        <f>55.4/2</f>
        <v>27.7</v>
      </c>
      <c r="C89" s="77">
        <f>B89</f>
        <v>27.7</v>
      </c>
      <c r="D89" s="48">
        <f>B89</f>
        <v>27.7</v>
      </c>
      <c r="E89" s="48">
        <f>C89</f>
        <v>27.7</v>
      </c>
      <c r="G89" s="8"/>
      <c r="K89" s="528"/>
    </row>
    <row r="90" spans="1:11">
      <c r="A90" s="8"/>
      <c r="B90" s="526">
        <f>0.4+0.5/2</f>
        <v>0.65</v>
      </c>
      <c r="C90" s="526">
        <f>1.8</f>
        <v>1.8</v>
      </c>
      <c r="D90" s="526">
        <f>(1.2+0.5/2+0.5/2)</f>
        <v>1.7</v>
      </c>
      <c r="E90" s="526">
        <v>1.8</v>
      </c>
      <c r="G90" s="8"/>
      <c r="I90" s="1" t="s">
        <v>1604</v>
      </c>
      <c r="J90" s="1" t="s">
        <v>1</v>
      </c>
      <c r="K90" s="1579">
        <f>D93-(B89*B90+C89*SUM(B90:C90)+D89*SUM(B90:D90)+E89*SUM(B90:E90))/SUM(B89:E89)</f>
        <v>0.47500000000000009</v>
      </c>
    </row>
    <row r="91" spans="1:11">
      <c r="A91" s="8"/>
      <c r="B91" s="8"/>
      <c r="C91" s="8"/>
      <c r="D91" s="8"/>
      <c r="E91" s="8"/>
      <c r="F91" s="8"/>
      <c r="G91" s="8"/>
    </row>
    <row r="92" spans="1:11">
      <c r="A92" s="8"/>
      <c r="B92" s="8"/>
      <c r="C92" s="8"/>
      <c r="D92" s="8"/>
      <c r="E92" s="8"/>
      <c r="F92" s="8"/>
      <c r="G92" s="8"/>
    </row>
    <row r="93" spans="1:11">
      <c r="A93" s="11">
        <f>A85</f>
        <v>2.15</v>
      </c>
      <c r="B93" s="8"/>
      <c r="C93" s="8"/>
      <c r="D93" s="11">
        <f>D85</f>
        <v>3.7749999999999999</v>
      </c>
      <c r="E93" s="8"/>
      <c r="F93" s="8"/>
      <c r="G93" s="8"/>
    </row>
    <row r="94" spans="1:11">
      <c r="A94" s="8"/>
      <c r="B94" s="8"/>
      <c r="C94" s="8"/>
      <c r="D94" s="8"/>
      <c r="E94" s="8"/>
      <c r="F94" s="8"/>
      <c r="G94" s="8"/>
    </row>
    <row r="96" spans="1:11">
      <c r="A96" s="62" t="s">
        <v>1949</v>
      </c>
    </row>
    <row r="97" spans="1:11" ht="16.5" customHeight="1">
      <c r="A97" s="8"/>
      <c r="B97" s="77">
        <v>50</v>
      </c>
      <c r="C97" s="77">
        <f>B97</f>
        <v>50</v>
      </c>
      <c r="D97" s="894"/>
      <c r="E97" s="894"/>
      <c r="G97" s="8"/>
      <c r="K97" s="528"/>
    </row>
    <row r="98" spans="1:11">
      <c r="A98" s="8"/>
      <c r="B98" s="526">
        <f>1.2+0.86/2</f>
        <v>1.63</v>
      </c>
      <c r="C98" s="526">
        <f>2.79-0.86</f>
        <v>1.9300000000000002</v>
      </c>
      <c r="D98" s="526"/>
      <c r="E98" s="526"/>
      <c r="G98" s="8"/>
      <c r="I98" s="1" t="s">
        <v>1604</v>
      </c>
      <c r="J98" s="1" t="s">
        <v>1</v>
      </c>
      <c r="K98" s="1578">
        <f>D101-(B97*B98+C97*SUM(B98:C98))/SUM(B97:C97)</f>
        <v>1.1799999999999997</v>
      </c>
    </row>
    <row r="99" spans="1:11">
      <c r="A99" s="8"/>
      <c r="B99" s="8"/>
      <c r="C99" s="8"/>
      <c r="D99" s="8"/>
      <c r="E99" s="8"/>
      <c r="F99" s="8"/>
      <c r="G99" s="8"/>
    </row>
    <row r="100" spans="1:11">
      <c r="A100" s="8"/>
      <c r="B100" s="8"/>
      <c r="C100" s="8"/>
      <c r="D100" s="8"/>
      <c r="E100" s="8"/>
      <c r="F100" s="8"/>
      <c r="G100" s="8"/>
    </row>
    <row r="101" spans="1:11">
      <c r="A101" s="11">
        <f>A85</f>
        <v>2.15</v>
      </c>
      <c r="B101" s="8"/>
      <c r="C101" s="8"/>
      <c r="D101" s="11">
        <f>D85</f>
        <v>3.7749999999999999</v>
      </c>
      <c r="E101" s="8"/>
      <c r="F101" s="8"/>
      <c r="G101" s="8"/>
    </row>
    <row r="102" spans="1:11">
      <c r="A102" s="8"/>
      <c r="B102" s="8"/>
      <c r="C102" s="8"/>
      <c r="D102" s="8"/>
      <c r="E102" s="8"/>
      <c r="F102" s="8"/>
      <c r="G102" s="8"/>
    </row>
    <row r="103" spans="1:11">
      <c r="A103" s="8"/>
      <c r="B103" s="8"/>
      <c r="C103" s="8"/>
      <c r="D103" s="8"/>
      <c r="E103" s="8"/>
      <c r="F103" s="8"/>
      <c r="G103" s="8"/>
    </row>
    <row r="104" spans="1:11">
      <c r="A104" s="62" t="s">
        <v>1606</v>
      </c>
    </row>
    <row r="105" spans="1:11">
      <c r="A105" s="8"/>
      <c r="B105" s="77">
        <v>35</v>
      </c>
      <c r="C105" s="77">
        <f>B105</f>
        <v>35</v>
      </c>
      <c r="D105" s="894"/>
      <c r="E105" s="894"/>
      <c r="G105" s="8"/>
      <c r="K105" s="528"/>
    </row>
    <row r="106" spans="1:11">
      <c r="A106" s="8"/>
      <c r="B106" s="526">
        <f>1.2+0.85/2</f>
        <v>1.625</v>
      </c>
      <c r="C106" s="526">
        <f>2.9-0.85</f>
        <v>2.0499999999999998</v>
      </c>
      <c r="D106" s="526"/>
      <c r="E106" s="526"/>
      <c r="G106" s="8"/>
      <c r="I106" s="1" t="s">
        <v>1604</v>
      </c>
      <c r="J106" s="1" t="s">
        <v>1</v>
      </c>
      <c r="K106" s="1578">
        <f>D109-(B105*B106+C105*SUM(B106:C106))/SUM(B105:C105)</f>
        <v>1.125</v>
      </c>
    </row>
    <row r="107" spans="1:11">
      <c r="A107" s="8"/>
      <c r="B107" s="8"/>
      <c r="C107" s="8"/>
      <c r="D107" s="8"/>
      <c r="E107" s="8"/>
      <c r="F107" s="8"/>
      <c r="G107" s="8"/>
    </row>
    <row r="108" spans="1:11">
      <c r="A108" s="8"/>
      <c r="B108" s="8"/>
      <c r="C108" s="8"/>
      <c r="D108" s="8"/>
      <c r="E108" s="8"/>
      <c r="F108" s="8"/>
      <c r="G108" s="8"/>
    </row>
    <row r="109" spans="1:11">
      <c r="A109" s="11">
        <f>A85</f>
        <v>2.15</v>
      </c>
      <c r="B109" s="8"/>
      <c r="C109" s="8"/>
      <c r="D109" s="11">
        <f>D85</f>
        <v>3.7749999999999999</v>
      </c>
      <c r="E109" s="8"/>
      <c r="F109" s="8"/>
      <c r="G109" s="8"/>
    </row>
    <row r="110" spans="1:11">
      <c r="A110" s="8"/>
      <c r="B110" s="8"/>
      <c r="C110" s="8"/>
      <c r="D110" s="8"/>
      <c r="E110" s="8"/>
      <c r="F110" s="8"/>
      <c r="G110" s="8"/>
    </row>
    <row r="111" spans="1:11">
      <c r="A111" s="8"/>
      <c r="B111" s="8"/>
      <c r="C111" s="8"/>
      <c r="D111" s="8"/>
      <c r="E111" s="8"/>
      <c r="F111" s="8"/>
      <c r="G111" s="8"/>
    </row>
    <row r="112" spans="1:11">
      <c r="A112" s="62" t="s">
        <v>1607</v>
      </c>
    </row>
    <row r="113" spans="1:11">
      <c r="A113" s="8"/>
      <c r="B113" s="77">
        <f>55.4/2</f>
        <v>27.7</v>
      </c>
      <c r="C113" s="77">
        <f>B113</f>
        <v>27.7</v>
      </c>
      <c r="D113" s="48">
        <f>B113</f>
        <v>27.7</v>
      </c>
      <c r="E113" s="48">
        <f>C113</f>
        <v>27.7</v>
      </c>
      <c r="F113" s="78">
        <f>D113</f>
        <v>27.7</v>
      </c>
      <c r="G113" s="8">
        <f>E113</f>
        <v>27.7</v>
      </c>
      <c r="K113" s="528"/>
    </row>
    <row r="114" spans="1:11">
      <c r="A114" s="8"/>
      <c r="B114" s="526">
        <f>0.4+0.5/2</f>
        <v>0.65</v>
      </c>
      <c r="C114" s="526">
        <f>1.8</f>
        <v>1.8</v>
      </c>
      <c r="D114" s="526">
        <f>(1.2+0.5/2+0.5/2)</f>
        <v>1.7</v>
      </c>
      <c r="E114" s="526">
        <v>1.8</v>
      </c>
      <c r="F114" s="528">
        <f>D114</f>
        <v>1.7</v>
      </c>
      <c r="G114" s="526">
        <f>E114</f>
        <v>1.8</v>
      </c>
      <c r="I114" s="1" t="s">
        <v>1604</v>
      </c>
      <c r="J114" s="1" t="s">
        <v>1</v>
      </c>
      <c r="K114" s="1579">
        <f>D117-(B113*B114+C113*SUM(B114:C114)+D113*SUM(B114:D114)+E113*SUM(B114:E114)+F113*SUM(B114:F114)+G113*SUM(B114:G114))/SUM(B113:G113)</f>
        <v>-1.2749999999999999</v>
      </c>
    </row>
    <row r="115" spans="1:11">
      <c r="A115" s="8"/>
      <c r="B115" s="8"/>
      <c r="C115" s="8"/>
      <c r="D115" s="8"/>
      <c r="E115" s="8"/>
      <c r="F115" s="8"/>
      <c r="G115" s="8"/>
    </row>
    <row r="116" spans="1:11">
      <c r="A116" s="8"/>
      <c r="B116" s="8"/>
      <c r="C116" s="8"/>
      <c r="D116" s="8"/>
      <c r="E116" s="8"/>
      <c r="F116" s="8"/>
      <c r="G116" s="8"/>
    </row>
    <row r="117" spans="1:11">
      <c r="A117" s="11">
        <f>A85</f>
        <v>2.15</v>
      </c>
      <c r="B117" s="8"/>
      <c r="C117" s="8"/>
      <c r="D117" s="11">
        <f>D85</f>
        <v>3.7749999999999999</v>
      </c>
      <c r="E117" s="8"/>
      <c r="F117" s="8"/>
      <c r="G117" s="8"/>
    </row>
    <row r="118" spans="1:11">
      <c r="A118" s="8"/>
      <c r="B118" s="8"/>
      <c r="C118" s="8"/>
      <c r="D118" s="8"/>
      <c r="E118" s="8"/>
      <c r="F118" s="8"/>
      <c r="G118" s="8"/>
    </row>
    <row r="119" spans="1:11">
      <c r="A119" s="8"/>
      <c r="B119" s="8"/>
      <c r="C119" s="8"/>
      <c r="D119" s="8"/>
      <c r="E119" s="8"/>
      <c r="F119" s="8"/>
      <c r="G119" s="8"/>
    </row>
    <row r="121" spans="1:11">
      <c r="A121" s="62" t="s">
        <v>1608</v>
      </c>
    </row>
    <row r="122" spans="1:11">
      <c r="A122" s="8"/>
      <c r="B122" s="77">
        <f>55.4/2</f>
        <v>27.7</v>
      </c>
      <c r="C122" s="77">
        <f>B122</f>
        <v>27.7</v>
      </c>
      <c r="D122" s="77">
        <v>50</v>
      </c>
      <c r="E122" s="77">
        <f>D122</f>
        <v>50</v>
      </c>
      <c r="G122" s="8"/>
      <c r="K122" s="528"/>
    </row>
    <row r="123" spans="1:11">
      <c r="A123" s="8"/>
      <c r="B123" s="526">
        <f>0.4+0.5/2</f>
        <v>0.65</v>
      </c>
      <c r="C123" s="526">
        <f>1.8</f>
        <v>1.8</v>
      </c>
      <c r="D123" s="526">
        <f>(1.2+0.5/2+0.86/2)</f>
        <v>1.88</v>
      </c>
      <c r="E123" s="526">
        <f>2.79-0.86</f>
        <v>1.9300000000000002</v>
      </c>
      <c r="G123" s="8"/>
      <c r="I123" s="1" t="s">
        <v>1604</v>
      </c>
      <c r="J123" s="1" t="s">
        <v>1</v>
      </c>
      <c r="K123" s="1578">
        <f>D126-(B122*B123+C122*SUM(B123:C123)+D122*SUM(B123:D123)+E122*SUM(B123:E123))/SUM(B122:E122)</f>
        <v>-0.18490990990990985</v>
      </c>
    </row>
    <row r="124" spans="1:11">
      <c r="A124" s="8"/>
      <c r="B124" s="8"/>
      <c r="C124" s="8"/>
      <c r="D124" s="8"/>
      <c r="E124" s="8"/>
      <c r="F124" s="8"/>
      <c r="G124" s="8"/>
    </row>
    <row r="125" spans="1:11">
      <c r="A125" s="8"/>
      <c r="B125" s="8"/>
      <c r="C125" s="8"/>
      <c r="D125" s="8"/>
      <c r="E125" s="8"/>
      <c r="F125" s="8"/>
      <c r="G125" s="8"/>
    </row>
    <row r="126" spans="1:11">
      <c r="A126" s="11">
        <f>A85</f>
        <v>2.15</v>
      </c>
      <c r="B126" s="8"/>
      <c r="C126" s="8"/>
      <c r="D126" s="11">
        <f>D85</f>
        <v>3.7749999999999999</v>
      </c>
      <c r="E126" s="8"/>
      <c r="F126" s="8"/>
      <c r="G126" s="8"/>
    </row>
    <row r="127" spans="1:11">
      <c r="A127" s="8"/>
      <c r="B127" s="8"/>
      <c r="C127" s="8"/>
      <c r="D127" s="8"/>
      <c r="E127" s="8"/>
      <c r="F127" s="8"/>
      <c r="G127" s="8"/>
    </row>
    <row r="129" spans="1:11">
      <c r="A129" s="62" t="s">
        <v>1609</v>
      </c>
    </row>
    <row r="130" spans="1:11">
      <c r="A130" s="8"/>
      <c r="B130" s="77">
        <v>50</v>
      </c>
      <c r="C130" s="77">
        <f>B130</f>
        <v>50</v>
      </c>
      <c r="D130" s="77">
        <v>27.7</v>
      </c>
      <c r="E130" s="77">
        <f>D130</f>
        <v>27.7</v>
      </c>
      <c r="G130" s="8"/>
      <c r="K130" s="528"/>
    </row>
    <row r="131" spans="1:11">
      <c r="A131" s="8"/>
      <c r="B131" s="526">
        <f>1.2+0.86/2</f>
        <v>1.63</v>
      </c>
      <c r="C131" s="526">
        <f>2.79-0.86</f>
        <v>1.9300000000000002</v>
      </c>
      <c r="D131" s="526">
        <f>(1.2+0.5/2+0.86/2)</f>
        <v>1.88</v>
      </c>
      <c r="E131" s="526">
        <v>1.8</v>
      </c>
      <c r="G131" s="8"/>
      <c r="I131" s="1" t="s">
        <v>1604</v>
      </c>
      <c r="J131" s="1" t="s">
        <v>1</v>
      </c>
      <c r="K131" s="1578">
        <f>D134-(B130*B131+C130*SUM(B131:C131)+D130*SUM(B131:D131)+E130*SUM(B131:E131))/SUM(B130:E130)</f>
        <v>-0.15509009009009</v>
      </c>
    </row>
    <row r="132" spans="1:11">
      <c r="A132" s="8"/>
      <c r="B132" s="8"/>
      <c r="C132" s="8"/>
      <c r="D132" s="8"/>
      <c r="E132" s="8"/>
      <c r="F132" s="8"/>
      <c r="G132" s="8"/>
    </row>
    <row r="133" spans="1:11">
      <c r="A133" s="8"/>
      <c r="B133" s="8"/>
      <c r="C133" s="8"/>
      <c r="D133" s="8"/>
      <c r="E133" s="8"/>
      <c r="F133" s="8"/>
      <c r="G133" s="8"/>
    </row>
    <row r="134" spans="1:11">
      <c r="A134" s="11">
        <f>A117</f>
        <v>2.15</v>
      </c>
      <c r="B134" s="8"/>
      <c r="C134" s="8"/>
      <c r="D134" s="11">
        <f>D117</f>
        <v>3.7749999999999999</v>
      </c>
      <c r="E134" s="8"/>
      <c r="F134" s="8"/>
      <c r="G134" s="8"/>
    </row>
    <row r="135" spans="1:11">
      <c r="A135" s="8"/>
      <c r="B135" s="8"/>
      <c r="C135" s="8"/>
      <c r="D135" s="8"/>
      <c r="E135" s="8"/>
      <c r="F135" s="8"/>
      <c r="G135" s="8"/>
    </row>
    <row r="136" spans="1:11">
      <c r="A136" s="8"/>
      <c r="B136" s="8"/>
      <c r="C136" s="8"/>
      <c r="D136" s="8"/>
      <c r="E136" s="8"/>
      <c r="F136" s="8"/>
      <c r="G136" s="8"/>
    </row>
    <row r="137" spans="1:11">
      <c r="A137" s="62" t="s">
        <v>1610</v>
      </c>
    </row>
    <row r="138" spans="1:11">
      <c r="A138" s="8"/>
      <c r="B138" s="77">
        <f>55.4/2</f>
        <v>27.7</v>
      </c>
      <c r="C138" s="77">
        <f>B138</f>
        <v>27.7</v>
      </c>
      <c r="D138" s="77">
        <v>35</v>
      </c>
      <c r="E138" s="77">
        <f>D138</f>
        <v>35</v>
      </c>
      <c r="G138" s="8"/>
      <c r="K138" s="528"/>
    </row>
    <row r="139" spans="1:11">
      <c r="A139" s="8"/>
      <c r="B139" s="526">
        <f>0.4+0.5/2</f>
        <v>0.65</v>
      </c>
      <c r="C139" s="526">
        <f>1.8</f>
        <v>1.8</v>
      </c>
      <c r="D139" s="526">
        <f>(1.2+0.5/2+0.85/2)</f>
        <v>1.875</v>
      </c>
      <c r="E139" s="526">
        <f>2.9-0.85</f>
        <v>2.0499999999999998</v>
      </c>
      <c r="G139" s="8"/>
      <c r="I139" s="1" t="s">
        <v>1604</v>
      </c>
      <c r="J139" s="1" t="s">
        <v>1</v>
      </c>
      <c r="K139" s="1578">
        <f>D142-(B138*B139+C138*SUM(B139:C139)+D138*SUM(B139:D139)+E138*SUM(B139:E139))/SUM(B138:E138)</f>
        <v>0.10378787878787898</v>
      </c>
    </row>
    <row r="140" spans="1:11">
      <c r="A140" s="8"/>
      <c r="B140" s="8"/>
      <c r="C140" s="8"/>
      <c r="D140" s="8"/>
      <c r="E140" s="8"/>
      <c r="F140" s="8"/>
      <c r="G140" s="8"/>
    </row>
    <row r="141" spans="1:11">
      <c r="A141" s="8"/>
      <c r="B141" s="8"/>
      <c r="C141" s="8"/>
      <c r="D141" s="8"/>
      <c r="E141" s="8"/>
      <c r="F141" s="8"/>
      <c r="G141" s="8"/>
    </row>
    <row r="142" spans="1:11">
      <c r="A142" s="11">
        <f>A93</f>
        <v>2.15</v>
      </c>
      <c r="B142" s="8"/>
      <c r="C142" s="8"/>
      <c r="D142" s="11">
        <f>D93</f>
        <v>3.7749999999999999</v>
      </c>
      <c r="E142" s="8"/>
      <c r="F142" s="8"/>
      <c r="G142" s="8"/>
    </row>
    <row r="143" spans="1:11">
      <c r="A143" s="8"/>
      <c r="B143" s="8"/>
      <c r="C143" s="8"/>
      <c r="D143" s="8"/>
      <c r="E143" s="8"/>
      <c r="F143" s="8"/>
      <c r="G143" s="8"/>
    </row>
    <row r="145" spans="1:13">
      <c r="A145" s="62" t="s">
        <v>1611</v>
      </c>
    </row>
    <row r="146" spans="1:13">
      <c r="A146" s="8"/>
      <c r="B146" s="77">
        <v>35</v>
      </c>
      <c r="C146" s="77">
        <f>B146</f>
        <v>35</v>
      </c>
      <c r="D146" s="77">
        <v>27.7</v>
      </c>
      <c r="E146" s="77">
        <f>D146</f>
        <v>27.7</v>
      </c>
      <c r="G146" s="8"/>
      <c r="K146" s="528"/>
    </row>
    <row r="147" spans="1:13">
      <c r="A147" s="8"/>
      <c r="B147" s="526">
        <f>1.2+0.85/2</f>
        <v>1.625</v>
      </c>
      <c r="C147" s="526">
        <f>2.9-0.85</f>
        <v>2.0499999999999998</v>
      </c>
      <c r="D147" s="526">
        <f>(1.2+0.5/2+0.85/2)</f>
        <v>1.875</v>
      </c>
      <c r="E147" s="526">
        <v>1.8</v>
      </c>
      <c r="G147" s="8"/>
      <c r="I147" s="1" t="s">
        <v>1604</v>
      </c>
      <c r="J147" s="1" t="s">
        <v>1</v>
      </c>
      <c r="K147" s="1578">
        <f>D150-(B146*B147+C146*SUM(B147:C147)+D146*SUM(B147:D147)+E146*SUM(B147:E147))/SUM(B146:E146)</f>
        <v>-0.55378787878787916</v>
      </c>
    </row>
    <row r="148" spans="1:13">
      <c r="A148" s="8"/>
      <c r="B148" s="8"/>
      <c r="C148" s="8"/>
      <c r="D148" s="8"/>
      <c r="E148" s="8"/>
      <c r="F148" s="8"/>
      <c r="G148" s="8"/>
    </row>
    <row r="149" spans="1:13">
      <c r="A149" s="8"/>
      <c r="B149" s="8"/>
      <c r="C149" s="8"/>
      <c r="D149" s="8"/>
      <c r="E149" s="8"/>
      <c r="F149" s="8"/>
      <c r="G149" s="8"/>
    </row>
    <row r="150" spans="1:13">
      <c r="A150" s="11">
        <f>A117</f>
        <v>2.15</v>
      </c>
      <c r="B150" s="8"/>
      <c r="C150" s="8"/>
      <c r="D150" s="11">
        <f>D117</f>
        <v>3.7749999999999999</v>
      </c>
      <c r="E150" s="8"/>
      <c r="F150" s="8"/>
      <c r="G150" s="8"/>
    </row>
    <row r="151" spans="1:13">
      <c r="A151" s="8"/>
      <c r="B151" s="8"/>
      <c r="C151" s="8"/>
      <c r="D151" s="8"/>
      <c r="E151" s="8"/>
      <c r="F151" s="8"/>
      <c r="G151" s="8"/>
    </row>
    <row r="153" spans="1:13">
      <c r="A153" s="62" t="s">
        <v>1613</v>
      </c>
    </row>
    <row r="154" spans="1:13">
      <c r="A154" s="8"/>
      <c r="B154" s="77">
        <v>50</v>
      </c>
      <c r="C154" s="77">
        <f>B154</f>
        <v>50</v>
      </c>
      <c r="D154" s="77">
        <f>B154</f>
        <v>50</v>
      </c>
      <c r="E154" s="77">
        <f>C154</f>
        <v>50</v>
      </c>
      <c r="G154" s="8"/>
      <c r="L154" s="528"/>
    </row>
    <row r="155" spans="1:13">
      <c r="A155" s="8"/>
      <c r="B155" s="526">
        <f>1.2+0.86/2</f>
        <v>1.63</v>
      </c>
      <c r="C155" s="526">
        <f>2.79-0.86</f>
        <v>1.9300000000000002</v>
      </c>
      <c r="D155" s="1214">
        <f>7.25-SUM(B155:C155)+0.86/2</f>
        <v>4.12</v>
      </c>
      <c r="E155" s="526">
        <f>2.79-0.86</f>
        <v>1.9300000000000002</v>
      </c>
      <c r="G155" s="8"/>
      <c r="J155" s="1" t="s">
        <v>1604</v>
      </c>
      <c r="K155" s="1" t="s">
        <v>1</v>
      </c>
      <c r="L155" s="528">
        <f>D158-(B154*B155+C154*SUM(B155:C155)+D154*SUM(B155:D155)+E154*SUM(B155:E155))/SUM(B154:E154)</f>
        <v>-1.8450000000000002</v>
      </c>
      <c r="M155" s="1" t="s">
        <v>2</v>
      </c>
    </row>
    <row r="156" spans="1:13">
      <c r="A156" s="8"/>
      <c r="B156" s="8"/>
      <c r="C156" s="8"/>
      <c r="D156" s="8"/>
      <c r="E156" s="8"/>
      <c r="F156" s="8"/>
      <c r="G156" s="8"/>
    </row>
    <row r="157" spans="1:13">
      <c r="A157" s="8"/>
      <c r="B157" s="8"/>
      <c r="C157" s="8"/>
      <c r="D157" s="8"/>
      <c r="E157" s="8"/>
      <c r="F157" s="8"/>
      <c r="G157" s="8"/>
    </row>
    <row r="158" spans="1:13">
      <c r="A158" s="11">
        <f>A150</f>
        <v>2.15</v>
      </c>
      <c r="B158" s="8"/>
      <c r="C158" s="8"/>
      <c r="D158" s="11">
        <f>D150</f>
        <v>3.7749999999999999</v>
      </c>
      <c r="E158" s="8"/>
      <c r="F158" s="8"/>
      <c r="G158" s="8"/>
    </row>
    <row r="159" spans="1:13">
      <c r="A159" s="8"/>
      <c r="B159" s="8"/>
      <c r="C159" s="8"/>
      <c r="D159" s="8"/>
      <c r="E159" s="8"/>
      <c r="F159" s="8"/>
      <c r="G159" s="8"/>
    </row>
    <row r="161" spans="1:13">
      <c r="A161" s="62" t="s">
        <v>1614</v>
      </c>
    </row>
    <row r="162" spans="1:13">
      <c r="A162" s="8"/>
      <c r="B162" s="77">
        <v>50</v>
      </c>
      <c r="C162" s="77">
        <f>B162</f>
        <v>50</v>
      </c>
      <c r="D162" s="77">
        <v>27.7</v>
      </c>
      <c r="E162" s="77">
        <f>D162</f>
        <v>27.7</v>
      </c>
      <c r="F162" s="77">
        <v>27.7</v>
      </c>
      <c r="G162" s="77">
        <f>F162</f>
        <v>27.7</v>
      </c>
      <c r="L162" s="528"/>
    </row>
    <row r="163" spans="1:13">
      <c r="A163" s="8"/>
      <c r="B163" s="526">
        <f>1.2+0.86/2</f>
        <v>1.63</v>
      </c>
      <c r="C163" s="526">
        <f>2.79-0.86</f>
        <v>1.9300000000000002</v>
      </c>
      <c r="D163" s="1214">
        <f>7.25-SUM(B163:C163)+0.5/2</f>
        <v>3.94</v>
      </c>
      <c r="E163" s="526">
        <v>1.8</v>
      </c>
      <c r="F163" s="526">
        <v>1.7</v>
      </c>
      <c r="G163" s="526">
        <v>1.8</v>
      </c>
      <c r="J163" s="1" t="s">
        <v>1604</v>
      </c>
      <c r="K163" s="1" t="s">
        <v>1</v>
      </c>
      <c r="L163" s="79">
        <f>D166-(B162*B163+C162*SUM(B163:C163)+D162*SUM(B163:D163)+E162*SUM(B163:E163)+F162*SUM(B163:F163)+G162*SUM(B163:G163))/SUM(B162:G162)</f>
        <v>-2.7910341555977234</v>
      </c>
      <c r="M163" s="1" t="s">
        <v>2</v>
      </c>
    </row>
    <row r="164" spans="1:13">
      <c r="A164" s="8"/>
      <c r="B164" s="8"/>
      <c r="C164" s="8"/>
      <c r="D164" s="8"/>
      <c r="E164" s="8"/>
      <c r="F164" s="8"/>
      <c r="G164" s="8"/>
    </row>
    <row r="165" spans="1:13">
      <c r="A165" s="8"/>
      <c r="B165" s="8"/>
      <c r="C165" s="8"/>
      <c r="D165" s="8"/>
      <c r="E165" s="8"/>
      <c r="F165" s="8"/>
      <c r="G165" s="8"/>
    </row>
    <row r="166" spans="1:13">
      <c r="A166" s="11">
        <f>A158</f>
        <v>2.15</v>
      </c>
      <c r="B166" s="8"/>
      <c r="C166" s="8"/>
      <c r="D166" s="11">
        <f>D158</f>
        <v>3.7749999999999999</v>
      </c>
      <c r="E166" s="8"/>
      <c r="F166" s="8"/>
      <c r="G166" s="8"/>
    </row>
    <row r="167" spans="1:13">
      <c r="A167" s="8"/>
      <c r="B167" s="8"/>
      <c r="C167" s="8"/>
      <c r="D167" s="8"/>
      <c r="E167" s="8"/>
      <c r="F167" s="8"/>
      <c r="G167" s="8"/>
    </row>
    <row r="169" spans="1:13">
      <c r="A169" s="62" t="s">
        <v>1615</v>
      </c>
    </row>
    <row r="170" spans="1:13">
      <c r="A170" s="8"/>
      <c r="B170" s="77">
        <v>27</v>
      </c>
      <c r="C170" s="77">
        <f>B170</f>
        <v>27</v>
      </c>
      <c r="D170" s="77">
        <v>27</v>
      </c>
      <c r="E170" s="77">
        <f>D170</f>
        <v>27</v>
      </c>
      <c r="F170" s="77">
        <v>50</v>
      </c>
      <c r="G170" s="77">
        <f>F170</f>
        <v>50</v>
      </c>
      <c r="L170" s="528"/>
    </row>
    <row r="171" spans="1:13">
      <c r="A171" s="8"/>
      <c r="B171" s="526">
        <f>0.4+0.5/2</f>
        <v>0.65</v>
      </c>
      <c r="C171" s="526">
        <v>1.8</v>
      </c>
      <c r="D171" s="526">
        <f>1.2+0.5</f>
        <v>1.7</v>
      </c>
      <c r="E171" s="526">
        <v>1.8</v>
      </c>
      <c r="F171" s="1214">
        <f>1.2+0.86/2+0.5/2</f>
        <v>1.88</v>
      </c>
      <c r="G171" s="526">
        <f>2.79-0.86</f>
        <v>1.9300000000000002</v>
      </c>
      <c r="J171" s="1" t="s">
        <v>1604</v>
      </c>
      <c r="K171" s="1" t="s">
        <v>1</v>
      </c>
      <c r="L171" s="79">
        <f>D174-(B170*B171+C170*SUM(B171:C171)+D170*SUM(B171:D171)+E170*SUM(B171:E171)+F170*SUM(B171:F171)+G170*SUM(B171:G171))/SUM(B170:G170)</f>
        <v>-2.1668269230769233</v>
      </c>
      <c r="M171" s="1" t="s">
        <v>2</v>
      </c>
    </row>
    <row r="172" spans="1:13">
      <c r="A172" s="8"/>
      <c r="B172" s="8"/>
      <c r="C172" s="8"/>
      <c r="D172" s="8"/>
      <c r="E172" s="8"/>
      <c r="F172" s="8"/>
      <c r="G172" s="8"/>
    </row>
    <row r="173" spans="1:13">
      <c r="A173" s="8"/>
      <c r="B173" s="8"/>
      <c r="C173" s="8"/>
      <c r="D173" s="8"/>
      <c r="E173" s="8"/>
      <c r="F173" s="8"/>
      <c r="G173" s="8"/>
    </row>
    <row r="174" spans="1:13">
      <c r="A174" s="11">
        <f>A166</f>
        <v>2.15</v>
      </c>
      <c r="B174" s="8"/>
      <c r="C174" s="8"/>
      <c r="D174" s="11">
        <f>D166</f>
        <v>3.7749999999999999</v>
      </c>
      <c r="E174" s="8"/>
      <c r="F174" s="8"/>
      <c r="G174" s="8"/>
    </row>
    <row r="175" spans="1:13">
      <c r="A175" s="8"/>
      <c r="B175" s="8"/>
      <c r="C175" s="8"/>
      <c r="D175" s="8"/>
      <c r="E175" s="8"/>
      <c r="F175" s="8"/>
      <c r="G175" s="8"/>
    </row>
    <row r="177" spans="1:20">
      <c r="A177" s="62" t="s">
        <v>1616</v>
      </c>
    </row>
    <row r="178" spans="1:20">
      <c r="A178" s="8"/>
      <c r="B178" s="77">
        <v>35</v>
      </c>
      <c r="C178" s="77">
        <f>B178</f>
        <v>35</v>
      </c>
      <c r="D178" s="77">
        <v>35</v>
      </c>
      <c r="E178" s="77">
        <v>35</v>
      </c>
      <c r="G178" s="8"/>
      <c r="L178" s="528"/>
    </row>
    <row r="179" spans="1:20">
      <c r="A179" s="8"/>
      <c r="B179" s="526">
        <f>1.2+0.85/2</f>
        <v>1.625</v>
      </c>
      <c r="C179" s="526">
        <f>2.9-0.85</f>
        <v>2.0499999999999998</v>
      </c>
      <c r="D179" s="526">
        <f>7.25-(B179+C179)+0.85/2</f>
        <v>4</v>
      </c>
      <c r="E179" s="526">
        <f>2.9-0.85</f>
        <v>2.0499999999999998</v>
      </c>
      <c r="G179" s="8"/>
      <c r="J179" s="1" t="s">
        <v>1604</v>
      </c>
      <c r="K179" s="1" t="s">
        <v>1</v>
      </c>
      <c r="L179" s="79">
        <f>D182-(B178*B179+C178*SUM(B179:C179)+D178*SUM(B179:D179)+E178*SUM(B179:E179))/SUM(B178:E178)</f>
        <v>-1.9</v>
      </c>
      <c r="M179" s="1" t="s">
        <v>2</v>
      </c>
    </row>
    <row r="180" spans="1:20">
      <c r="A180" s="8"/>
      <c r="B180" s="8"/>
      <c r="C180" s="8"/>
      <c r="D180" s="8"/>
      <c r="E180" s="8"/>
      <c r="F180" s="8"/>
      <c r="G180" s="8"/>
    </row>
    <row r="181" spans="1:20">
      <c r="A181" s="8"/>
      <c r="B181" s="8"/>
      <c r="C181" s="8"/>
      <c r="D181" s="8"/>
      <c r="E181" s="8"/>
      <c r="F181" s="8"/>
      <c r="G181" s="8"/>
    </row>
    <row r="182" spans="1:20">
      <c r="A182" s="11">
        <f>A174</f>
        <v>2.15</v>
      </c>
      <c r="B182" s="8"/>
      <c r="C182" s="8"/>
      <c r="D182" s="11">
        <f>D174</f>
        <v>3.7749999999999999</v>
      </c>
      <c r="E182" s="8"/>
      <c r="F182" s="8"/>
      <c r="G182" s="8"/>
    </row>
    <row r="185" spans="1:20">
      <c r="A185" s="62" t="s">
        <v>1617</v>
      </c>
    </row>
    <row r="186" spans="1:20">
      <c r="A186" s="8"/>
      <c r="B186" s="77">
        <v>27.7</v>
      </c>
      <c r="C186" s="77">
        <v>27.7</v>
      </c>
      <c r="D186" s="77">
        <v>27.7</v>
      </c>
      <c r="E186" s="77">
        <v>27.7</v>
      </c>
      <c r="F186" s="77">
        <v>35</v>
      </c>
      <c r="G186" s="77">
        <v>35</v>
      </c>
      <c r="L186" s="528"/>
    </row>
    <row r="187" spans="1:20">
      <c r="A187" s="8"/>
      <c r="B187" s="526">
        <f>0.4+0.5/2</f>
        <v>0.65</v>
      </c>
      <c r="C187" s="526">
        <f>1.8</f>
        <v>1.8</v>
      </c>
      <c r="D187" s="526">
        <v>1.7</v>
      </c>
      <c r="E187" s="526">
        <v>1.8</v>
      </c>
      <c r="F187" s="1">
        <f>MAX((7.25-SUM(B187:E187)+0.85/2),(1.2+0.5/2+0.85/2))</f>
        <v>1.875</v>
      </c>
      <c r="G187" s="526">
        <f>2.9-0.85</f>
        <v>2.0499999999999998</v>
      </c>
      <c r="J187" s="1" t="s">
        <v>1604</v>
      </c>
      <c r="K187" s="1" t="s">
        <v>1</v>
      </c>
      <c r="L187" s="79">
        <f>D190-(B186*B187+C186*SUM(B187:C187)+D186*SUM(B187:D187)+E186*SUM(B187:E187)+F186*SUM(B187:F187)+G186*SUM(B187:G187))/SUM(B186:G186)</f>
        <v>-1.673783185840708</v>
      </c>
      <c r="M187" s="1" t="s">
        <v>2</v>
      </c>
      <c r="T187" s="62"/>
    </row>
    <row r="188" spans="1:20">
      <c r="A188" s="8"/>
      <c r="B188" s="8"/>
      <c r="C188" s="8"/>
      <c r="D188" s="8"/>
      <c r="E188" s="8"/>
      <c r="F188" s="8"/>
      <c r="G188" s="8"/>
    </row>
    <row r="189" spans="1:20">
      <c r="A189" s="8"/>
      <c r="B189" s="8"/>
      <c r="C189" s="8"/>
      <c r="D189" s="8"/>
      <c r="E189" s="8"/>
      <c r="F189" s="8"/>
      <c r="G189" s="8"/>
    </row>
    <row r="190" spans="1:20">
      <c r="A190" s="11">
        <f>A182</f>
        <v>2.15</v>
      </c>
      <c r="B190" s="8"/>
      <c r="C190" s="8"/>
      <c r="D190" s="11">
        <f>D182</f>
        <v>3.7749999999999999</v>
      </c>
      <c r="E190" s="8"/>
      <c r="F190" s="8"/>
      <c r="G190" s="8"/>
      <c r="R190" s="62"/>
    </row>
    <row r="193" spans="1:13">
      <c r="A193" s="62" t="s">
        <v>1618</v>
      </c>
    </row>
    <row r="194" spans="1:13">
      <c r="A194" s="8"/>
      <c r="B194" s="77">
        <v>35</v>
      </c>
      <c r="C194" s="77">
        <v>35</v>
      </c>
      <c r="D194" s="77">
        <v>27.7</v>
      </c>
      <c r="E194" s="77">
        <v>27.7</v>
      </c>
      <c r="F194" s="77">
        <v>27.7</v>
      </c>
      <c r="G194" s="77">
        <v>27.7</v>
      </c>
      <c r="L194" s="528"/>
    </row>
    <row r="195" spans="1:13">
      <c r="A195" s="8"/>
      <c r="B195" s="526">
        <f>1.2+0.85/2</f>
        <v>1.625</v>
      </c>
      <c r="C195" s="526">
        <f>2.9-0.85</f>
        <v>2.0499999999999998</v>
      </c>
      <c r="D195" s="526">
        <f>1.2+0.85/2+0.5/2</f>
        <v>1.875</v>
      </c>
      <c r="E195" s="526">
        <v>1.8</v>
      </c>
      <c r="F195" s="1">
        <f>MAX((7.25-SUM(B195:E195)+0.85/2),(1.7))</f>
        <v>1.7</v>
      </c>
      <c r="G195" s="526">
        <v>1.8</v>
      </c>
      <c r="J195" s="1" t="s">
        <v>1604</v>
      </c>
      <c r="K195" s="1" t="s">
        <v>1</v>
      </c>
      <c r="L195" s="79">
        <f>D198-(B194*B195+C194*SUM(B195:C195)+D194*SUM(B195:D195)+E194*SUM(B195:E195)+F194*SUM(B195:F195)+G194*SUM(B195:G195))/SUM(B194:G194)</f>
        <v>-2.2762168141592922</v>
      </c>
      <c r="M195" s="1" t="s">
        <v>2</v>
      </c>
    </row>
    <row r="196" spans="1:13">
      <c r="A196" s="8"/>
      <c r="B196" s="8"/>
      <c r="C196" s="8"/>
      <c r="D196" s="8"/>
      <c r="E196" s="8"/>
      <c r="F196" s="8"/>
      <c r="G196" s="8"/>
    </row>
    <row r="197" spans="1:13">
      <c r="A197" s="8"/>
      <c r="B197" s="8"/>
      <c r="C197" s="8"/>
      <c r="D197" s="8"/>
      <c r="E197" s="8"/>
      <c r="F197" s="8"/>
      <c r="G197" s="8"/>
    </row>
    <row r="198" spans="1:13">
      <c r="A198" s="11">
        <f>A190</f>
        <v>2.15</v>
      </c>
      <c r="B198" s="8"/>
      <c r="C198" s="8"/>
      <c r="D198" s="11">
        <f>D190</f>
        <v>3.7749999999999999</v>
      </c>
      <c r="E198" s="8"/>
      <c r="F198" s="8"/>
      <c r="G198" s="8"/>
    </row>
  </sheetData>
  <pageMargins left="0.59055118110236204" right="0.59055118110236204" top="0.59055118110236204" bottom="0.59055118110236204" header="0.31496062992126" footer="0.31496062992126"/>
  <pageSetup paperSize="9" orientation="portrait" blackAndWhite="1" r:id="rId1"/>
  <rowBreaks count="4" manualBreakCount="4">
    <brk id="42" max="10" man="1"/>
    <brk id="86" max="10" man="1"/>
    <brk id="135" max="10" man="1"/>
    <brk id="152" max="12" man="1"/>
  </rowBreaks>
  <drawing r:id="rId2"/>
</worksheet>
</file>

<file path=xl/worksheets/sheet9.xml><?xml version="1.0" encoding="utf-8"?>
<worksheet xmlns="http://schemas.openxmlformats.org/spreadsheetml/2006/main" xmlns:r="http://schemas.openxmlformats.org/officeDocument/2006/relationships">
  <sheetPr codeName="Sheet7"/>
  <dimension ref="A1:M81"/>
  <sheetViews>
    <sheetView view="pageBreakPreview" zoomScaleSheetLayoutView="100" workbookViewId="0">
      <selection activeCell="L15" sqref="L15"/>
    </sheetView>
  </sheetViews>
  <sheetFormatPr defaultColWidth="7.7109375" defaultRowHeight="15"/>
  <cols>
    <col min="1" max="16384" width="7.7109375" style="1"/>
  </cols>
  <sheetData>
    <row r="1" spans="1:13">
      <c r="A1" s="62" t="s">
        <v>98</v>
      </c>
    </row>
    <row r="2" spans="1:13" ht="39.75" customHeight="1">
      <c r="A2" s="1623" t="s">
        <v>118</v>
      </c>
      <c r="B2" s="1623"/>
      <c r="C2" s="1623"/>
      <c r="D2" s="1623"/>
      <c r="E2" s="1623"/>
      <c r="F2" s="1623"/>
      <c r="G2" s="1623"/>
      <c r="H2" s="1623"/>
      <c r="I2" s="1623"/>
      <c r="J2" s="1623"/>
      <c r="K2" s="1623"/>
      <c r="L2" s="8"/>
      <c r="M2" s="8"/>
    </row>
    <row r="3" spans="1:13">
      <c r="A3" s="105"/>
      <c r="B3" s="105"/>
      <c r="C3" s="105"/>
      <c r="D3" s="106" t="s">
        <v>99</v>
      </c>
      <c r="E3" s="105" t="s">
        <v>100</v>
      </c>
      <c r="F3" s="105"/>
      <c r="G3" s="105"/>
      <c r="H3" s="105" t="s">
        <v>119</v>
      </c>
      <c r="J3" s="105"/>
      <c r="K3" s="105"/>
      <c r="L3" s="105"/>
      <c r="M3" s="105"/>
    </row>
    <row r="4" spans="1:13">
      <c r="A4" s="107" t="s">
        <v>1</v>
      </c>
      <c r="B4" s="105"/>
      <c r="C4" s="107" t="s">
        <v>101</v>
      </c>
      <c r="D4" s="106"/>
      <c r="E4" s="105"/>
      <c r="F4" s="105"/>
      <c r="G4" s="105"/>
      <c r="H4" s="105"/>
      <c r="I4" s="105"/>
      <c r="J4" s="105"/>
      <c r="K4" s="105"/>
      <c r="L4" s="105"/>
      <c r="M4" s="105"/>
    </row>
    <row r="5" spans="1:13">
      <c r="A5" s="105"/>
      <c r="B5" s="105"/>
      <c r="C5" s="105"/>
      <c r="D5" s="106" t="s">
        <v>102</v>
      </c>
      <c r="E5" s="105" t="s">
        <v>103</v>
      </c>
      <c r="F5" s="105"/>
      <c r="G5" s="105"/>
      <c r="H5" s="105"/>
      <c r="I5" s="105"/>
      <c r="J5" s="105"/>
      <c r="K5" s="105"/>
      <c r="L5" s="105"/>
      <c r="M5" s="105"/>
    </row>
    <row r="6" spans="1:13">
      <c r="A6" s="105" t="s">
        <v>104</v>
      </c>
      <c r="B6" s="105"/>
      <c r="C6" s="105"/>
      <c r="D6" s="105"/>
      <c r="E6" s="105"/>
      <c r="F6" s="105"/>
      <c r="G6" s="105"/>
      <c r="H6" s="105"/>
      <c r="I6" s="105"/>
      <c r="J6" s="105"/>
      <c r="K6" s="105"/>
      <c r="L6" s="105"/>
      <c r="M6" s="105"/>
    </row>
    <row r="7" spans="1:13">
      <c r="A7" s="106" t="s">
        <v>105</v>
      </c>
      <c r="B7" s="106" t="s">
        <v>1</v>
      </c>
      <c r="C7" s="105" t="s">
        <v>106</v>
      </c>
      <c r="D7" s="105"/>
      <c r="E7" s="105"/>
      <c r="F7" s="105"/>
      <c r="G7" s="105"/>
      <c r="H7" s="105"/>
      <c r="I7" s="105"/>
      <c r="J7" s="105"/>
      <c r="K7" s="105"/>
      <c r="L7" s="105"/>
      <c r="M7" s="105"/>
    </row>
    <row r="8" spans="1:13">
      <c r="A8" s="106" t="s">
        <v>107</v>
      </c>
      <c r="B8" s="106" t="s">
        <v>1</v>
      </c>
      <c r="C8" s="105" t="s">
        <v>108</v>
      </c>
      <c r="D8" s="105"/>
      <c r="E8" s="105"/>
      <c r="F8" s="105"/>
      <c r="G8" s="105"/>
      <c r="H8" s="105"/>
      <c r="I8" s="105"/>
      <c r="J8" s="105"/>
      <c r="K8" s="105"/>
      <c r="L8" s="105"/>
      <c r="M8" s="105"/>
    </row>
    <row r="9" spans="1:13">
      <c r="A9" s="106" t="s">
        <v>109</v>
      </c>
      <c r="B9" s="106" t="s">
        <v>1</v>
      </c>
      <c r="C9" s="105" t="s">
        <v>110</v>
      </c>
      <c r="D9" s="105"/>
      <c r="E9" s="105"/>
      <c r="F9" s="105"/>
      <c r="G9" s="105"/>
      <c r="H9" s="105"/>
      <c r="I9" s="105"/>
      <c r="J9" s="105"/>
      <c r="K9" s="105"/>
      <c r="L9" s="105"/>
      <c r="M9" s="105"/>
    </row>
    <row r="10" spans="1:13">
      <c r="A10" s="108" t="s">
        <v>2</v>
      </c>
      <c r="B10" s="106" t="s">
        <v>1</v>
      </c>
      <c r="C10" s="105" t="s">
        <v>111</v>
      </c>
      <c r="D10" s="105"/>
      <c r="E10" s="105"/>
      <c r="F10" s="105"/>
      <c r="G10" s="105"/>
      <c r="H10" s="4">
        <v>0.03</v>
      </c>
      <c r="I10" s="29" t="s">
        <v>112</v>
      </c>
      <c r="J10" s="111">
        <v>0.05</v>
      </c>
      <c r="K10" s="431" t="s">
        <v>113</v>
      </c>
      <c r="L10" s="105"/>
      <c r="M10" s="105"/>
    </row>
    <row r="11" spans="1:13">
      <c r="A11" s="105"/>
      <c r="B11" s="105"/>
      <c r="C11" s="105"/>
      <c r="D11" s="105"/>
      <c r="E11" s="105"/>
      <c r="F11" s="105"/>
      <c r="G11" s="105"/>
      <c r="H11" s="105"/>
      <c r="I11" s="105"/>
      <c r="J11" s="105"/>
      <c r="K11" s="105"/>
      <c r="L11" s="105"/>
      <c r="M11" s="105"/>
    </row>
    <row r="12" spans="1:13">
      <c r="A12" s="1623" t="s">
        <v>1953</v>
      </c>
      <c r="B12" s="1623"/>
      <c r="C12" s="1623"/>
      <c r="D12" s="1623"/>
      <c r="E12" s="1623"/>
      <c r="F12" s="1623"/>
      <c r="G12" s="1623"/>
      <c r="H12" s="1623"/>
      <c r="I12" s="1623"/>
      <c r="J12" s="1623"/>
      <c r="K12" s="1623"/>
      <c r="L12" s="1623"/>
      <c r="M12" s="109"/>
    </row>
    <row r="13" spans="1:13">
      <c r="A13" s="1623"/>
      <c r="B13" s="1623"/>
      <c r="C13" s="1623"/>
      <c r="D13" s="1623"/>
      <c r="E13" s="1623"/>
      <c r="F13" s="1623"/>
      <c r="G13" s="1623"/>
      <c r="H13" s="1623"/>
      <c r="I13" s="1623"/>
      <c r="J13" s="1623"/>
      <c r="K13" s="1623"/>
      <c r="L13" s="1623"/>
      <c r="M13" s="109"/>
    </row>
    <row r="14" spans="1:13">
      <c r="A14" s="105"/>
      <c r="B14" s="105"/>
      <c r="C14" s="105"/>
      <c r="D14" s="105"/>
      <c r="E14" s="105"/>
      <c r="F14" s="105"/>
      <c r="G14" s="105"/>
      <c r="H14" s="105"/>
      <c r="I14" s="105"/>
      <c r="J14" s="105"/>
      <c r="K14" s="105"/>
      <c r="L14" s="105"/>
      <c r="M14" s="105"/>
    </row>
    <row r="15" spans="1:13">
      <c r="A15" s="105" t="s">
        <v>942</v>
      </c>
      <c r="B15" s="105"/>
      <c r="C15" s="105"/>
      <c r="D15" s="105"/>
      <c r="E15" s="105"/>
      <c r="F15" s="105"/>
      <c r="G15" s="105"/>
      <c r="H15" s="105"/>
      <c r="I15" s="105"/>
      <c r="J15" s="105"/>
      <c r="K15" s="105"/>
      <c r="L15" s="105"/>
      <c r="M15" s="105"/>
    </row>
    <row r="16" spans="1:13">
      <c r="A16" s="160" t="s">
        <v>943</v>
      </c>
      <c r="B16" s="161"/>
      <c r="C16" s="624" t="s">
        <v>919</v>
      </c>
      <c r="D16" s="630"/>
      <c r="E16" s="624" t="s">
        <v>920</v>
      </c>
      <c r="F16" s="630"/>
      <c r="G16" s="105"/>
      <c r="H16" s="105"/>
      <c r="I16" s="105"/>
      <c r="J16" s="105"/>
      <c r="K16" s="105"/>
      <c r="L16" s="105"/>
      <c r="M16" s="105"/>
    </row>
    <row r="17" spans="1:13">
      <c r="A17" s="165"/>
      <c r="B17" s="166"/>
      <c r="C17" s="165" t="s">
        <v>34</v>
      </c>
      <c r="D17" s="167"/>
      <c r="E17" s="165" t="s">
        <v>34</v>
      </c>
      <c r="F17" s="167"/>
      <c r="G17" s="105"/>
      <c r="H17" s="105"/>
      <c r="I17" s="105"/>
      <c r="J17" s="105"/>
      <c r="K17" s="105"/>
      <c r="L17" s="105"/>
      <c r="M17" s="105"/>
    </row>
    <row r="18" spans="1:13">
      <c r="A18" s="162" t="s">
        <v>120</v>
      </c>
      <c r="B18" s="163"/>
      <c r="C18" s="626">
        <f>SUP!H19</f>
        <v>230</v>
      </c>
      <c r="D18" s="164"/>
      <c r="E18" s="626">
        <f>SUP!J19</f>
        <v>230</v>
      </c>
      <c r="F18" s="164"/>
      <c r="H18" s="105"/>
      <c r="I18" s="105"/>
      <c r="J18" s="105"/>
      <c r="K18" s="105"/>
      <c r="L18" s="105"/>
      <c r="M18" s="105"/>
    </row>
    <row r="19" spans="1:13">
      <c r="A19" s="162" t="s">
        <v>121</v>
      </c>
      <c r="B19" s="163"/>
      <c r="C19" s="626">
        <f>SI!H28</f>
        <v>20.660000000000004</v>
      </c>
      <c r="D19" s="164"/>
      <c r="E19" s="626">
        <f>SI!J28</f>
        <v>20.660000000000004</v>
      </c>
      <c r="F19" s="164"/>
      <c r="G19" s="105"/>
      <c r="H19" s="105"/>
      <c r="I19" s="105"/>
      <c r="J19" s="105"/>
      <c r="K19" s="105"/>
      <c r="L19" s="105"/>
      <c r="M19" s="105"/>
    </row>
    <row r="20" spans="1:13">
      <c r="A20" s="162" t="s">
        <v>91</v>
      </c>
      <c r="B20" s="163"/>
      <c r="C20" s="626">
        <f>SI!H50</f>
        <v>42</v>
      </c>
      <c r="D20" s="164"/>
      <c r="E20" s="626">
        <f>SI!J50</f>
        <v>42</v>
      </c>
      <c r="F20" s="164"/>
      <c r="G20" s="105"/>
      <c r="H20" s="105"/>
      <c r="I20" s="105"/>
      <c r="J20" s="105"/>
      <c r="K20" s="105"/>
      <c r="L20" s="105"/>
      <c r="M20" s="105"/>
    </row>
    <row r="21" spans="1:13">
      <c r="A21" s="162"/>
      <c r="B21" s="163"/>
      <c r="C21" s="162"/>
      <c r="D21" s="164"/>
      <c r="E21" s="162"/>
      <c r="F21" s="164"/>
      <c r="G21" s="105"/>
      <c r="H21" s="105"/>
      <c r="I21" s="105"/>
      <c r="J21" s="105"/>
      <c r="K21" s="105"/>
      <c r="L21" s="105"/>
      <c r="M21" s="105"/>
    </row>
    <row r="22" spans="1:13">
      <c r="A22" s="627" t="s">
        <v>107</v>
      </c>
      <c r="B22" s="628"/>
      <c r="C22" s="629">
        <f>SUM(C18:C20)</f>
        <v>292.65999999999997</v>
      </c>
      <c r="D22" s="180"/>
      <c r="E22" s="629">
        <f>SUM(E18:E20)</f>
        <v>292.65999999999997</v>
      </c>
      <c r="F22" s="180"/>
      <c r="G22" s="105"/>
      <c r="H22" s="105"/>
      <c r="I22" s="105"/>
      <c r="J22" s="105"/>
      <c r="K22" s="105"/>
      <c r="L22" s="105"/>
      <c r="M22" s="105"/>
    </row>
    <row r="23" spans="1:13">
      <c r="A23" s="165"/>
      <c r="B23" s="166"/>
      <c r="C23" s="165"/>
      <c r="D23" s="167"/>
      <c r="E23" s="165"/>
      <c r="F23" s="167"/>
      <c r="G23" s="105"/>
      <c r="H23" s="105"/>
      <c r="I23" s="105"/>
      <c r="J23" s="105"/>
      <c r="K23" s="105"/>
      <c r="L23" s="105"/>
      <c r="M23" s="105"/>
    </row>
    <row r="24" spans="1:13">
      <c r="A24" s="105"/>
      <c r="B24" s="105"/>
      <c r="C24" s="105"/>
      <c r="D24" s="105"/>
      <c r="E24" s="105"/>
      <c r="F24" s="105"/>
      <c r="G24" s="105"/>
      <c r="H24" s="105"/>
      <c r="I24" s="105"/>
      <c r="J24" s="105"/>
      <c r="K24" s="105"/>
      <c r="L24" s="105"/>
      <c r="M24" s="105"/>
    </row>
    <row r="25" spans="1:13">
      <c r="A25" s="105"/>
      <c r="B25" s="105"/>
      <c r="C25" s="105"/>
      <c r="D25" s="105"/>
      <c r="E25" s="105"/>
      <c r="F25" s="105"/>
      <c r="G25" s="105"/>
      <c r="H25" s="105"/>
      <c r="I25" s="105"/>
      <c r="J25" s="105"/>
      <c r="K25" s="105"/>
      <c r="L25" s="105"/>
      <c r="M25" s="105"/>
    </row>
    <row r="26" spans="1:13">
      <c r="A26" s="179" t="s">
        <v>938</v>
      </c>
      <c r="B26" s="105"/>
      <c r="C26" s="105"/>
      <c r="D26" s="105"/>
      <c r="E26" s="105"/>
      <c r="F26" s="105"/>
      <c r="G26" s="105"/>
      <c r="H26" s="105"/>
      <c r="I26" s="105"/>
      <c r="J26" s="105"/>
      <c r="K26" s="105"/>
      <c r="L26" s="105"/>
      <c r="M26" s="105"/>
    </row>
    <row r="27" spans="1:13" ht="18">
      <c r="A27" s="624" t="s">
        <v>946</v>
      </c>
      <c r="B27" s="625"/>
      <c r="C27" s="625"/>
      <c r="D27" s="625"/>
      <c r="E27" s="404" t="s">
        <v>930</v>
      </c>
      <c r="F27" s="404" t="s">
        <v>931</v>
      </c>
      <c r="G27" s="404" t="s">
        <v>932</v>
      </c>
      <c r="H27" s="140" t="s">
        <v>933</v>
      </c>
      <c r="I27" s="105"/>
      <c r="J27" s="105"/>
      <c r="K27" s="105"/>
      <c r="L27" s="105"/>
      <c r="M27" s="105"/>
    </row>
    <row r="28" spans="1:13">
      <c r="A28" s="165" t="s">
        <v>937</v>
      </c>
      <c r="B28" s="166"/>
      <c r="C28" s="166"/>
      <c r="D28" s="166"/>
      <c r="E28" s="623">
        <f>LL!D41</f>
        <v>11.0396</v>
      </c>
      <c r="F28" s="623">
        <f>LL!E41</f>
        <v>65.160399999999996</v>
      </c>
      <c r="G28" s="623">
        <f>LL!F41</f>
        <v>75.185314285714313</v>
      </c>
      <c r="H28" s="622">
        <f>LL!G41</f>
        <v>4.0146857142856982</v>
      </c>
      <c r="I28" s="105"/>
      <c r="J28" s="105"/>
      <c r="K28" s="105"/>
      <c r="L28" s="105"/>
      <c r="M28" s="105"/>
    </row>
    <row r="29" spans="1:13">
      <c r="A29" s="165" t="s">
        <v>939</v>
      </c>
      <c r="B29" s="166"/>
      <c r="C29" s="166"/>
      <c r="D29" s="166"/>
      <c r="E29" s="623">
        <f>LL!D54</f>
        <v>0</v>
      </c>
      <c r="F29" s="623">
        <f>LL!E54</f>
        <v>0</v>
      </c>
      <c r="G29" s="623">
        <f>LL!F54</f>
        <v>127.89948571428575</v>
      </c>
      <c r="H29" s="622">
        <f>LL!G54</f>
        <v>27.500514285714246</v>
      </c>
      <c r="I29" s="105"/>
      <c r="J29" s="105"/>
      <c r="K29" s="105"/>
      <c r="L29" s="105"/>
      <c r="M29" s="105"/>
    </row>
    <row r="30" spans="1:13">
      <c r="A30" s="105"/>
      <c r="B30" s="105"/>
      <c r="C30" s="105"/>
      <c r="D30" s="105"/>
      <c r="E30" s="105"/>
      <c r="F30" s="105"/>
      <c r="G30" s="105"/>
      <c r="H30" s="105"/>
      <c r="I30" s="105"/>
      <c r="J30" s="105"/>
      <c r="K30" s="105"/>
      <c r="L30" s="105"/>
      <c r="M30" s="105"/>
    </row>
    <row r="31" spans="1:13">
      <c r="A31" s="105"/>
      <c r="B31" s="105"/>
      <c r="C31" s="105"/>
      <c r="D31" s="105"/>
      <c r="E31" s="105"/>
      <c r="F31" s="105"/>
      <c r="G31" s="105"/>
      <c r="H31" s="105"/>
      <c r="I31" s="105"/>
      <c r="J31" s="105"/>
      <c r="K31" s="105"/>
      <c r="L31" s="105"/>
      <c r="M31" s="105"/>
    </row>
    <row r="32" spans="1:13" ht="18" customHeight="1">
      <c r="A32" s="160"/>
      <c r="B32" s="161"/>
      <c r="C32" s="161"/>
      <c r="D32" s="161"/>
      <c r="E32" s="161"/>
      <c r="F32" s="1618" t="s">
        <v>105</v>
      </c>
      <c r="G32" s="1618" t="s">
        <v>105</v>
      </c>
      <c r="H32" s="1602" t="s">
        <v>919</v>
      </c>
      <c r="I32" s="1603"/>
      <c r="J32" s="1602" t="s">
        <v>920</v>
      </c>
      <c r="K32" s="1603"/>
      <c r="L32" s="1612" t="s">
        <v>941</v>
      </c>
      <c r="M32" s="1613"/>
    </row>
    <row r="33" spans="1:13">
      <c r="A33" s="165" t="s">
        <v>927</v>
      </c>
      <c r="B33" s="166"/>
      <c r="C33" s="166"/>
      <c r="D33" s="166"/>
      <c r="E33" s="15"/>
      <c r="F33" s="1619"/>
      <c r="G33" s="1619"/>
      <c r="H33" s="641" t="s">
        <v>109</v>
      </c>
      <c r="I33" s="642" t="s">
        <v>107</v>
      </c>
      <c r="J33" s="641" t="s">
        <v>109</v>
      </c>
      <c r="K33" s="642" t="s">
        <v>107</v>
      </c>
      <c r="L33" s="1614"/>
      <c r="M33" s="1615"/>
    </row>
    <row r="34" spans="1:13">
      <c r="A34" s="162"/>
      <c r="B34" s="163"/>
      <c r="C34" s="163"/>
      <c r="D34" s="163"/>
      <c r="E34" s="26"/>
      <c r="F34" s="643" t="s">
        <v>34</v>
      </c>
      <c r="G34" s="643" t="s">
        <v>34</v>
      </c>
      <c r="H34" s="643" t="s">
        <v>34</v>
      </c>
      <c r="I34" s="643" t="s">
        <v>34</v>
      </c>
      <c r="J34" s="643" t="s">
        <v>34</v>
      </c>
      <c r="K34" s="643" t="s">
        <v>34</v>
      </c>
      <c r="L34" s="1602" t="s">
        <v>34</v>
      </c>
      <c r="M34" s="1603"/>
    </row>
    <row r="35" spans="1:13" ht="15" customHeight="1">
      <c r="A35" s="160"/>
      <c r="B35" s="161"/>
      <c r="C35" s="161"/>
      <c r="D35" s="161"/>
      <c r="E35" s="24"/>
      <c r="F35" s="1620" t="s">
        <v>1806</v>
      </c>
      <c r="G35" s="636"/>
      <c r="H35" s="635"/>
      <c r="I35" s="636"/>
      <c r="J35" s="635"/>
      <c r="K35" s="636"/>
      <c r="L35" s="160"/>
      <c r="M35" s="638"/>
    </row>
    <row r="36" spans="1:13" ht="15" customHeight="1">
      <c r="A36" s="25"/>
      <c r="B36" s="163" t="s">
        <v>940</v>
      </c>
      <c r="C36" s="163"/>
      <c r="D36" s="163"/>
      <c r="E36" s="26"/>
      <c r="F36" s="1621"/>
      <c r="G36" s="1217">
        <f>0.2*100+55.4*0.05</f>
        <v>22.77</v>
      </c>
      <c r="H36" s="634">
        <f>E28</f>
        <v>11.0396</v>
      </c>
      <c r="I36" s="475">
        <f>C22</f>
        <v>292.65999999999997</v>
      </c>
      <c r="J36" s="632">
        <f>G28</f>
        <v>75.185314285714313</v>
      </c>
      <c r="K36" s="637">
        <f>E22</f>
        <v>292.65999999999997</v>
      </c>
      <c r="L36" s="25"/>
      <c r="M36" s="639">
        <f>MAX(MAX(G36-($H$10*(H36+I36)-$J$10*(J36+K36)),G36-($J$10*(H36+I36)-$H$10*(J36+K36)),G36-($H$10*(J36+K36)-$J$10*(H36+I36)),G36-($J$10*(J36+K36)-$H$10*(H36+I36))),MAX(G36/2+($H$10*(H36+I36)-$J$10*(J36+K36)),G36/2+($J$10*(H36+I36)-$H$10*(J36+K36)),G36/2+($H$10*(J36+K36)-$J$10*(H36+I36)),G36/2+($J$10*(J36+K36)-$H$10*(H36+I36))))</f>
        <v>32.051277714285717</v>
      </c>
    </row>
    <row r="37" spans="1:13">
      <c r="A37" s="162"/>
      <c r="B37" s="163" t="s">
        <v>944</v>
      </c>
      <c r="C37" s="163"/>
      <c r="D37" s="163"/>
      <c r="E37" s="163"/>
      <c r="F37" s="1621"/>
      <c r="G37" s="1217">
        <f>0.2*100+55.4*0.05</f>
        <v>22.77</v>
      </c>
      <c r="H37" s="634">
        <f>F28</f>
        <v>65.160399999999996</v>
      </c>
      <c r="I37" s="475">
        <f>C22</f>
        <v>292.65999999999997</v>
      </c>
      <c r="J37" s="634">
        <f>H28</f>
        <v>4.0146857142856982</v>
      </c>
      <c r="K37" s="637">
        <f>E22</f>
        <v>292.65999999999997</v>
      </c>
      <c r="L37" s="162"/>
      <c r="M37" s="639">
        <f>MAX(MAX(G37-($H$10*(H37+I37)-$J$10*(J37+K37)),G37-($J$10*(H37+I37)-$H$10*(J37+K37)),G37-($H$10*(J37+K37)-$J$10*(H37+I37)),G37-($J$10*(J37+K37)-$H$10*(H37+I37))),MAX(G37/2+($H$10*(H37+I37)-$J$10*(J37+K37)),G37/2+($J$10*(H37+I37)-$H$10*(J37+K37)),G37/2+($H$10*(J37+K37)-$J$10*(H37+I37)),G37/2+($J$10*(J37+K37)-$H$10*(H37+I37))))</f>
        <v>31.760779428571428</v>
      </c>
    </row>
    <row r="38" spans="1:13">
      <c r="A38" s="165"/>
      <c r="B38" s="166"/>
      <c r="C38" s="166"/>
      <c r="D38" s="166"/>
      <c r="E38" s="166"/>
      <c r="F38" s="1622"/>
      <c r="G38" s="474"/>
      <c r="H38" s="165"/>
      <c r="I38" s="474"/>
      <c r="J38" s="165"/>
      <c r="K38" s="474"/>
      <c r="L38" s="165"/>
      <c r="M38" s="640"/>
    </row>
    <row r="39" spans="1:13">
      <c r="A39" s="105"/>
      <c r="B39" s="105"/>
      <c r="C39" s="105"/>
      <c r="D39" s="105"/>
      <c r="E39" s="105"/>
      <c r="F39" s="105"/>
      <c r="G39" s="105"/>
      <c r="H39" s="105"/>
      <c r="I39" s="105"/>
      <c r="J39" s="105"/>
      <c r="K39" s="105"/>
      <c r="L39" s="105"/>
      <c r="M39" s="105"/>
    </row>
    <row r="40" spans="1:13">
      <c r="A40" s="105"/>
      <c r="B40" s="105"/>
      <c r="C40" s="105"/>
      <c r="D40" s="105"/>
      <c r="E40" s="105"/>
      <c r="F40" s="105"/>
      <c r="G40" s="105"/>
      <c r="H40" s="105"/>
      <c r="I40" s="105"/>
      <c r="J40" s="105"/>
      <c r="K40" s="105"/>
      <c r="L40" s="105"/>
      <c r="M40" s="105"/>
    </row>
    <row r="41" spans="1:13">
      <c r="A41" s="160"/>
      <c r="B41" s="161"/>
      <c r="C41" s="161"/>
      <c r="D41" s="161"/>
      <c r="E41" s="161"/>
      <c r="F41" s="1616" t="s">
        <v>945</v>
      </c>
      <c r="G41" s="1618" t="s">
        <v>105</v>
      </c>
      <c r="H41" s="1602" t="s">
        <v>919</v>
      </c>
      <c r="I41" s="1603"/>
      <c r="J41" s="1602" t="s">
        <v>920</v>
      </c>
      <c r="K41" s="1603"/>
      <c r="L41" s="1612" t="s">
        <v>941</v>
      </c>
      <c r="M41" s="1613"/>
    </row>
    <row r="42" spans="1:13">
      <c r="A42" s="165" t="s">
        <v>928</v>
      </c>
      <c r="B42" s="166"/>
      <c r="C42" s="166"/>
      <c r="D42" s="166"/>
      <c r="E42" s="15"/>
      <c r="F42" s="1617"/>
      <c r="G42" s="1619"/>
      <c r="H42" s="641" t="s">
        <v>109</v>
      </c>
      <c r="I42" s="642" t="s">
        <v>107</v>
      </c>
      <c r="J42" s="641" t="s">
        <v>109</v>
      </c>
      <c r="K42" s="642" t="s">
        <v>107</v>
      </c>
      <c r="L42" s="1614"/>
      <c r="M42" s="1615"/>
    </row>
    <row r="43" spans="1:13">
      <c r="A43" s="162"/>
      <c r="B43" s="163"/>
      <c r="C43" s="163"/>
      <c r="D43" s="163"/>
      <c r="E43" s="26"/>
      <c r="F43" s="643" t="s">
        <v>34</v>
      </c>
      <c r="G43" s="643" t="s">
        <v>34</v>
      </c>
      <c r="H43" s="643" t="s">
        <v>34</v>
      </c>
      <c r="I43" s="643" t="s">
        <v>34</v>
      </c>
      <c r="J43" s="643" t="s">
        <v>34</v>
      </c>
      <c r="K43" s="643" t="s">
        <v>34</v>
      </c>
      <c r="L43" s="1602" t="s">
        <v>34</v>
      </c>
      <c r="M43" s="1603"/>
    </row>
    <row r="44" spans="1:13">
      <c r="A44" s="160"/>
      <c r="B44" s="161"/>
      <c r="C44" s="161"/>
      <c r="D44" s="161"/>
      <c r="E44" s="24"/>
      <c r="F44" s="635"/>
      <c r="G44" s="636"/>
      <c r="H44" s="635"/>
      <c r="I44" s="636"/>
      <c r="J44" s="635"/>
      <c r="K44" s="636"/>
      <c r="L44" s="160"/>
      <c r="M44" s="638"/>
    </row>
    <row r="45" spans="1:13">
      <c r="A45" s="25"/>
      <c r="B45" s="163" t="s">
        <v>940</v>
      </c>
      <c r="C45" s="163"/>
      <c r="D45" s="163"/>
      <c r="E45" s="26"/>
      <c r="F45" s="634">
        <f>E29+F29</f>
        <v>0</v>
      </c>
      <c r="G45" s="470">
        <f>0.2*F45</f>
        <v>0</v>
      </c>
      <c r="H45" s="634">
        <f>E29</f>
        <v>0</v>
      </c>
      <c r="I45" s="475">
        <f>C22</f>
        <v>292.65999999999997</v>
      </c>
      <c r="J45" s="634">
        <f>G29</f>
        <v>127.89948571428575</v>
      </c>
      <c r="K45" s="637">
        <f>E22</f>
        <v>292.65999999999997</v>
      </c>
      <c r="L45" s="25"/>
      <c r="M45" s="639">
        <f>MAX(MAX(G45-($H$10*(H45+I45)-$J$10*(J45+K45)),G45-($J$10*(H45+I45)-$H$10*(J45+K45)),G45-($H$10*(J45+K45)-$J$10*(H45+I45)),G45-($J$10*(J45+K45)-$H$10*(H45+I45))),MAX(G45/2+($H$10*(H45+I45)-$J$10*(J45+K45)),G45/2+($J$10*(H45+I45)-$H$10*(J45+K45)),G45/2+($H$10*(J45+K45)-$J$10*(H45+I45)),G45/2+($J$10*(J45+K45)-$H$10*(H45+I45))))</f>
        <v>12.248174285714288</v>
      </c>
    </row>
    <row r="46" spans="1:13">
      <c r="A46" s="162"/>
      <c r="B46" s="163" t="s">
        <v>944</v>
      </c>
      <c r="C46" s="163"/>
      <c r="D46" s="163"/>
      <c r="E46" s="163"/>
      <c r="F46" s="633">
        <f>G29+H29</f>
        <v>155.39999999999998</v>
      </c>
      <c r="G46" s="458">
        <f>0.2*100+(F46-100)*0.05</f>
        <v>22.77</v>
      </c>
      <c r="H46" s="634">
        <f>F29</f>
        <v>0</v>
      </c>
      <c r="I46" s="475">
        <f>C22</f>
        <v>292.65999999999997</v>
      </c>
      <c r="J46" s="634">
        <f>H29</f>
        <v>27.500514285714246</v>
      </c>
      <c r="K46" s="637">
        <f>E22</f>
        <v>292.65999999999997</v>
      </c>
      <c r="L46" s="162"/>
      <c r="M46" s="639">
        <f>MAX(MAX(G46-($H$10*(H46+I46)-$J$10*(J46+K46)),G46-($J$10*(H46+I46)-$H$10*(J46+K46)),G46-($H$10*(J46+K46)-$J$10*(H46+I46)),G46-($J$10*(J46+K46)-$H$10*(H46+I46))),MAX(G46/2+($H$10*(H46+I46)-$J$10*(J46+K46)),G46/2+($J$10*(H46+I46)-$H$10*(J46+K46)),G46/2+($H$10*(J46+K46)-$J$10*(H46+I46)),G46/2+($J$10*(J46+K46)-$H$10*(H46+I46))))</f>
        <v>29.998225714285713</v>
      </c>
    </row>
    <row r="47" spans="1:13">
      <c r="A47" s="165"/>
      <c r="B47" s="166"/>
      <c r="C47" s="166"/>
      <c r="D47" s="166"/>
      <c r="E47" s="166"/>
      <c r="F47" s="165"/>
      <c r="G47" s="474"/>
      <c r="H47" s="165"/>
      <c r="I47" s="474"/>
      <c r="J47" s="165"/>
      <c r="K47" s="474"/>
      <c r="L47" s="165"/>
      <c r="M47" s="640"/>
    </row>
    <row r="48" spans="1:13">
      <c r="A48" s="105"/>
      <c r="B48" s="105"/>
      <c r="C48" s="105"/>
      <c r="D48" s="105"/>
      <c r="E48" s="105"/>
      <c r="F48" s="105"/>
      <c r="G48" s="105"/>
      <c r="H48" s="105"/>
      <c r="I48" s="105"/>
      <c r="J48" s="105"/>
      <c r="K48" s="105"/>
      <c r="L48" s="105"/>
      <c r="M48" s="105"/>
    </row>
    <row r="49" spans="1:13">
      <c r="A49" s="105"/>
      <c r="B49" s="105"/>
      <c r="C49" s="105"/>
      <c r="D49" s="105"/>
      <c r="E49" s="105"/>
      <c r="F49" s="105"/>
      <c r="G49" s="105"/>
      <c r="H49" s="105"/>
      <c r="I49" s="105"/>
      <c r="J49" s="105"/>
      <c r="K49" s="105"/>
      <c r="L49" s="105"/>
      <c r="M49" s="105"/>
    </row>
    <row r="50" spans="1:13">
      <c r="A50" s="160"/>
      <c r="B50" s="161"/>
      <c r="C50" s="161"/>
      <c r="D50" s="161"/>
      <c r="E50" s="161"/>
      <c r="F50" s="1616" t="s">
        <v>945</v>
      </c>
      <c r="G50" s="1618" t="s">
        <v>105</v>
      </c>
      <c r="H50" s="1602" t="s">
        <v>919</v>
      </c>
      <c r="I50" s="1603"/>
      <c r="J50" s="1602" t="s">
        <v>920</v>
      </c>
      <c r="K50" s="1603"/>
      <c r="L50" s="1612" t="s">
        <v>941</v>
      </c>
      <c r="M50" s="1613"/>
    </row>
    <row r="51" spans="1:13">
      <c r="A51" s="165" t="s">
        <v>947</v>
      </c>
      <c r="B51" s="166"/>
      <c r="C51" s="166"/>
      <c r="D51" s="166"/>
      <c r="E51" s="15"/>
      <c r="F51" s="1617"/>
      <c r="G51" s="1619"/>
      <c r="H51" s="641" t="s">
        <v>109</v>
      </c>
      <c r="I51" s="642" t="s">
        <v>107</v>
      </c>
      <c r="J51" s="641" t="s">
        <v>109</v>
      </c>
      <c r="K51" s="642" t="s">
        <v>107</v>
      </c>
      <c r="L51" s="1614"/>
      <c r="M51" s="1615"/>
    </row>
    <row r="52" spans="1:13">
      <c r="A52" s="162"/>
      <c r="B52" s="163"/>
      <c r="C52" s="163"/>
      <c r="D52" s="163"/>
      <c r="E52" s="26"/>
      <c r="F52" s="643" t="s">
        <v>34</v>
      </c>
      <c r="G52" s="643" t="s">
        <v>34</v>
      </c>
      <c r="H52" s="643" t="s">
        <v>34</v>
      </c>
      <c r="I52" s="643" t="s">
        <v>34</v>
      </c>
      <c r="J52" s="643" t="s">
        <v>34</v>
      </c>
      <c r="K52" s="643" t="s">
        <v>34</v>
      </c>
      <c r="L52" s="1602" t="s">
        <v>34</v>
      </c>
      <c r="M52" s="1603"/>
    </row>
    <row r="53" spans="1:13">
      <c r="A53" s="160"/>
      <c r="B53" s="161"/>
      <c r="C53" s="161"/>
      <c r="D53" s="161"/>
      <c r="E53" s="24"/>
      <c r="F53" s="635"/>
      <c r="G53" s="636"/>
      <c r="H53" s="635"/>
      <c r="I53" s="636"/>
      <c r="J53" s="635"/>
      <c r="K53" s="636"/>
      <c r="L53" s="160"/>
      <c r="M53" s="638"/>
    </row>
    <row r="54" spans="1:13">
      <c r="A54" s="25"/>
      <c r="B54" s="163" t="s">
        <v>940</v>
      </c>
      <c r="C54" s="163"/>
      <c r="D54" s="163"/>
      <c r="E54" s="26"/>
      <c r="F54" s="634">
        <v>0</v>
      </c>
      <c r="G54" s="470">
        <v>0</v>
      </c>
      <c r="H54" s="634">
        <v>0</v>
      </c>
      <c r="I54" s="475">
        <f>I36</f>
        <v>292.65999999999997</v>
      </c>
      <c r="J54" s="634">
        <v>0</v>
      </c>
      <c r="K54" s="637">
        <f>K36</f>
        <v>292.65999999999997</v>
      </c>
      <c r="L54" s="25"/>
      <c r="M54" s="639">
        <f>MAX(MAX(G54-($H$10*(H54+I54)-$J$10*(J54+K54)),G54-($J$10*(H54+I54)-$H$10*(J54+K54)),G54-($H$10*(J54+K54)-$J$10*(H54+I54)),G54-($J$10*(J54+K54)-$H$10*(H54+I54))),MAX(G54/2+($H$10*(H54+I54)-$J$10*(J54+K54)),G54/2+($J$10*(H54+I54)-$H$10*(J54+K54)),G54/2+($H$10*(J54+K54)-$J$10*(H54+I54)),G54/2+($J$10*(J54+K54)-$H$10*(H54+I54))))</f>
        <v>5.8532000000000011</v>
      </c>
    </row>
    <row r="55" spans="1:13">
      <c r="A55" s="162"/>
      <c r="B55" s="163" t="s">
        <v>944</v>
      </c>
      <c r="C55" s="163"/>
      <c r="D55" s="163"/>
      <c r="E55" s="163"/>
      <c r="F55" s="633">
        <v>0</v>
      </c>
      <c r="G55" s="470">
        <v>0</v>
      </c>
      <c r="H55" s="634">
        <v>0</v>
      </c>
      <c r="I55" s="475">
        <f>I37</f>
        <v>292.65999999999997</v>
      </c>
      <c r="J55" s="634">
        <v>0</v>
      </c>
      <c r="K55" s="637">
        <f>K37</f>
        <v>292.65999999999997</v>
      </c>
      <c r="L55" s="162"/>
      <c r="M55" s="639">
        <f>MAX(MAX(G55-($H$10*(H55+I55)-$J$10*(J55+K55)),G55-($J$10*(H55+I55)-$H$10*(J55+K55)),G55-($H$10*(J55+K55)-$J$10*(H55+I55)),G55-($J$10*(J55+K55)-$H$10*(H55+I55))),MAX(G55/2+($H$10*(H55+I55)-$J$10*(J55+K55)),G55/2+($J$10*(H55+I55)-$H$10*(J55+K55)),G55/2+($H$10*(J55+K55)-$J$10*(H55+I55)),G55/2+($J$10*(J55+K55)-$H$10*(H55+I55))))</f>
        <v>5.8532000000000011</v>
      </c>
    </row>
    <row r="56" spans="1:13">
      <c r="A56" s="165"/>
      <c r="B56" s="166"/>
      <c r="C56" s="166"/>
      <c r="D56" s="166"/>
      <c r="E56" s="166"/>
      <c r="F56" s="165"/>
      <c r="G56" s="474"/>
      <c r="H56" s="165"/>
      <c r="I56" s="474"/>
      <c r="J56" s="165"/>
      <c r="K56" s="474"/>
      <c r="L56" s="165"/>
      <c r="M56" s="640"/>
    </row>
    <row r="57" spans="1:13">
      <c r="A57" s="105"/>
      <c r="B57" s="105"/>
      <c r="C57" s="105"/>
      <c r="D57" s="105"/>
      <c r="E57" s="105"/>
      <c r="F57" s="105"/>
      <c r="G57" s="105"/>
      <c r="H57" s="105"/>
      <c r="I57" s="105"/>
      <c r="J57" s="105"/>
      <c r="K57" s="105"/>
      <c r="L57" s="105"/>
      <c r="M57" s="105"/>
    </row>
    <row r="58" spans="1:13">
      <c r="A58" s="105"/>
      <c r="B58" s="105"/>
      <c r="C58" s="105"/>
      <c r="D58" s="105"/>
      <c r="E58" s="105"/>
      <c r="F58" s="105"/>
      <c r="G58" s="105"/>
      <c r="H58" s="105"/>
      <c r="I58" s="105"/>
      <c r="J58" s="105"/>
      <c r="K58" s="105"/>
      <c r="L58" s="105"/>
      <c r="M58" s="105"/>
    </row>
    <row r="59" spans="1:13">
      <c r="A59" s="160"/>
      <c r="B59" s="161"/>
      <c r="C59" s="161"/>
      <c r="D59" s="161"/>
      <c r="E59" s="161"/>
      <c r="F59" s="1616" t="s">
        <v>945</v>
      </c>
      <c r="G59" s="1618" t="s">
        <v>105</v>
      </c>
      <c r="H59" s="1602" t="s">
        <v>919</v>
      </c>
      <c r="I59" s="1603"/>
      <c r="J59" s="1602" t="s">
        <v>920</v>
      </c>
      <c r="K59" s="1603"/>
      <c r="L59" s="1612" t="s">
        <v>941</v>
      </c>
      <c r="M59" s="1613"/>
    </row>
    <row r="60" spans="1:13">
      <c r="A60" s="165" t="s">
        <v>948</v>
      </c>
      <c r="B60" s="166"/>
      <c r="C60" s="166"/>
      <c r="D60" s="166"/>
      <c r="E60" s="15"/>
      <c r="F60" s="1617"/>
      <c r="G60" s="1619"/>
      <c r="H60" s="641" t="s">
        <v>109</v>
      </c>
      <c r="I60" s="642" t="s">
        <v>107</v>
      </c>
      <c r="J60" s="641" t="s">
        <v>109</v>
      </c>
      <c r="K60" s="642" t="s">
        <v>107</v>
      </c>
      <c r="L60" s="1614"/>
      <c r="M60" s="1615"/>
    </row>
    <row r="61" spans="1:13">
      <c r="A61" s="162"/>
      <c r="B61" s="163"/>
      <c r="C61" s="163"/>
      <c r="D61" s="163"/>
      <c r="E61" s="26"/>
      <c r="F61" s="643" t="s">
        <v>34</v>
      </c>
      <c r="G61" s="643" t="s">
        <v>34</v>
      </c>
      <c r="H61" s="643" t="s">
        <v>34</v>
      </c>
      <c r="I61" s="643" t="s">
        <v>34</v>
      </c>
      <c r="J61" s="643" t="s">
        <v>34</v>
      </c>
      <c r="K61" s="643" t="s">
        <v>34</v>
      </c>
      <c r="L61" s="1602" t="s">
        <v>34</v>
      </c>
      <c r="M61" s="1603"/>
    </row>
    <row r="62" spans="1:13">
      <c r="A62" s="160"/>
      <c r="B62" s="161"/>
      <c r="C62" s="161"/>
      <c r="D62" s="161"/>
      <c r="E62" s="24"/>
      <c r="F62" s="635"/>
      <c r="G62" s="636"/>
      <c r="H62" s="635"/>
      <c r="I62" s="636"/>
      <c r="J62" s="635"/>
      <c r="K62" s="636"/>
      <c r="L62" s="160"/>
      <c r="M62" s="638"/>
    </row>
    <row r="63" spans="1:13">
      <c r="A63" s="162"/>
      <c r="B63" s="163" t="s">
        <v>944</v>
      </c>
      <c r="C63" s="163"/>
      <c r="D63" s="163"/>
      <c r="E63" s="163"/>
      <c r="F63" s="633">
        <v>0</v>
      </c>
      <c r="G63" s="470">
        <v>0</v>
      </c>
      <c r="H63" s="634">
        <v>0</v>
      </c>
      <c r="I63" s="475">
        <v>0</v>
      </c>
      <c r="J63" s="634">
        <v>0</v>
      </c>
      <c r="K63" s="637">
        <f>K55</f>
        <v>292.65999999999997</v>
      </c>
      <c r="L63" s="162"/>
      <c r="M63" s="639">
        <f>MAX(MAX(G63-($H$10*(H63+I63)-$J$10*(J63+K63)),G63-($J$10*(H63+I63)-$H$10*(J63+K63)),G63-($H$10*(J63+K63)-$J$10*(H63+I63)),G63-($J$10*(J63+K63)-$H$10*(H63+I63))),MAX(G63/2+($H$10*(H63+I63)-$J$10*(J63+K63)),G63/2+($J$10*(H63+I63)-$H$10*(J63+K63)),G63/2+($H$10*(J63+K63)-$J$10*(H63+I63)),G63/2+($J$10*(J63+K63)-$H$10*(H63+I63))))</f>
        <v>14.632999999999999</v>
      </c>
    </row>
    <row r="64" spans="1:13">
      <c r="A64" s="165"/>
      <c r="B64" s="166"/>
      <c r="C64" s="166"/>
      <c r="D64" s="166"/>
      <c r="E64" s="166"/>
      <c r="F64" s="165"/>
      <c r="G64" s="474"/>
      <c r="H64" s="165"/>
      <c r="I64" s="474"/>
      <c r="J64" s="165"/>
      <c r="K64" s="474"/>
      <c r="L64" s="165"/>
      <c r="M64" s="640"/>
    </row>
    <row r="65" spans="1:13">
      <c r="A65" s="105"/>
      <c r="B65" s="105"/>
      <c r="C65" s="105"/>
      <c r="D65" s="105"/>
      <c r="E65" s="105"/>
      <c r="F65" s="105"/>
      <c r="G65" s="105"/>
      <c r="H65" s="105"/>
      <c r="I65" s="105"/>
      <c r="J65" s="105"/>
      <c r="K65" s="105"/>
      <c r="L65" s="105"/>
      <c r="M65" s="105"/>
    </row>
    <row r="66" spans="1:13">
      <c r="A66" s="105"/>
      <c r="B66" s="105"/>
      <c r="C66" s="105"/>
      <c r="D66" s="105"/>
      <c r="E66" s="105"/>
      <c r="F66" s="105"/>
      <c r="G66" s="105"/>
      <c r="H66" s="105"/>
      <c r="I66" s="105"/>
      <c r="J66" s="105"/>
      <c r="K66" s="105"/>
      <c r="L66" s="105"/>
      <c r="M66" s="105"/>
    </row>
    <row r="67" spans="1:13" ht="18" customHeight="1">
      <c r="A67" s="160"/>
      <c r="B67" s="161"/>
      <c r="C67" s="161"/>
      <c r="D67" s="161"/>
      <c r="E67" s="161"/>
      <c r="F67" s="1612" t="s">
        <v>105</v>
      </c>
      <c r="G67" s="1613"/>
      <c r="H67" s="1604" t="s">
        <v>958</v>
      </c>
      <c r="I67" s="1605"/>
      <c r="J67" s="1608" t="s">
        <v>959</v>
      </c>
      <c r="K67" s="1609"/>
      <c r="L67" s="105"/>
      <c r="M67" s="105"/>
    </row>
    <row r="68" spans="1:13">
      <c r="A68" s="165" t="s">
        <v>949</v>
      </c>
      <c r="B68" s="166"/>
      <c r="C68" s="166"/>
      <c r="D68" s="166"/>
      <c r="E68" s="166"/>
      <c r="F68" s="1614"/>
      <c r="G68" s="1615"/>
      <c r="H68" s="1606"/>
      <c r="I68" s="1607"/>
      <c r="J68" s="1610"/>
      <c r="K68" s="1611"/>
      <c r="L68" s="105"/>
      <c r="M68" s="105"/>
    </row>
    <row r="69" spans="1:13">
      <c r="A69" s="165"/>
      <c r="B69" s="166"/>
      <c r="C69" s="166"/>
      <c r="D69" s="166"/>
      <c r="E69" s="166"/>
      <c r="F69" s="631" t="s">
        <v>34</v>
      </c>
      <c r="G69" s="167"/>
      <c r="H69" s="644" t="s">
        <v>2</v>
      </c>
      <c r="I69" s="645"/>
      <c r="J69" s="165"/>
      <c r="K69" s="167"/>
      <c r="L69" s="105"/>
      <c r="M69" s="105"/>
    </row>
    <row r="70" spans="1:13">
      <c r="A70" s="162"/>
      <c r="B70" s="163"/>
      <c r="C70" s="163"/>
      <c r="D70" s="163"/>
      <c r="E70" s="163"/>
      <c r="F70" s="162"/>
      <c r="G70" s="164"/>
      <c r="H70" s="162"/>
      <c r="I70" s="164"/>
      <c r="J70" s="162"/>
      <c r="K70" s="164"/>
      <c r="L70" s="105"/>
      <c r="M70" s="105"/>
    </row>
    <row r="71" spans="1:13">
      <c r="A71" s="162" t="s">
        <v>950</v>
      </c>
      <c r="B71" s="163" t="s">
        <v>951</v>
      </c>
      <c r="C71" s="163"/>
      <c r="D71" s="163"/>
      <c r="E71" s="163"/>
      <c r="F71" s="459">
        <f>MAX(M36:M37)</f>
        <v>32.051277714285717</v>
      </c>
      <c r="G71" s="164"/>
      <c r="H71" s="459">
        <f>GEN!K125-GEN!K147-GEN!F112-GEN!E106</f>
        <v>8.2800000000000011</v>
      </c>
      <c r="I71" s="164"/>
      <c r="J71" s="459">
        <f>F71*H71</f>
        <v>265.38457947428577</v>
      </c>
      <c r="K71" s="164"/>
      <c r="L71" s="105"/>
    </row>
    <row r="72" spans="1:13">
      <c r="A72" s="162"/>
      <c r="B72" s="163"/>
      <c r="C72" s="163"/>
      <c r="D72" s="163"/>
      <c r="E72" s="163"/>
      <c r="F72" s="162"/>
      <c r="G72" s="164"/>
      <c r="H72" s="162"/>
      <c r="I72" s="164"/>
      <c r="J72" s="459"/>
      <c r="K72" s="164"/>
      <c r="L72" s="105"/>
      <c r="M72" s="105"/>
    </row>
    <row r="73" spans="1:13">
      <c r="A73" s="162" t="s">
        <v>952</v>
      </c>
      <c r="B73" s="163" t="s">
        <v>953</v>
      </c>
      <c r="C73" s="163"/>
      <c r="D73" s="163"/>
      <c r="E73" s="163"/>
      <c r="F73" s="459">
        <f>MAX(M45:M46)</f>
        <v>29.998225714285713</v>
      </c>
      <c r="G73" s="164"/>
      <c r="H73" s="459">
        <f>H71</f>
        <v>8.2800000000000011</v>
      </c>
      <c r="I73" s="164"/>
      <c r="J73" s="459">
        <f>F73*H73</f>
        <v>248.38530891428573</v>
      </c>
      <c r="K73" s="164"/>
      <c r="L73" s="105"/>
      <c r="M73" s="105"/>
    </row>
    <row r="74" spans="1:13">
      <c r="A74" s="162"/>
      <c r="B74" s="163"/>
      <c r="C74" s="163"/>
      <c r="D74" s="163"/>
      <c r="E74" s="163"/>
      <c r="F74" s="162"/>
      <c r="G74" s="164"/>
      <c r="H74" s="162"/>
      <c r="I74" s="164"/>
      <c r="J74" s="459"/>
      <c r="K74" s="164"/>
      <c r="L74" s="105"/>
      <c r="M74" s="105"/>
    </row>
    <row r="75" spans="1:13">
      <c r="A75" s="162" t="s">
        <v>954</v>
      </c>
      <c r="B75" s="163" t="s">
        <v>955</v>
      </c>
      <c r="C75" s="163"/>
      <c r="D75" s="163"/>
      <c r="E75" s="163"/>
      <c r="F75" s="459">
        <f>MAX(M54:M55)</f>
        <v>5.8532000000000011</v>
      </c>
      <c r="G75" s="164"/>
      <c r="H75" s="459">
        <f>H73</f>
        <v>8.2800000000000011</v>
      </c>
      <c r="I75" s="164"/>
      <c r="J75" s="459">
        <f>F75*H75</f>
        <v>48.464496000000018</v>
      </c>
      <c r="K75" s="164"/>
      <c r="L75" s="105"/>
      <c r="M75" s="105"/>
    </row>
    <row r="76" spans="1:13">
      <c r="A76" s="162"/>
      <c r="B76" s="163"/>
      <c r="C76" s="163"/>
      <c r="D76" s="163"/>
      <c r="E76" s="163"/>
      <c r="F76" s="162"/>
      <c r="G76" s="164"/>
      <c r="H76" s="162"/>
      <c r="I76" s="164"/>
      <c r="J76" s="459"/>
      <c r="K76" s="164"/>
      <c r="L76" s="105"/>
      <c r="M76" s="105"/>
    </row>
    <row r="77" spans="1:13">
      <c r="A77" s="162" t="s">
        <v>956</v>
      </c>
      <c r="B77" s="163" t="s">
        <v>957</v>
      </c>
      <c r="C77" s="163"/>
      <c r="D77" s="163"/>
      <c r="E77" s="163"/>
      <c r="F77" s="459">
        <f>MAX(M63:M64)</f>
        <v>14.632999999999999</v>
      </c>
      <c r="G77" s="164"/>
      <c r="H77" s="459">
        <f>H75</f>
        <v>8.2800000000000011</v>
      </c>
      <c r="I77" s="164"/>
      <c r="J77" s="459">
        <f>F77*H77</f>
        <v>121.16124000000001</v>
      </c>
      <c r="K77" s="164"/>
      <c r="L77" s="105"/>
      <c r="M77" s="105"/>
    </row>
    <row r="78" spans="1:13">
      <c r="A78" s="165"/>
      <c r="B78" s="166"/>
      <c r="C78" s="166"/>
      <c r="D78" s="166"/>
      <c r="E78" s="166"/>
      <c r="F78" s="165"/>
      <c r="G78" s="167"/>
      <c r="H78" s="165"/>
      <c r="I78" s="167"/>
      <c r="J78" s="165"/>
      <c r="K78" s="167"/>
      <c r="L78" s="105"/>
      <c r="M78" s="105"/>
    </row>
    <row r="79" spans="1:13">
      <c r="A79" s="105"/>
      <c r="B79" s="105"/>
      <c r="C79" s="105"/>
      <c r="D79" s="105"/>
      <c r="E79" s="105"/>
      <c r="F79" s="105"/>
      <c r="G79" s="105"/>
      <c r="H79" s="105"/>
      <c r="I79" s="105"/>
      <c r="J79" s="105"/>
      <c r="K79" s="105"/>
      <c r="L79" s="105"/>
      <c r="M79" s="105"/>
    </row>
    <row r="80" spans="1:13">
      <c r="A80" s="105"/>
      <c r="B80" s="105"/>
      <c r="C80" s="105"/>
      <c r="D80" s="105"/>
      <c r="E80" s="105"/>
      <c r="F80" s="105"/>
      <c r="G80" s="105"/>
      <c r="H80" s="105"/>
      <c r="I80" s="105"/>
      <c r="J80" s="105"/>
      <c r="K80" s="105"/>
      <c r="L80" s="105"/>
      <c r="M80" s="105"/>
    </row>
    <row r="81" spans="1:13">
      <c r="A81" s="105"/>
      <c r="B81" s="105"/>
      <c r="C81" s="105"/>
      <c r="D81" s="105"/>
      <c r="E81" s="105"/>
      <c r="F81" s="105"/>
      <c r="G81" s="105"/>
      <c r="H81" s="105"/>
      <c r="I81" s="105"/>
      <c r="J81" s="105"/>
      <c r="K81" s="105"/>
      <c r="L81" s="105"/>
      <c r="M81" s="105"/>
    </row>
  </sheetData>
  <mergeCells count="30">
    <mergeCell ref="A2:K2"/>
    <mergeCell ref="A12:L13"/>
    <mergeCell ref="H32:I32"/>
    <mergeCell ref="J32:K32"/>
    <mergeCell ref="F32:F33"/>
    <mergeCell ref="G32:G33"/>
    <mergeCell ref="L32:M33"/>
    <mergeCell ref="L34:M34"/>
    <mergeCell ref="F41:F42"/>
    <mergeCell ref="G41:G42"/>
    <mergeCell ref="H41:I41"/>
    <mergeCell ref="J41:K41"/>
    <mergeCell ref="L41:M42"/>
    <mergeCell ref="F35:F38"/>
    <mergeCell ref="L43:M43"/>
    <mergeCell ref="F50:F51"/>
    <mergeCell ref="G50:G51"/>
    <mergeCell ref="H50:I50"/>
    <mergeCell ref="J50:K50"/>
    <mergeCell ref="L50:M51"/>
    <mergeCell ref="L61:M61"/>
    <mergeCell ref="H67:I68"/>
    <mergeCell ref="J67:K68"/>
    <mergeCell ref="F67:G68"/>
    <mergeCell ref="L52:M52"/>
    <mergeCell ref="F59:F60"/>
    <mergeCell ref="G59:G60"/>
    <mergeCell ref="H59:I59"/>
    <mergeCell ref="J59:K59"/>
    <mergeCell ref="L59:M60"/>
  </mergeCells>
  <pageMargins left="0.70866141732283505" right="0.70866141732283505" top="0.74803149606299202" bottom="0.74803149606299202" header="0.31496062992126" footer="0.31496062992126"/>
  <pageSetup paperSize="9" scale="86" orientation="portrait" blackAndWhite="1" r:id="rId1"/>
  <rowBreaks count="1" manualBreakCount="1">
    <brk id="56" max="12" man="1"/>
  </rowBreaks>
  <ignoredErrors>
    <ignoredError sqref="I4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54</vt:i4>
      </vt:variant>
      <vt:variant>
        <vt:lpstr>Named Ranges</vt:lpstr>
      </vt:variant>
      <vt:variant>
        <vt:i4>37</vt:i4>
      </vt:variant>
    </vt:vector>
  </HeadingPairs>
  <TitlesOfParts>
    <vt:vector size="91" baseType="lpstr">
      <vt:lpstr>Sheet5</vt:lpstr>
      <vt:lpstr>Sheet2</vt:lpstr>
      <vt:lpstr>GEN</vt:lpstr>
      <vt:lpstr>Creep_2</vt:lpstr>
      <vt:lpstr>creep_3</vt:lpstr>
      <vt:lpstr>SUP</vt:lpstr>
      <vt:lpstr>SI</vt:lpstr>
      <vt:lpstr>LL</vt:lpstr>
      <vt:lpstr>LLH</vt:lpstr>
      <vt:lpstr>SEIS</vt:lpstr>
      <vt:lpstr>SUP_SEIS</vt:lpstr>
      <vt:lpstr>LL_SEIS</vt:lpstr>
      <vt:lpstr>SUB_SEIS</vt:lpstr>
      <vt:lpstr>Hydro</vt:lpstr>
      <vt:lpstr>Hydro dynamic</vt:lpstr>
      <vt:lpstr>SF</vt:lpstr>
      <vt:lpstr>3.4</vt:lpstr>
      <vt:lpstr>3.4_LC</vt:lpstr>
      <vt:lpstr>3.4_LC_sum</vt:lpstr>
      <vt:lpstr>HC_P</vt:lpstr>
      <vt:lpstr>3.4D</vt:lpstr>
      <vt:lpstr>3.4D_LC</vt:lpstr>
      <vt:lpstr>3.4D_LC_sum</vt:lpstr>
      <vt:lpstr>U_DF_PC</vt:lpstr>
      <vt:lpstr>D_PC_L</vt:lpstr>
      <vt:lpstr>D_PC_T</vt:lpstr>
      <vt:lpstr>D_PC_2</vt:lpstr>
      <vt:lpstr>U_PILE</vt:lpstr>
      <vt:lpstr>PILE_SH</vt:lpstr>
      <vt:lpstr>CONF PI</vt:lpstr>
      <vt:lpstr>3.3S</vt:lpstr>
      <vt:lpstr>3.3S_LC</vt:lpstr>
      <vt:lpstr>3.3S_LC_SUM</vt:lpstr>
      <vt:lpstr>SL_PC</vt:lpstr>
      <vt:lpstr>SLS_P</vt:lpstr>
      <vt:lpstr>p</vt:lpstr>
      <vt:lpstr>SHAFT</vt:lpstr>
      <vt:lpstr>SHF</vt:lpstr>
      <vt:lpstr>U_3.4_SH</vt:lpstr>
      <vt:lpstr>U_3.4_SH_LC</vt:lpstr>
      <vt:lpstr>U_3.4_SH_SUM</vt:lpstr>
      <vt:lpstr>SLEN</vt:lpstr>
      <vt:lpstr>CD</vt:lpstr>
      <vt:lpstr>S_3.3_SH</vt:lpstr>
      <vt:lpstr>S_3.3_SH_LC</vt:lpstr>
      <vt:lpstr>S_3.3_SH_SUM</vt:lpstr>
      <vt:lpstr>SS_NA</vt:lpstr>
      <vt:lpstr>Piercap</vt:lpstr>
      <vt:lpstr>Piercap_2</vt:lpstr>
      <vt:lpstr>&lt;NP&gt;</vt:lpstr>
      <vt:lpstr>NP</vt:lpstr>
      <vt:lpstr>Mprop</vt:lpstr>
      <vt:lpstr>LC_DEF_2</vt:lpstr>
      <vt:lpstr>TEMP</vt:lpstr>
      <vt:lpstr>'3.3S'!Print_Area</vt:lpstr>
      <vt:lpstr>'3.3S_LC'!Print_Area</vt:lpstr>
      <vt:lpstr>'3.3S_LC_SUM'!Print_Area</vt:lpstr>
      <vt:lpstr>'3.4'!Print_Area</vt:lpstr>
      <vt:lpstr>'3.4_LC_sum'!Print_Area</vt:lpstr>
      <vt:lpstr>'3.4D'!Print_Area</vt:lpstr>
      <vt:lpstr>'3.4D_LC'!Print_Area</vt:lpstr>
      <vt:lpstr>'3.4D_LC_sum'!Print_Area</vt:lpstr>
      <vt:lpstr>CD!Print_Area</vt:lpstr>
      <vt:lpstr>D_PC_L!Print_Area</vt:lpstr>
      <vt:lpstr>D_PC_T!Print_Area</vt:lpstr>
      <vt:lpstr>GEN!Print_Area</vt:lpstr>
      <vt:lpstr>HC_P!Print_Area</vt:lpstr>
      <vt:lpstr>'Hydro dynamic'!Print_Area</vt:lpstr>
      <vt:lpstr>LC_DEF_2!Print_Area</vt:lpstr>
      <vt:lpstr>LL!Print_Area</vt:lpstr>
      <vt:lpstr>LLH!Print_Area</vt:lpstr>
      <vt:lpstr>Mprop!Print_Area</vt:lpstr>
      <vt:lpstr>p!Print_Area</vt:lpstr>
      <vt:lpstr>Piercap!Print_Area</vt:lpstr>
      <vt:lpstr>Piercap_2!Print_Area</vt:lpstr>
      <vt:lpstr>PILE_SH!Print_Area</vt:lpstr>
      <vt:lpstr>S_3.3_SH!Print_Area</vt:lpstr>
      <vt:lpstr>S_3.3_SH_SUM!Print_Area</vt:lpstr>
      <vt:lpstr>SEIS!Print_Area</vt:lpstr>
      <vt:lpstr>SF!Print_Area</vt:lpstr>
      <vt:lpstr>SHF!Print_Area</vt:lpstr>
      <vt:lpstr>SI!Print_Area</vt:lpstr>
      <vt:lpstr>SLEN!Print_Area</vt:lpstr>
      <vt:lpstr>SLS_P!Print_Area</vt:lpstr>
      <vt:lpstr>SS_NA!Print_Area</vt:lpstr>
      <vt:lpstr>SUB_SEIS!Print_Area</vt:lpstr>
      <vt:lpstr>SUP!Print_Area</vt:lpstr>
      <vt:lpstr>SUP_SEIS!Print_Area</vt:lpstr>
      <vt:lpstr>U_3.4_SH!Print_Area</vt:lpstr>
      <vt:lpstr>U_3.4_SH_SUM!Print_Area</vt:lpstr>
      <vt:lpstr>U_PILE!Print_Area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2017-02-08T06:40:59Z</dcterms:modified>
</cp:coreProperties>
</file>